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slicers/slicer2.xml" ContentType="application/vnd.ms-excel.slicer+xml"/>
  <Override PartName="/xl/timelines/timeline3.xml" ContentType="application/vnd.ms-excel.timelin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Ex4.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imelines/timeline4.xml" ContentType="application/vnd.ms-excel.timelin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harts/chartEx5.xml" ContentType="application/vnd.ms-office.chartex+xml"/>
  <Override PartName="/xl/charts/style21.xml" ContentType="application/vnd.ms-office.chartstyle+xml"/>
  <Override PartName="/xl/charts/colors21.xml" ContentType="application/vnd.ms-office.chartcolorstyle+xml"/>
  <Override PartName="/xl/charts/chartEx6.xml" ContentType="application/vnd.ms-office.chartex+xml"/>
  <Override PartName="/xl/charts/style22.xml" ContentType="application/vnd.ms-office.chartstyle+xml"/>
  <Override PartName="/xl/charts/colors22.xml" ContentType="application/vnd.ms-office.chartcolorstyle+xml"/>
  <Override PartName="/xl/charts/chart17.xml" ContentType="application/vnd.openxmlformats-officedocument.drawingml.chart+xml"/>
  <Override PartName="/xl/charts/style23.xml" ContentType="application/vnd.ms-office.chartstyle+xml"/>
  <Override PartName="/xl/charts/colors23.xml" ContentType="application/vnd.ms-office.chartcolorstyle+xml"/>
  <Override PartName="/xl/charts/chart18.xml" ContentType="application/vnd.openxmlformats-officedocument.drawingml.chart+xml"/>
  <Override PartName="/xl/charts/style24.xml" ContentType="application/vnd.ms-office.chartstyle+xml"/>
  <Override PartName="/xl/charts/colors24.xml" ContentType="application/vnd.ms-office.chartcolorstyle+xml"/>
  <Override PartName="/xl/charts/chart19.xml" ContentType="application/vnd.openxmlformats-officedocument.drawingml.chart+xml"/>
  <Override PartName="/xl/charts/style25.xml" ContentType="application/vnd.ms-office.chartstyle+xml"/>
  <Override PartName="/xl/charts/colors25.xml" ContentType="application/vnd.ms-office.chartcolorstyle+xml"/>
  <Override PartName="/xl/charts/chart20.xml" ContentType="application/vnd.openxmlformats-officedocument.drawingml.chart+xml"/>
  <Override PartName="/xl/charts/style26.xml" ContentType="application/vnd.ms-office.chartstyle+xml"/>
  <Override PartName="/xl/charts/colors26.xml" ContentType="application/vnd.ms-office.chartcolorstyle+xml"/>
  <Override PartName="/xl/charts/chartEx7.xml" ContentType="application/vnd.ms-office.chartex+xml"/>
  <Override PartName="/xl/charts/style27.xml" ContentType="application/vnd.ms-office.chartstyle+xml"/>
  <Override PartName="/xl/charts/colors27.xml" ContentType="application/vnd.ms-office.chartcolorstyle+xml"/>
  <Override PartName="/xl/charts/chartEx8.xml" ContentType="application/vnd.ms-office.chartex+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harts/chart2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imelines/timeline5.xml" ContentType="application/vnd.ms-excel.timeline+xml"/>
  <Override PartName="/xl/charts/chart23.xml" ContentType="application/vnd.openxmlformats-officedocument.drawingml.chart+xml"/>
  <Override PartName="/xl/charts/style31.xml" ContentType="application/vnd.ms-office.chartstyle+xml"/>
  <Override PartName="/xl/charts/colors31.xml" ContentType="application/vnd.ms-office.chartcolorstyle+xml"/>
  <Override PartName="/xl/charts/chart24.xml" ContentType="application/vnd.openxmlformats-officedocument.drawingml.chart+xml"/>
  <Override PartName="/xl/charts/style32.xml" ContentType="application/vnd.ms-office.chartstyle+xml"/>
  <Override PartName="/xl/charts/colors32.xml" ContentType="application/vnd.ms-office.chartcolorstyle+xml"/>
  <Override PartName="/xl/charts/chart25.xml" ContentType="application/vnd.openxmlformats-officedocument.drawingml.chart+xml"/>
  <Override PartName="/xl/charts/style33.xml" ContentType="application/vnd.ms-office.chartstyle+xml"/>
  <Override PartName="/xl/charts/colors33.xml" ContentType="application/vnd.ms-office.chartcolorstyle+xml"/>
  <Override PartName="/xl/charts/chart26.xml" ContentType="application/vnd.openxmlformats-officedocument.drawingml.chart+xml"/>
  <Override PartName="/xl/charts/style34.xml" ContentType="application/vnd.ms-office.chartstyle+xml"/>
  <Override PartName="/xl/charts/colors34.xml" ContentType="application/vnd.ms-office.chartcolorstyle+xml"/>
  <Override PartName="/xl/charts/chart27.xml" ContentType="application/vnd.openxmlformats-officedocument.drawingml.chart+xml"/>
  <Override PartName="/xl/charts/style35.xml" ContentType="application/vnd.ms-office.chartstyle+xml"/>
  <Override PartName="/xl/charts/colors35.xml" ContentType="application/vnd.ms-office.chartcolorstyle+xml"/>
  <Override PartName="/xl/charts/chart28.xml" ContentType="application/vnd.openxmlformats-officedocument.drawingml.chart+xml"/>
  <Override PartName="/xl/charts/style36.xml" ContentType="application/vnd.ms-office.chartstyle+xml"/>
  <Override PartName="/xl/charts/colors36.xml" ContentType="application/vnd.ms-office.chartcolorstyle+xml"/>
  <Override PartName="/xl/charts/chartEx9.xml" ContentType="application/vnd.ms-office.chartex+xml"/>
  <Override PartName="/xl/charts/style37.xml" ContentType="application/vnd.ms-office.chartstyle+xml"/>
  <Override PartName="/xl/charts/colors37.xml" ContentType="application/vnd.ms-office.chartcolorstyle+xml"/>
  <Override PartName="/xl/charts/chartEx10.xml" ContentType="application/vnd.ms-office.chartex+xml"/>
  <Override PartName="/xl/charts/style38.xml" ContentType="application/vnd.ms-office.chartstyle+xml"/>
  <Override PartName="/xl/charts/colors38.xml" ContentType="application/vnd.ms-office.chartcolorsty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drawings/drawing10.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1.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charts/chart2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tables/table64.xml" ContentType="application/vnd.openxmlformats-officedocument.spreadsheetml.table+xml"/>
  <Override PartName="/xl/charts/chart3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tables/table65.xml" ContentType="application/vnd.openxmlformats-officedocument.spreadsheetml.table+xml"/>
  <Override PartName="/xl/charts/chart3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8.xml" ContentType="application/vnd.openxmlformats-officedocument.spreadsheetml.pivotTable+xml"/>
  <Override PartName="/xl/drawings/drawing15.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tables/table66.xml" ContentType="application/vnd.openxmlformats-officedocument.spreadsheetml.table+xml"/>
  <Override PartName="/xl/charts/chart32.xml" ContentType="application/vnd.openxmlformats-officedocument.drawingml.chart+xml"/>
  <Override PartName="/xl/charts/style42.xml" ContentType="application/vnd.ms-office.chartstyle+xml"/>
  <Override PartName="/xl/charts/colors42.xml" ContentType="application/vnd.ms-office.chartcolorstyle+xml"/>
  <Override PartName="/xl/charts/chart3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harts/chart34.xml" ContentType="application/vnd.openxmlformats-officedocument.drawingml.chart+xml"/>
  <Override PartName="/xl/charts/style44.xml" ContentType="application/vnd.ms-office.chartstyle+xml"/>
  <Override PartName="/xl/charts/colors44.xml" ContentType="application/vnd.ms-office.chartcolorstyle+xml"/>
  <Override PartName="/xl/charts/chart35.xml" ContentType="application/vnd.openxmlformats-officedocument.drawingml.chart+xml"/>
  <Override PartName="/xl/charts/style45.xml" ContentType="application/vnd.ms-office.chartstyle+xml"/>
  <Override PartName="/xl/charts/colors45.xml" ContentType="application/vnd.ms-office.chartcolorstyle+xml"/>
  <Override PartName="/xl/charts/chart36.xml" ContentType="application/vnd.openxmlformats-officedocument.drawingml.chart+xml"/>
  <Override PartName="/xl/charts/style46.xml" ContentType="application/vnd.ms-office.chartstyle+xml"/>
  <Override PartName="/xl/charts/colors46.xml" ContentType="application/vnd.ms-office.chartcolorstyle+xml"/>
  <Override PartName="/xl/charts/chart37.xml" ContentType="application/vnd.openxmlformats-officedocument.drawingml.chart+xml"/>
  <Override PartName="/xl/charts/style47.xml" ContentType="application/vnd.ms-office.chartstyle+xml"/>
  <Override PartName="/xl/charts/colors47.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7.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tables/table70.xml" ContentType="application/vnd.openxmlformats-officedocument.spreadsheetml.table+xml"/>
  <Override PartName="/xl/timelines/timeline6.xml" ContentType="application/vnd.ms-excel.timeline+xml"/>
  <Override PartName="/xl/charts/chart38.xml" ContentType="application/vnd.openxmlformats-officedocument.drawingml.chart+xml"/>
  <Override PartName="/xl/charts/style48.xml" ContentType="application/vnd.ms-office.chartstyle+xml"/>
  <Override PartName="/xl/charts/colors48.xml" ContentType="application/vnd.ms-office.chartcolorstyle+xml"/>
  <Override PartName="/xl/charts/chart39.xml" ContentType="application/vnd.openxmlformats-officedocument.drawingml.chart+xml"/>
  <Override PartName="/xl/charts/style49.xml" ContentType="application/vnd.ms-office.chartstyle+xml"/>
  <Override PartName="/xl/charts/colors49.xml" ContentType="application/vnd.ms-office.chartcolorstyle+xml"/>
  <Override PartName="/xl/charts/chart40.xml" ContentType="application/vnd.openxmlformats-officedocument.drawingml.chart+xml"/>
  <Override PartName="/xl/charts/style50.xml" ContentType="application/vnd.ms-office.chartstyle+xml"/>
  <Override PartName="/xl/charts/colors50.xml" ContentType="application/vnd.ms-office.chartcolorstyle+xml"/>
  <Override PartName="/xl/charts/chart41.xml" ContentType="application/vnd.openxmlformats-officedocument.drawingml.chart+xml"/>
  <Override PartName="/xl/charts/style51.xml" ContentType="application/vnd.ms-office.chartstyle+xml"/>
  <Override PartName="/xl/charts/colors51.xml" ContentType="application/vnd.ms-office.chartcolorstyle+xml"/>
  <Override PartName="/xl/pivotTables/pivotTable17.xml" ContentType="application/vnd.openxmlformats-officedocument.spreadsheetml.pivotTable+xml"/>
  <Override PartName="/xl/drawings/drawing18.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tables/table71.xml" ContentType="application/vnd.openxmlformats-officedocument.spreadsheetml.table+xml"/>
  <Override PartName="/xl/tables/table72.xml" ContentType="application/vnd.openxmlformats-officedocument.spreadsheetml.table+xml"/>
  <Override PartName="/xl/charts/chart42.xml" ContentType="application/vnd.openxmlformats-officedocument.drawingml.chart+xml"/>
  <Override PartName="/xl/charts/style52.xml" ContentType="application/vnd.ms-office.chartstyle+xml"/>
  <Override PartName="/xl/charts/colors5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9.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tables/table73.xml" ContentType="application/vnd.openxmlformats-officedocument.spreadsheetml.table+xml"/>
  <Override PartName="/xl/charts/chart43.xml" ContentType="application/vnd.openxmlformats-officedocument.drawingml.chart+xml"/>
  <Override PartName="/xl/charts/style53.xml" ContentType="application/vnd.ms-office.chartstyle+xml"/>
  <Override PartName="/xl/charts/colors53.xml" ContentType="application/vnd.ms-office.chartcolorstyle+xml"/>
  <Override PartName="/xl/charts/chart44.xml" ContentType="application/vnd.openxmlformats-officedocument.drawingml.chart+xml"/>
  <Override PartName="/xl/charts/style54.xml" ContentType="application/vnd.ms-office.chartstyle+xml"/>
  <Override PartName="/xl/charts/colors54.xml" ContentType="application/vnd.ms-office.chartcolorstyle+xml"/>
  <Override PartName="/xl/charts/chart45.xml" ContentType="application/vnd.openxmlformats-officedocument.drawingml.chart+xml"/>
  <Override PartName="/xl/charts/style55.xml" ContentType="application/vnd.ms-office.chartstyle+xml"/>
  <Override PartName="/xl/charts/colors55.xml" ContentType="application/vnd.ms-office.chartcolorstyle+xml"/>
  <Override PartName="/xl/charts/chart4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0.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74.xml" ContentType="application/vnd.openxmlformats-officedocument.spreadsheetml.table+xml"/>
  <Override PartName="/xl/drawings/drawing21.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drawings/drawing22.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tables/table81.xml" ContentType="application/vnd.openxmlformats-officedocument.spreadsheetml.table+xml"/>
  <Override PartName="/xl/tables/table82.xml" ContentType="application/vnd.openxmlformats-officedocument.spreadsheetml.table+xml"/>
  <Override PartName="/xl/pivotTables/pivotTable22.xml" ContentType="application/vnd.openxmlformats-officedocument.spreadsheetml.pivotTable+xml"/>
  <Override PartName="/xl/drawings/drawing23.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tables/table83.xml" ContentType="application/vnd.openxmlformats-officedocument.spreadsheetml.table+xml"/>
  <Override PartName="/xl/charts/chart4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24.xml" ContentType="application/vnd.openxmlformats-officedocument.drawing+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tables/table84.xml" ContentType="application/vnd.openxmlformats-officedocument.spreadsheetml.table+xml"/>
  <Override PartName="/xl/tables/table85.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tables/table86.xml" ContentType="application/vnd.openxmlformats-officedocument.spreadsheetml.table+xml"/>
  <Override PartName="/xl/charts/chart48.xml" ContentType="application/vnd.openxmlformats-officedocument.drawingml.chart+xml"/>
  <Override PartName="/xl/charts/style58.xml" ContentType="application/vnd.ms-office.chartstyle+xml"/>
  <Override PartName="/xl/charts/colors58.xml" ContentType="application/vnd.ms-office.chartcolorstyle+xml"/>
  <Override PartName="/xl/charts/chart4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tables/table87.xml" ContentType="application/vnd.openxmlformats-officedocument.spreadsheetml.table+xml"/>
  <Override PartName="/xl/drawings/drawing27.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88.xml" ContentType="application/vnd.openxmlformats-officedocument.spreadsheetml.table+xml"/>
  <Override PartName="/xl/drawings/drawing28.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tables/table89.xml" ContentType="application/vnd.openxmlformats-officedocument.spreadsheetml.table+xml"/>
  <Override PartName="/xl/tables/table90.xml" ContentType="application/vnd.openxmlformats-officedocument.spreadsheetml.table+xml"/>
  <Override PartName="/xl/drawings/drawing29.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tables/table91.xml" ContentType="application/vnd.openxmlformats-officedocument.spreadsheetml.table+xml"/>
  <Override PartName="/xl/tables/table92.xml" ContentType="application/vnd.openxmlformats-officedocument.spreadsheetml.table+xml"/>
  <Override PartName="/xl/drawings/drawing3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tables/table93.xml" ContentType="application/vnd.openxmlformats-officedocument.spreadsheetml.table+xml"/>
  <Override PartName="/xl/tables/table94.xml" ContentType="application/vnd.openxmlformats-officedocument.spreadsheetml.table+xml"/>
  <Override PartName="/xl/drawings/drawing31.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tables/table95.xml" ContentType="application/vnd.openxmlformats-officedocument.spreadsheetml.table+xml"/>
  <Override PartName="/xl/drawings/drawing32.xml" ContentType="application/vnd.openxmlformats-officedocument.drawing+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tables/table96.xml" ContentType="application/vnd.openxmlformats-officedocument.spreadsheetml.table+xml"/>
  <Override PartName="/xl/tables/table97.xml" ContentType="application/vnd.openxmlformats-officedocument.spreadsheetml.table+xml"/>
  <Override PartName="/xl/drawings/drawing33.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tables/table98.xml" ContentType="application/vnd.openxmlformats-officedocument.spreadsheetml.table+xml"/>
  <Override PartName="/xl/tables/table99.xml" ContentType="application/vnd.openxmlformats-officedocument.spreadsheetml.table+xml"/>
  <Override PartName="/xl/drawings/drawing34.xml" ContentType="application/vnd.openxmlformats-officedocument.drawing+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tables/table100.xml" ContentType="application/vnd.openxmlformats-officedocument.spreadsheetml.table+xml"/>
  <Override PartName="/xl/drawings/drawing35.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tables/table101.xml" ContentType="application/vnd.openxmlformats-officedocument.spreadsheetml.table+xml"/>
  <Override PartName="/xl/drawings/drawing3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tables/table102.xml" ContentType="application/vnd.openxmlformats-officedocument.spreadsheetml.table+xml"/>
  <Override PartName="/xl/drawings/drawing37.xml" ContentType="application/vnd.openxmlformats-officedocument.drawing+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tables/table103.xml" ContentType="application/vnd.openxmlformats-officedocument.spreadsheetml.table+xml"/>
  <Override PartName="/xl/drawings/drawing38.xml" ContentType="application/vnd.openxmlformats-officedocument.drawing+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drawings/drawing39.xml" ContentType="application/vnd.openxmlformats-officedocument.drawing+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drawings/drawing40.xml" ContentType="application/vnd.openxmlformats-officedocument.drawing+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tables/table107.xml" ContentType="application/vnd.openxmlformats-officedocument.spreadsheetml.table+xml"/>
  <Override PartName="/xl/drawings/drawing41.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pivotTables/pivotTable25.xml" ContentType="application/vnd.openxmlformats-officedocument.spreadsheetml.pivotTable+xml"/>
  <Override PartName="/xl/drawings/drawing42.xml" ContentType="application/vnd.openxmlformats-officedocument.drawing+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tables/table112.xml" ContentType="application/vnd.openxmlformats-officedocument.spreadsheetml.table+xml"/>
  <Override PartName="/xl/charts/chart5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3.xml" ContentType="application/vnd.openxmlformats-officedocument.drawing+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tables/table113.xml" ContentType="application/vnd.openxmlformats-officedocument.spreadsheetml.table+xml"/>
  <Override PartName="/xl/drawings/drawing44.xml" ContentType="application/vnd.openxmlformats-officedocument.drawing+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tables/table114.xml" ContentType="application/vnd.openxmlformats-officedocument.spreadsheetml.table+xml"/>
  <Override PartName="/xl/drawings/drawing45.xml" ContentType="application/vnd.openxmlformats-officedocument.drawing+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tables/table115.xml" ContentType="application/vnd.openxmlformats-officedocument.spreadsheetml.table+xml"/>
  <Override PartName="/xl/drawings/drawing46.xml" ContentType="application/vnd.openxmlformats-officedocument.drawing+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tables/table116.xml" ContentType="application/vnd.openxmlformats-officedocument.spreadsheetml.table+xml"/>
  <Override PartName="/xl/drawings/drawing47.xml" ContentType="application/vnd.openxmlformats-officedocument.drawing+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tables/table117.xml" ContentType="application/vnd.openxmlformats-officedocument.spreadsheetml.table+xml"/>
  <Override PartName="/xl/drawings/drawing48.xml" ContentType="application/vnd.openxmlformats-officedocument.drawing+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tables/table118.xml" ContentType="application/vnd.openxmlformats-officedocument.spreadsheetml.table+xml"/>
  <Override PartName="/xl/drawings/drawing49.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tables/table119.xml" ContentType="application/vnd.openxmlformats-officedocument.spreadsheetml.table+xml"/>
  <Override PartName="/xl/tables/table120.xml" ContentType="application/vnd.openxmlformats-officedocument.spreadsheetml.table+xml"/>
  <Override PartName="/xl/drawings/drawing50.xml" ContentType="application/vnd.openxmlformats-officedocument.drawing+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tables/table1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Hyosung\Desktop\"/>
    </mc:Choice>
  </mc:AlternateContent>
  <xr:revisionPtr revIDLastSave="0" documentId="8_{B9D40465-D6A8-4EE0-849D-FFBDD69BB13E}" xr6:coauthVersionLast="47" xr6:coauthVersionMax="47" xr10:uidLastSave="{00000000-0000-0000-0000-000000000000}"/>
  <workbookProtection workbookAlgorithmName="SHA-512" workbookHashValue="/k8HTzq3Bkxhz9WOcKdeTqKWdK8GJP6sUAfOQXxZrYkQmDsz5aNJRogW1nay1KrybyuRsg7ub37cjSol0GtsEg==" workbookSaltValue="WLvRRBzxJNWKkivx5249qw==" workbookSpinCount="100000" lockStructure="1"/>
  <bookViews>
    <workbookView xWindow="-120" yWindow="-120" windowWidth="29040" windowHeight="15720" tabRatio="717" firstSheet="2" activeTab="11" xr2:uid="{B2DA85E2-969C-4F09-941C-CE16CCFE9D56}"/>
  </bookViews>
  <sheets>
    <sheet name="Security" sheetId="79" state="veryHidden" r:id="rId1"/>
    <sheet name="HDSD" sheetId="78" state="veryHidden" r:id="rId2"/>
    <sheet name="EULA" sheetId="77" r:id="rId3"/>
    <sheet name="Contents" sheetId="26" r:id="rId4"/>
    <sheet name="Pivot" sheetId="74" r:id="rId5"/>
    <sheet name="Dashboard_BCQT" sheetId="71" r:id="rId6"/>
    <sheet name="Dashboard_ThiTruong" sheetId="72" state="veryHidden" r:id="rId7"/>
    <sheet name="Dashboard_SanPham" sheetId="73" state="veryHidden" r:id="rId8"/>
    <sheet name="Dashboard_KPI" sheetId="76" state="veryHidden" r:id="rId9"/>
    <sheet name="Dashboard_ChuongTrinh" sheetId="57" state="veryHidden" r:id="rId10"/>
    <sheet name="Sheet_KeHoach" sheetId="40" r:id="rId11"/>
    <sheet name="Sheet_BaoCaoQuanTri" sheetId="68" r:id="rId12"/>
    <sheet name="Sheet_BaoCaoTaiChinh" sheetId="32" r:id="rId13"/>
    <sheet name="Sheet_DuPhongPhaiThu" sheetId="49" state="veryHidden" r:id="rId14"/>
    <sheet name="Sheet_PhaiThu" sheetId="46" state="veryHidden" r:id="rId15"/>
    <sheet name="Sheet_PhaiTra" sheetId="47" state="veryHidden" r:id="rId16"/>
    <sheet name="Sheet_DiemDatHang" sheetId="58" state="veryHidden" r:id="rId17"/>
    <sheet name="Sheet_KHTieuThu" sheetId="59" state="veryHidden" r:id="rId18"/>
    <sheet name="Sheet_NguonHang" sheetId="83" state="veryHidden" r:id="rId19"/>
    <sheet name="Sheet_DuPhongTonKho" sheetId="60" state="veryHidden" r:id="rId20"/>
    <sheet name="Sheet_TonKho" sheetId="34" state="veryHidden" r:id="rId21"/>
    <sheet name="Sheet_ChiPhiNV" sheetId="53" state="veryHidden" r:id="rId22"/>
    <sheet name="Sheet_ChamCong" sheetId="61" state="veryHidden" r:id="rId23"/>
    <sheet name="Sheet_KPIBanHang" sheetId="52" state="veryHidden" r:id="rId24"/>
    <sheet name="Sheet_KhauHao" sheetId="63" state="veryHidden" r:id="rId25"/>
    <sheet name="Sheet_NopNS" sheetId="54" state="veryHidden" r:id="rId26"/>
    <sheet name="Sheet_LaiVay" sheetId="64" state="veryHidden" r:id="rId27"/>
    <sheet name="Sheet_PhaiThuDauTu" sheetId="65" state="veryHidden" r:id="rId28"/>
    <sheet name="Sheet_Main" sheetId="29" state="veryHidden" r:id="rId29"/>
    <sheet name="Sheet_DonMua" sheetId="10" state="veryHidden" r:id="rId30"/>
    <sheet name="Sheet_DonBan" sheetId="6" state="veryHidden" r:id="rId31"/>
    <sheet name="Sheet_VanDon" sheetId="13" state="veryHidden" r:id="rId32"/>
    <sheet name="Sheet_LaiKhac" sheetId="39" state="veryHidden" r:id="rId33"/>
    <sheet name="Sheet_ThuChiKD" sheetId="7" state="veryHidden" r:id="rId34"/>
    <sheet name="Sheet_ThuChiTC" sheetId="45" state="veryHidden" r:id="rId35"/>
    <sheet name="Sheet_TaiKhoan" sheetId="8" state="veryHidden" r:id="rId36"/>
    <sheet name="Sheet_DauTu" sheetId="48" state="veryHidden" r:id="rId37"/>
    <sheet name="Sheet_VayNo" sheetId="38" state="veryHidden" r:id="rId38"/>
    <sheet name="Sheet_CoDong" sheetId="62" state="veryHidden" r:id="rId39"/>
    <sheet name="Sheet_ChiPhiKD" sheetId="35" state="veryHidden" r:id="rId40"/>
    <sheet name="Code" sheetId="81" r:id="rId41"/>
    <sheet name="Sheet_DoiTac" sheetId="9" state="veryHidden" r:id="rId42"/>
    <sheet name="Sheet_CauTruc" sheetId="55" state="veryHidden" r:id="rId43"/>
    <sheet name="Sheet_TSCD" sheetId="37" state="veryHidden" r:id="rId44"/>
    <sheet name="Sheet_NguyenLieu" sheetId="30" state="veryHidden" r:id="rId45"/>
    <sheet name="Sheet_ChuongTrinh" sheetId="14" state="veryHidden" r:id="rId46"/>
    <sheet name="Sheet_HoaHong" sheetId="80" state="veryHidden" r:id="rId47"/>
    <sheet name="Sheet_Kenh" sheetId="5" state="veryHidden" r:id="rId48"/>
    <sheet name="Sheet_KHThanThiet" sheetId="82" state="veryHidden" r:id="rId49"/>
    <sheet name="Sheet_KhachHang" sheetId="3" state="veryHidden" r:id="rId50"/>
    <sheet name="Sheet_SKU" sheetId="2" state="veryHidden" r:id="rId51"/>
    <sheet name="Sheet_Kho" sheetId="11" state="veryHidden" r:id="rId52"/>
  </sheets>
  <functionGroups builtInGroupCount="19"/>
  <definedNames>
    <definedName name="_xlchart.v1.13" hidden="1">Dashboard_KPI!$BH$5:$BH$6</definedName>
    <definedName name="_xlchart.v1.14" hidden="1">Dashboard_KPI!$BJ$5:$BJ$6</definedName>
    <definedName name="_xlchart.v1.15" hidden="1">Dashboard_KPI!$BM$5:$BM$7</definedName>
    <definedName name="_xlchart.v1.16" hidden="1">Dashboard_KPI!$BN$4</definedName>
    <definedName name="_xlchart.v1.17" hidden="1">Dashboard_KPI!$BN$5:$BN$7</definedName>
    <definedName name="_xlchart.v1.18" hidden="1">Dashboard_KPI!$BM$5:$BM$7</definedName>
    <definedName name="_xlchart.v1.19" hidden="1">Dashboard_KPI!$BO$4</definedName>
    <definedName name="_xlchart.v1.20" hidden="1">Dashboard_KPI!$BO$5:$BO$7</definedName>
    <definedName name="_xlchart.v1.21" hidden="1">Dashboard_KPI!$BH$5:$BH$6</definedName>
    <definedName name="_xlchart.v1.22" hidden="1">Dashboard_KPI!$BI$4</definedName>
    <definedName name="_xlchart.v1.23" hidden="1">Dashboard_KPI!$BI$5:$BI$6</definedName>
    <definedName name="_xlchart.v1.24" hidden="1">Dashboard_ChuongTrinh!$AY$6:$AY$6</definedName>
    <definedName name="_xlchart.v1.25" hidden="1">Dashboard_ChuongTrinh!$BA$6:$BA$6</definedName>
    <definedName name="_xlchart.v1.26" hidden="1">Dashboard_ChuongTrinh!$BD$6:$BD$6</definedName>
    <definedName name="_xlchart.v1.27" hidden="1">Dashboard_ChuongTrinh!$BF$6:$BF$6</definedName>
    <definedName name="_xlchart.v1.4" hidden="1">Dashboard_ThiTruong!$BJ$8:$BJ$10</definedName>
    <definedName name="_xlchart.v1.5" hidden="1">Dashboard_ThiTruong!$BK$8:$BK$10</definedName>
    <definedName name="_xlchart.v1.6" hidden="1">Dashboard_SanPham!$BJ$8:$BJ$9</definedName>
    <definedName name="_xlchart.v1.7" hidden="1">Dashboard_SanPham!$BK$7</definedName>
    <definedName name="_xlchart.v1.8" hidden="1">Dashboard_SanPham!$BL$8:$BL$9</definedName>
    <definedName name="_xlchart.v5.0" hidden="1">Dashboard_ThiTruong!$BF$7</definedName>
    <definedName name="_xlchart.v5.1" hidden="1">Dashboard_ThiTruong!$BF$8:$BF$14</definedName>
    <definedName name="_xlchart.v5.10" hidden="1">Dashboard_SanPham!$BF$8:$BF$14</definedName>
    <definedName name="_xlchart.v5.11" hidden="1">Dashboard_SanPham!$BG$8:$BG$14</definedName>
    <definedName name="_xlchart.v5.12" hidden="1">Dashboard_SanPham!$H$37</definedName>
    <definedName name="_xlchart.v5.2" hidden="1">Dashboard_ThiTruong!$BG$8:$BG$14</definedName>
    <definedName name="_xlchart.v5.3" hidden="1">Dashboard_ThiTruong!$H$37</definedName>
    <definedName name="_xlchart.v5.9" hidden="1">Dashboard_SanPham!$BF$7</definedName>
    <definedName name="_xlcn.WorksheetConnection_Dashboard.xlsxRef_Dates" hidden="1">Ref_Dates[]</definedName>
    <definedName name="_xlcn.WorksheetConnection_Dashboard.xlsxRef_Periods" hidden="1">Ref_Periods[]</definedName>
    <definedName name="_xlcn.WorksheetConnection_Dashboard.xlsxTable_ChuongTrinh" hidden="1">Table_ChuongTrinh[]</definedName>
    <definedName name="_xlcn.WorksheetConnection_Dashboard.xlsxTable_Datafeed" hidden="1">Table_Datafeed[]</definedName>
    <definedName name="_xlcn.WorksheetConnection_Dashboard.xlsxTable_DonBan" hidden="1">Table_DonBan[]</definedName>
    <definedName name="_xlcn.WorksheetConnection_Dashboard.xlsxTable_Kenh" hidden="1">Table_Kenh[]</definedName>
    <definedName name="_xlcn.WorksheetConnection_Dashboard.xlsxTable_KhachHang" hidden="1">Table_KhachHang[]</definedName>
    <definedName name="_xlcn.WorksheetConnection_Dashboard.xlsxTable_KPI" hidden="1">Table_KPI[]</definedName>
    <definedName name="_xlcn.WorksheetConnection_Dashboard.xlsxTable_Main" hidden="1">Table_Main[]</definedName>
    <definedName name="_xlcn.WorksheetConnection_Dashboard.xlsxTable_NhanVien" hidden="1">Table_NhanVien[]</definedName>
    <definedName name="_xlcn.WorksheetConnection_Dashboard.xlsxTable_SKU" hidden="1">Table_SKU[]</definedName>
    <definedName name="_xleta.DAY" hidden="1" xlm="1">#NAME?</definedName>
    <definedName name="_xleta.IF" hidden="1" xlm="1">#NAME?</definedName>
    <definedName name="_xleta.LEN" hidden="1" xlm="1">#NAME?</definedName>
    <definedName name="_xleta.N" hidden="1" xlm="1">#NAME?</definedName>
    <definedName name="_xleta.PHI" hidden="1" xlm="1">#NAME?</definedName>
    <definedName name="_xleta.SUM" hidden="1" xlm="1">#NAME?</definedName>
    <definedName name="BangLuong_Nam">Sheet_ChamCong!$Z$2</definedName>
    <definedName name="BangLuong_Thang">Sheet_ChamCong!$X$2</definedName>
    <definedName name="BCQT_BatDau">Sheet_KeHoach!$C$1</definedName>
    <definedName name="BCQT_KetThuc">Sheet_KeHoach!$C$2</definedName>
    <definedName name="BCTC_BatDau">Sheet_BaoCaoTaiChinh!$D$2</definedName>
    <definedName name="BCTC_Nam">Sheet_BaoCaoTaiChinh!$F$1</definedName>
    <definedName name="BCTC_Thang">Sheet_BaoCaoTaiChinh!$E$1</definedName>
    <definedName name="BHTN_LuongMax">Sheet_ChamCong!$H$5</definedName>
    <definedName name="BHTN_TyLeDN">Sheet_ChamCong!$H$6</definedName>
    <definedName name="BHTN_TyLeNV">Sheet_ChamCong!$H$7</definedName>
    <definedName name="BHXH_LuongMax">Sheet_ChamCong!$F$5</definedName>
    <definedName name="BHXH_TyLeDN">Sheet_ChamCong!$F$6</definedName>
    <definedName name="BHXH_TyLeNV">Sheet_ChamCong!$F$7</definedName>
    <definedName name="BHYT_LuongMax">Sheet_ChamCong!$G$5</definedName>
    <definedName name="BHYT_TyLeDN">Sheet_ChamCong!$G$6</definedName>
    <definedName name="BHYT_TyLeNV">Sheet_ChamCong!$G$7</definedName>
    <definedName name="ChamCong_DonViGio">Sheet_ChamCong!$Z$4</definedName>
    <definedName name="ChamCong_GioTieuChuan">Sheet_ChamCong!$Z$3</definedName>
    <definedName name="ChamCong_LuongHD">Sheet_ChamCong!$X$5</definedName>
    <definedName name="ChamCong_LuongTT">Sheet_ChamCong!$X$6</definedName>
    <definedName name="ChamCong_MienThueOT">Sheet_ChamCong!$X$7</definedName>
    <definedName name="ChamCong_NopHoBaoHiem">Sheet_ChamCong!$Z$5</definedName>
    <definedName name="ChiPhiNV_GiamTruBanThan">Sheet_ChamCong!$X$3</definedName>
    <definedName name="ChiPhiNV_GiamTruPhuThuoc">Sheet_ChamCong!$X$4</definedName>
    <definedName name="Dashboard_ChuongTrinh_Ma">Dashboard_ChuongTrinh!$Z$3</definedName>
    <definedName name="DatHang_NgayBatDau">Sheet_DiemDatHang!$N$1</definedName>
    <definedName name="DatHang_NgayKetThuc">Sheet_DiemDatHang!$O$1</definedName>
    <definedName name="DatHang_NgayTheoDoi">Sheet_DiemDatHang!$N$3</definedName>
    <definedName name="DatHang_SoNgayThamChieu">Sheet_DiemDatHang!$O$3</definedName>
    <definedName name="DiemHoaVon_NamKeHoach">Sheet_KeHoach!$C$4</definedName>
    <definedName name="HieuQuaSX_MucTieu">Sheet_KHTieuThu!#REF!</definedName>
    <definedName name="HieuQuaSX_Ngay">Sheet_KHTieuThu!$AH$1</definedName>
    <definedName name="HieuQuaSX_SKU">Sheet_KHTieuThu!#REF!</definedName>
    <definedName name="KHThanThiet_HieuLuc">Sheet_KHThanThiet!$G$3</definedName>
    <definedName name="KHThanThiet_SoNgay">Sheet_KHThanThiet!$G$2</definedName>
    <definedName name="Ma_SKU" localSheetId="48">Table_SKU[Mã SKU]</definedName>
    <definedName name="Ma_SKU">Table_SKU[Mã SKU]</definedName>
    <definedName name="MaChuongTrinh" localSheetId="48">Table_ChuongTrinh[Mã Chương trình]</definedName>
    <definedName name="MaChuongTrinh">Table_ChuongTrinh[Mã Chương trình]</definedName>
    <definedName name="MaCoDong" localSheetId="48">Table_CoDong[Mã Cổ đông]</definedName>
    <definedName name="MaCoDong">Table_CoDong[Mã Cổ đông]</definedName>
    <definedName name="MaDauTu" localSheetId="48">Table_DauTu[Mã khoản đầu tư]</definedName>
    <definedName name="MaDauTu">Table_DauTu[Mã khoản đầu tư]</definedName>
    <definedName name="MaDonBan" localSheetId="48">Table_DonBan[Mã Đơn bán]</definedName>
    <definedName name="MaDonBan">Table_DonBan[Mã Đơn bán]</definedName>
    <definedName name="MaDonMua" localSheetId="48">Table_DonMua[Mã Đơn mua]</definedName>
    <definedName name="MaDonMua">Table_DonMua[Mã Đơn mua]</definedName>
    <definedName name="MaIn">Code!$B$4</definedName>
    <definedName name="MaKenh" localSheetId="48">Table_Kenh[Mã Kênh]</definedName>
    <definedName name="MaKenh">Table_Kenh[Mã Kênh]</definedName>
    <definedName name="MaKhachHang" localSheetId="48">Table_KhachHang[Mã KH]</definedName>
    <definedName name="MaKhachHang">Table_KhachHang[Mã KH]</definedName>
    <definedName name="MaKho" localSheetId="48">Table_Kho[Mã Kho]</definedName>
    <definedName name="MaKho">Table_Kho[Mã Kho]</definedName>
    <definedName name="MaKhoanVay" localSheetId="48">Table_VayNo[Mã khoản vay]</definedName>
    <definedName name="MaKhoanVay">Table_VayNo[Mã khoản vay]</definedName>
    <definedName name="MaNguyenLieu" localSheetId="48">Table_NguyenLieu[Mã Nguyên liệu]</definedName>
    <definedName name="MaNguyenLieu">Table_NguyenLieu[Mã Nguyên liệu]</definedName>
    <definedName name="MaNhaCungCap" localSheetId="48">Table_NhaCungCap[Mã Đối tác]</definedName>
    <definedName name="MaNhaCungCap">Table_NhaCungCap[Mã Đối tác]</definedName>
    <definedName name="MaNhanVien" localSheetId="48">Table_NhanVien[Mã NV]</definedName>
    <definedName name="MaNhanVien">Table_NhanVien[Mã NV]</definedName>
    <definedName name="MaTaiKhoan" localSheetId="48">Table_TaiKhoan[Mã Tài khoản]</definedName>
    <definedName name="MaTaiKhoan">Table_TaiKhoan[Mã Tài khoản]</definedName>
    <definedName name="MaTaiSan" localSheetId="48">Table_TSCD[Mã Tài sản]</definedName>
    <definedName name="MaTaiSan">Table_TSCD[Mã Tài sản]</definedName>
    <definedName name="MaThuChi" localSheetId="48">Table_ThuChiKD[Mã phiếu thu chi]</definedName>
    <definedName name="MaThuChi">Table_ThuChiKD[Mã phiếu thu chi]</definedName>
    <definedName name="MaVanDon" localSheetId="48">Table_VanDon[Mã Vận đơn]</definedName>
    <definedName name="MaVanDon">Table_VanDon[Mã Vận đơn]</definedName>
    <definedName name="MaViTri">Table_CauTruc_ViTri[Vị trí]</definedName>
    <definedName name="NativeTimeline_Ngày_xuất_nhập">#N/A</definedName>
    <definedName name="NgayLuuKho_Max">Sheet_DiemDatHang!$O$2</definedName>
    <definedName name="NgayLuuKho_Min">Sheet_DiemDatHang!$N$2</definedName>
    <definedName name="NguonHang_NgayBatDau">Sheet_NguonHang!$AL$6</definedName>
    <definedName name="NguonHang_NgayKetThuc">Sheet_NguonHang!$AM$6</definedName>
    <definedName name="NhomChiPhi" localSheetId="48">Table_ChiPhiKD_PhanNhom[Nhóm chi phí]</definedName>
    <definedName name="NhomChiPhi">Table_ChiPhiKD_PhanNhom[Nhóm chi phí]</definedName>
    <definedName name="NoiDungGDKD" localSheetId="48">Table_ThuChiKD_NoiDungGD[Nội dung GD]</definedName>
    <definedName name="NoiDungGDKD">Table_ThuChiKD_NoiDungGD[Nội dung GD]</definedName>
    <definedName name="NoiDungGDTC" localSheetId="48">Table_ThuChiTC_NoiDungGD[Các hạng mục giao dịch]</definedName>
    <definedName name="NoiDungGDTC">Table_ThuChiTC_NoiDungGD[Các hạng mục giao dịch]</definedName>
    <definedName name="NoXau_MaKH">Sheet_DuPhongPhaiThu!$U$21</definedName>
    <definedName name="NoXau_MaNCC">Sheet_DuPhongPhaiThu!$AB$21</definedName>
    <definedName name="NoXau_NgayTheoDoi">Sheet_DuPhongPhaiThu!$N$21</definedName>
    <definedName name="NoXau_NhanCungUng">Sheet_DuPhongPhaiThu!$AC$21</definedName>
    <definedName name="NoXau_NhanThanhToan">Sheet_DuPhongPhaiThu!$V$21</definedName>
    <definedName name="Pivot_Ctr_CKDon">OFFSET(Pivot!$AZ$6,0,0,COUNTA(Pivot!$AS:$AS)-3,1)</definedName>
    <definedName name="Pivot_Ctr_CKSKU">OFFSET(Pivot!$BE$6,0,0,COUNTA(Pivot!$AS:$AS)-3,1)</definedName>
    <definedName name="Pivot_Ctr_CtrDon">OFFSET(Pivot!$AY$6,0,0,COUNTA(Pivot!$AS:$AS)-3,1)</definedName>
    <definedName name="Pivot_Ctr_CtrSKU">OFFSET(Pivot!$BD$6,0,0,COUNTA(Pivot!$AS:$AS)-3,1)</definedName>
    <definedName name="Pivot_Ctr_DthuDon">OFFSET(Pivot!$BA$6,0,0,COUNTA(Pivot!$AS:$AS)-3,1)</definedName>
    <definedName name="Pivot_Ctr_DthuSKU">OFFSET(Pivot!$BF$6,0,0,COUNTA(Pivot!$AS:$AS)-3,1)</definedName>
    <definedName name="Pivot_Ctr_Kenh">OFFSET(Pivot!$AT$6,0,0,COUNTA(Pivot!$AS:$AS)-3,1)</definedName>
    <definedName name="Pivot_Ctr_Khach">OFFSET(Pivot!$AW$6,0,0,COUNTA(Pivot!$AS:$AS)-3,1)</definedName>
    <definedName name="Pivot_Ctr_Ngay">OFFSET(Pivot!$AS$6,0,0,COUNTA(Pivot!$AS:$AS)-3,1)</definedName>
    <definedName name="Pivot_Ctr_NhanVien">OFFSET(Pivot!$AU$6,0,0,COUNTA(Pivot!$AS:$AS)-3,1)</definedName>
    <definedName name="Pivot_Ctr_PhanKhuc">OFFSET(Pivot!$AV$6,0,0,COUNTA(Pivot!$AS:$AS)-3,1)</definedName>
    <definedName name="Pivot_Ctr_PhanNhom">OFFSET(Pivot!$BB$6,0,0,COUNTA(Pivot!$AS:$AS)-3,1)</definedName>
    <definedName name="Pivot_Ctr_SKU">OFFSET(Pivot!$BC$6,0,0,COUNTA(Pivot!$AS:$AS)-3,1)</definedName>
    <definedName name="Pivot_Ctr_TTKhach">OFFSET(Pivot!$AX$6,0,0,COUNTA(Pivot!$AS:$AS)-3,1)</definedName>
    <definedName name="Pivot_KPI_DthuCP">OFFSET(Pivot!$AP$6,0,0,COUNTA(Pivot!$AK:$AK)-3,1)</definedName>
    <definedName name="Pivot_KPI_DthuDon">OFFSET(Pivot!$AF$6,0,0,COUNTA(Pivot!$AC:$AC)-3,1)</definedName>
    <definedName name="Pivot_KPI_DthuSKU">OFFSET(Pivot!$AI$6,0,0,COUNTA(Pivot!$AC:$AC)-3,1)</definedName>
    <definedName name="Pivot_KPI_Kenh">OFFSET(Pivot!$AD$6,0,0,COUNTA(Pivot!$AC:$AC)-3,1)</definedName>
    <definedName name="Pivot_KPI_KenhCP">OFFSET(Pivot!$AN$6,0,0,COUNTA(Pivot!$AK:$AK)-3,1)</definedName>
    <definedName name="Pivot_KPI_KPICP">OFFSET(Pivot!$AO$6,0,0,COUNTA(Pivot!$AK:$AK)-3,1)</definedName>
    <definedName name="Pivot_KPI_NamCP">OFFSET(Pivot!$AK$6,0,0,COUNTA(Pivot!$AK:$AK)-3,1)</definedName>
    <definedName name="Pivot_KPI_Ngay">OFFSET(Pivot!$AC$6,0,0,COUNTA(Pivot!$AC:$AC)-3,1)</definedName>
    <definedName name="Pivot_KPI_NhanVien">OFFSET(Pivot!$AG$6,0,0,COUNTA(Pivot!$AC:$AC)-3,1)</definedName>
    <definedName name="Pivot_KPI_NhanVienCP">OFFSET(Pivot!$AM$6,0,0,COUNTA(Pivot!$AK:$AK)-3,1)</definedName>
    <definedName name="Pivot_KPI_PhanKhuc">OFFSET(Pivot!$AE$6,0,0,COUNTA(Pivot!$AC:$AC)-3,1)</definedName>
    <definedName name="Pivot_KPI_PhanNhom">OFFSET(Pivot!$AH$6,0,0,COUNTA(Pivot!$AC:$AC)-3,1)</definedName>
    <definedName name="PIvot_KPI_ThangCP">OFFSET(Pivot!$AL$6,0,0,COUNTA(Pivot!$AK:$AK)-3,1)</definedName>
    <definedName name="Pivot_KPI_TyLeCP">OFFSET(Pivot!$AQ$6,0,0,COUNTA(Pivot!$AK:$AK)-3,1)</definedName>
    <definedName name="Pivot_SanPham_DoanhThu">OFFSET(Pivot!$Z$6,0,0,COUNTA(Pivot!$S:$S)-3,1)</definedName>
    <definedName name="Pivot_SanPham_Loai">OFFSET(Pivot!$Y$6,0,0,COUNTA(Pivot!$S:$S)-3,1)</definedName>
    <definedName name="Pivot_SanPham_MaDon">OFFSET(Pivot!$U$6,0,0,COUNTA(Pivot!$S:$S)-3,1)</definedName>
    <definedName name="Pivot_SanPham_Ngay">OFFSET(Pivot!$S$6,0,0,COUNTA(Pivot!$S:$S)-3,1)</definedName>
    <definedName name="Pivot_SanPham_Nhom">OFFSET(Pivot!$W$6,0,0,COUNTA(Pivot!$S:$S)-3,1)</definedName>
    <definedName name="Pivot_SanPham_PhanKhuc">OFFSET(Pivot!$T$6,0,0,COUNTA(Pivot!$S:$S)-3,1)</definedName>
    <definedName name="Pivot_SanPham_SKU">OFFSET(Pivot!$X$6,0,0,COUNTA(Pivot!$S:$S)-3,1)</definedName>
    <definedName name="Pivot_SanPham_SoLuong">OFFSET(Pivot!$AA$6,0,0,COUNTA(Pivot!$S:$S)-3,1)</definedName>
    <definedName name="Pivot_SanPham_TinhThanh">OFFSET(Pivot!$V$6,0,0,COUNTA(Pivot!$S:$S)-3,1)</definedName>
    <definedName name="Pivot_ThiTruong_DoanhThu">OFFSET(Pivot!$N$6,0,0,COUNTA(Pivot!$H:$H)-3,1)</definedName>
    <definedName name="Pivot_ThiTruong_MaDon">OFFSET(Pivot!$L$6,0,0,COUNTA(Pivot!$H:$H)-3,1)</definedName>
    <definedName name="Pivot_ThiTruong_MaKhach">OFFSET(Pivot!$I$6,0,0,COUNTA(Pivot!$H:$H)-3,1)</definedName>
    <definedName name="Pivot_ThiTruong_Ngay">OFFSET(Pivot!$H$6,0,0,COUNTA(Pivot!$H:$H)-3,1)</definedName>
    <definedName name="Pivot_ThiTruong_NhomSP">OFFSET(Pivot!$O$6,0,0,COUNTA(Pivot!$H:$H)-3,1)</definedName>
    <definedName name="PIvot_ThiTruong_SoLuongSP">OFFSET(Pivot!$P$6,0,0,COUNTA(Pivot!$H:$H)-3,1)</definedName>
    <definedName name="Pivot_ThiTruong_TtDon">OFFSET(Pivot!$M$6,0,0,COUNTA(Pivot!$H:$H)-3,1)</definedName>
    <definedName name="SKU_Nhom1" localSheetId="48">Table_SKU_PhanNhom[Nhóm 1]</definedName>
    <definedName name="SKU_Nhom1">Table_SKU_PhanNhom[Nhóm 1]</definedName>
    <definedName name="SKU_Nhom2" localSheetId="48">Table_SKU_PhanNhom[Nhóm 2]</definedName>
    <definedName name="SKU_Nhom2">Table_SKU_PhanNhom[Nhóm 2]</definedName>
    <definedName name="SKU_Nhom3" localSheetId="48">Table_SKU_PhanNhom[Nhóm 3]</definedName>
    <definedName name="SKU_Nhom3">Table_SKU_PhanNhom[Nhóm 3]</definedName>
    <definedName name="Slicer_Nhóm_1">#N/A</definedName>
    <definedName name="Slicer_Phân_khúc">#N/A</definedName>
    <definedName name="Slicer_Tỉnh">#N/A</definedName>
    <definedName name="Slicer_Tỉnh1">#N/A</definedName>
    <definedName name="ThanhPham_Nhom">Sheet_SKU!$B$4:$B$1048576</definedName>
    <definedName name="ThanhPham_PhanLoai">Sheet_SKU!$H$5:$H$1048576</definedName>
    <definedName name="ThanhPham_PhanNhom">Sheet_SKU!$D$6:$D$1048576</definedName>
    <definedName name="Timeline_Kỳ">#N/A</definedName>
    <definedName name="Timeline_Ngày_lập">#N/A</definedName>
    <definedName name="Timeline_Ngày_lập1">#N/A</definedName>
    <definedName name="Timeline_Ngày_lập2">#N/A</definedName>
    <definedName name="Timeline_Ngày_lập3">#N/A</definedName>
    <definedName name="TonKho_GTXuat">Sheet_DuPhongTonKho!$V$1</definedName>
    <definedName name="TonKho_Kho">Sheet_DuPhongTonKho!$N$3</definedName>
    <definedName name="TonKho_MaHang">Sheet_DuPhongTonKho!$O$2</definedName>
    <definedName name="TonKho_NgayTheoDoi">Sheet_DuPhongTonKho!$N$1</definedName>
    <definedName name="TonKho_TieuThu">Sheet_DuPhongTonKho!$V$2</definedName>
  </definedNames>
  <calcPr calcId="191029"/>
  <pivotCaches>
    <pivotCache cacheId="0" r:id="rId53"/>
    <pivotCache cacheId="1" r:id="rId54"/>
    <pivotCache cacheId="2" r:id="rId55"/>
    <pivotCache cacheId="3" r:id="rId56"/>
    <pivotCache cacheId="4" r:id="rId57"/>
    <pivotCache cacheId="5" r:id="rId58"/>
    <pivotCache cacheId="6" r:id="rId59"/>
    <pivotCache cacheId="7" r:id="rId60"/>
    <pivotCache cacheId="8" r:id="rId61"/>
    <pivotCache cacheId="9" r:id="rId62"/>
    <pivotCache cacheId="10" r:id="rId63"/>
    <pivotCache cacheId="11" r:id="rId64"/>
    <pivotCache cacheId="12" r:id="rId65"/>
    <pivotCache cacheId="13" r:id="rId66"/>
    <pivotCache cacheId="14" r:id="rId67"/>
    <pivotCache cacheId="15" r:id="rId68"/>
  </pivotCaches>
  <extLst>
    <ext xmlns:x14="http://schemas.microsoft.com/office/spreadsheetml/2009/9/main" uri="{876F7934-8845-4945-9796-88D515C7AA90}">
      <x14:pivotCaches>
        <pivotCache cacheId="16" r:id="rId69"/>
      </x14:pivotCaches>
    </ext>
    <ext xmlns:x14="http://schemas.microsoft.com/office/spreadsheetml/2009/9/main" uri="{BBE1A952-AA13-448e-AADC-164F8A28A991}">
      <x14:slicerCaches>
        <x14:slicerCache r:id="rId70"/>
        <x14:slicerCache r:id="rId71"/>
        <x14:slicerCache r:id="rId72"/>
        <x14:slicerCache r:id="rId7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7" r:id="rId74"/>
        <pivotCache cacheId="18" r:id="rId75"/>
        <pivotCache cacheId="19" r:id="rId76"/>
      </x15:timelineCachePivotCaches>
    </ext>
    <ext xmlns:x15="http://schemas.microsoft.com/office/spreadsheetml/2010/11/main" uri="{D0CA8CA8-9F24-4464-BF8E-62219DCF47F9}">
      <x15:timelineCacheRefs>
        <x15:timelineCacheRef r:id="rId77"/>
        <x15:timelineCacheRef r:id="rId78"/>
        <x15:timelineCacheRef r:id="rId79"/>
        <x15:timelineCacheRef r:id="rId80"/>
        <x15:timelineCacheRef r:id="rId81"/>
        <x15:timelineCacheRef r:id="rId8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SKU" name="Table_SKU" connection="WorksheetConnection_Dashboard.xlsx!Table_SKU"/>
          <x15:modelTable id="Table_NhanVien" name="Table_NhanVien" connection="WorksheetConnection_Dashboard.xlsx!Table_NhanVien"/>
          <x15:modelTable id="Table_Main" name="Table_Main" connection="WorksheetConnection_Dashboard.xlsx!Table_Main"/>
          <x15:modelTable id="Table_KPI" name="Table_KPI" connection="WorksheetConnection_Dashboard.xlsx!Table_KPI"/>
          <x15:modelTable id="Table_KhachHang" name="Table_KhachHang" connection="WorksheetConnection_Dashboard.xlsx!Table_KhachHang"/>
          <x15:modelTable id="Table_Kenh" name="Table_Kenh" connection="WorksheetConnection_Dashboard.xlsx!Table_Kenh"/>
          <x15:modelTable id="Table_DonBan" name="Table_DonBan" connection="WorksheetConnection_Dashboard.xlsx!Table_DonBan"/>
          <x15:modelTable id="Table_Datafeed" name="Table_Datafeed" connection="WorksheetConnection_Dashboard.xlsx!Table_Datafeed"/>
          <x15:modelTable id="Table_ChuongTrinh" name="Table_ChuongTrinh" connection="WorksheetConnection_Dashboard.xlsx!Table_ChuongTrinh"/>
          <x15:modelTable id="Ref_Periods" name="Ref_Periods" connection="WorksheetConnection_Dashboard.xlsx!Ref_Periods"/>
          <x15:modelTable id="Ref_Dates" name="Ref_Dates" connection="WorksheetConnection_Dashboard.xlsx!Ref_Dates"/>
        </x15:modelTables>
        <x15:modelRelationships>
          <x15:modelRelationship fromTable="Table_DonBan" fromColumn="Mã NV" toTable="Table_NhanVien" toColumn="Mã NV"/>
          <x15:modelRelationship fromTable="Table_DonBan" fromColumn="Kênh" toTable="Table_Kenh" toColumn="Mã Kênh"/>
          <x15:modelRelationship fromTable="Table_DonBan" fromColumn="Chương trình" toTable="Table_ChuongTrinh" toColumn="Mã Chương trình"/>
          <x15:modelRelationship fromTable="Table_DonBan" fromColumn="Mã Khách" toTable="Table_KhachHang" toColumn="Mã KH"/>
          <x15:modelRelationship fromTable="Table_Main" fromColumn="Mã SKU" toTable="Table_SKU" toColumn="Mã SKU"/>
          <x15:modelRelationship fromTable="Table_Main" fromColumn="Đơn bán" toTable="Table_DonBan" toColumn="Mã Đơn bán"/>
          <x15:modelRelationship fromTable="Table_KPI" fromColumn="Nhân viên" toTable="Table_NhanVien" toColumn="Mã NV"/>
          <x15:modelRelationship fromTable="Table_KPI" fromColumn="Kênh" toTable="Table_Kenh" toColumn="Mã Kênh"/>
        </x15:modelRelationship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Ref_Periods"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Table_DonBan" columnName="Ngày lập" columnId="Ngày lập">
                <x16:calculatedTimeColumn columnName="Ngày lập (Year)" columnId="Ngày lập (Year)" contentType="years" isSelected="1"/>
                <x16:calculatedTimeColumn columnName="Ngày lập (Quarter)" columnId="Ngày lập (Quarter)" contentType="quarters" isSelected="1"/>
                <x16:calculatedTimeColumn columnName="Ngày lập (Month Index)" columnId="Ngày lập (Month Index)" contentType="monthsindex" isSelected="1"/>
                <x16:calculatedTimeColumn columnName="Ngày lập (Month)" columnId="Ngày lập (Month)" contentType="months" isSelected="1"/>
              </x16:modelTimeGrouping>
              <x16:modelTimeGrouping tableName="Ref_Dates" columnName="Ngày" columnId="Ngày">
                <x16:calculatedTimeColumn columnName="Ngày (Year)" columnId="Ngày (Year)" contentType="years" isSelected="1"/>
                <x16:calculatedTimeColumn columnName="Ngày (Quarter)" columnId="Ngày (Quarter)" contentType="quarters" isSelected="1"/>
                <x16:calculatedTimeColumn columnName="Ngày (Month Index)" columnId="Ngày (Month Index)" contentType="monthsindex" isSelected="1"/>
                <x16:calculatedTimeColumn columnName="Ngày (Month)" columnId="Ngày (Month)" contentType="months" isSelected="1"/>
              </x16:modelTimeGrouping>
              <x16:modelTimeGrouping tableName="Table_KPI" columnName="Kỳ" columnId="Kỳ">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0" i="68" l="1" a="1"/>
  <c r="S50" i="68" s="1"/>
  <c r="O3" i="52" l="1" a="1"/>
  <c r="O3" i="52" s="1"/>
  <c r="O5" i="52" a="1"/>
  <c r="O5" i="52" s="1"/>
  <c r="AF3" i="29"/>
  <c r="AF5" i="29"/>
  <c r="AF7" i="29"/>
  <c r="AF8" i="29"/>
  <c r="AF9" i="29"/>
  <c r="AF10" i="29"/>
  <c r="AF11" i="29"/>
  <c r="AF12" i="29"/>
  <c r="AF13" i="29"/>
  <c r="AF14" i="29"/>
  <c r="AF15" i="29"/>
  <c r="AF19" i="29"/>
  <c r="AF20" i="29"/>
  <c r="AF21" i="29"/>
  <c r="AF25" i="29"/>
  <c r="AF26" i="29"/>
  <c r="AF28" i="29"/>
  <c r="AF29" i="29"/>
  <c r="AF32" i="29"/>
  <c r="AF34" i="29"/>
  <c r="AF35" i="29"/>
  <c r="AF36" i="29"/>
  <c r="AF37" i="29"/>
  <c r="AF38" i="29"/>
  <c r="AF40" i="29"/>
  <c r="AF41" i="29"/>
  <c r="AF45" i="29"/>
  <c r="AF46" i="29"/>
  <c r="AF49" i="29"/>
  <c r="AF51" i="29"/>
  <c r="AF52" i="29"/>
  <c r="AF53" i="29"/>
  <c r="AF54" i="29"/>
  <c r="AF57" i="29"/>
  <c r="AF59" i="29"/>
  <c r="AF60" i="29"/>
  <c r="AF62" i="29"/>
  <c r="AF65" i="29"/>
  <c r="AF66" i="29"/>
  <c r="AF67" i="29"/>
  <c r="AF68" i="29"/>
  <c r="AF69" i="29"/>
  <c r="AF71" i="29"/>
  <c r="AF72" i="29"/>
  <c r="AF73" i="29"/>
  <c r="AF74" i="29"/>
  <c r="AF75" i="29"/>
  <c r="AF76" i="29"/>
  <c r="AF77" i="29"/>
  <c r="AF78" i="29"/>
  <c r="AF79" i="29"/>
  <c r="AF80" i="29"/>
  <c r="AF81" i="29"/>
  <c r="AC3" i="29"/>
  <c r="AC5" i="29"/>
  <c r="AC6" i="29"/>
  <c r="AC7" i="29"/>
  <c r="AC8" i="29"/>
  <c r="AC9" i="29"/>
  <c r="AC10" i="29"/>
  <c r="AC11" i="29"/>
  <c r="AC12" i="29"/>
  <c r="AC13" i="29"/>
  <c r="AC14" i="29"/>
  <c r="AC15" i="29"/>
  <c r="AC16" i="29"/>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42" i="29"/>
  <c r="AC43" i="29"/>
  <c r="AC44" i="29"/>
  <c r="AC45" i="29"/>
  <c r="AC46" i="29"/>
  <c r="AC47" i="29"/>
  <c r="AC48" i="29"/>
  <c r="AC49" i="29"/>
  <c r="AC50" i="29"/>
  <c r="AC51" i="29"/>
  <c r="AC52" i="29"/>
  <c r="AC53" i="29"/>
  <c r="AC54" i="29"/>
  <c r="AC55" i="29"/>
  <c r="AC56" i="29"/>
  <c r="AC57"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Z3"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1" i="29"/>
  <c r="V3" i="29"/>
  <c r="H3" i="29" a="1"/>
  <c r="H3" i="29" s="1"/>
  <c r="G3" i="29" a="1"/>
  <c r="G3" i="29" s="1"/>
  <c r="F3" i="29" a="1"/>
  <c r="F3" i="29" s="1"/>
  <c r="E3" i="29" a="1"/>
  <c r="E3" i="29" s="1"/>
  <c r="V5" i="29"/>
  <c r="V6" i="29"/>
  <c r="V7" i="29"/>
  <c r="V8" i="29"/>
  <c r="V9" i="29"/>
  <c r="V10" i="29"/>
  <c r="V11" i="29"/>
  <c r="V12" i="29"/>
  <c r="V13" i="29"/>
  <c r="V14" i="29"/>
  <c r="V15" i="29"/>
  <c r="V16" i="29"/>
  <c r="V17" i="29"/>
  <c r="V18" i="29"/>
  <c r="V19" i="29"/>
  <c r="V20" i="29"/>
  <c r="V21" i="29"/>
  <c r="V22" i="29"/>
  <c r="V23" i="29"/>
  <c r="V24" i="29"/>
  <c r="V25" i="29"/>
  <c r="V26" i="29"/>
  <c r="V27" i="29"/>
  <c r="V28" i="29"/>
  <c r="V29" i="29"/>
  <c r="V30" i="29"/>
  <c r="V31" i="29"/>
  <c r="V32" i="29"/>
  <c r="V33" i="29"/>
  <c r="V34" i="29"/>
  <c r="V35" i="29"/>
  <c r="V36" i="29"/>
  <c r="V37" i="29"/>
  <c r="V38" i="29"/>
  <c r="V39" i="29"/>
  <c r="V40" i="29"/>
  <c r="V41" i="29"/>
  <c r="V42" i="29"/>
  <c r="V43" i="29"/>
  <c r="V44" i="29"/>
  <c r="V45" i="29"/>
  <c r="V46" i="29"/>
  <c r="V47" i="29"/>
  <c r="V48" i="29"/>
  <c r="V49" i="29"/>
  <c r="V50" i="29"/>
  <c r="V51" i="29"/>
  <c r="V52" i="29"/>
  <c r="V53" i="29"/>
  <c r="V54" i="29"/>
  <c r="V55" i="29"/>
  <c r="V56" i="29"/>
  <c r="V57" i="29"/>
  <c r="V58" i="29"/>
  <c r="V59" i="29"/>
  <c r="V60" i="29"/>
  <c r="V61" i="29"/>
  <c r="V62" i="29"/>
  <c r="V63" i="29"/>
  <c r="V64" i="29"/>
  <c r="V65" i="29"/>
  <c r="V66" i="29"/>
  <c r="V67" i="29"/>
  <c r="V68" i="29"/>
  <c r="V69" i="29"/>
  <c r="V70" i="29"/>
  <c r="V71" i="29"/>
  <c r="V72" i="29"/>
  <c r="V73" i="29"/>
  <c r="V74" i="29"/>
  <c r="V75" i="29"/>
  <c r="V76" i="29"/>
  <c r="V77" i="29"/>
  <c r="V78" i="29"/>
  <c r="V79" i="29"/>
  <c r="V80" i="29"/>
  <c r="V81" i="29"/>
  <c r="H81" i="29" a="1"/>
  <c r="H81" i="29" s="1"/>
  <c r="G74" i="29" a="1"/>
  <c r="G74" i="29" s="1"/>
  <c r="G75" i="29" a="1"/>
  <c r="G75" i="29" s="1"/>
  <c r="G78" i="29" a="1"/>
  <c r="G78" i="29" s="1"/>
  <c r="G79" i="29" a="1"/>
  <c r="G79" i="29" s="1"/>
  <c r="G80" i="29" a="1"/>
  <c r="G80" i="29" s="1"/>
  <c r="G81" i="29" a="1"/>
  <c r="G81" i="29" s="1"/>
  <c r="F5" i="29" a="1"/>
  <c r="F5" i="29" s="1"/>
  <c r="F6" i="29" a="1"/>
  <c r="F6" i="29" s="1"/>
  <c r="F7" i="29" a="1"/>
  <c r="F7" i="29" s="1"/>
  <c r="F8" i="29" a="1"/>
  <c r="F8" i="29" s="1"/>
  <c r="F9" i="29" a="1"/>
  <c r="F9" i="29" s="1"/>
  <c r="F10" i="29" a="1"/>
  <c r="F10" i="29" s="1"/>
  <c r="F11" i="29" a="1"/>
  <c r="F11" i="29" s="1"/>
  <c r="F12" i="29" a="1"/>
  <c r="F12" i="29" s="1"/>
  <c r="F13" i="29" a="1"/>
  <c r="F13" i="29" s="1"/>
  <c r="F14" i="29" a="1"/>
  <c r="F14" i="29" s="1"/>
  <c r="F15" i="29" a="1"/>
  <c r="F15" i="29" s="1"/>
  <c r="F16" i="29" a="1"/>
  <c r="F16" i="29" s="1"/>
  <c r="F17" i="29" a="1"/>
  <c r="F17" i="29" s="1"/>
  <c r="F18" i="29" a="1"/>
  <c r="F18" i="29" s="1"/>
  <c r="F19" i="29" a="1"/>
  <c r="F19" i="29" s="1"/>
  <c r="F20" i="29" a="1"/>
  <c r="F20" i="29" s="1"/>
  <c r="F21" i="29" a="1"/>
  <c r="F21" i="29" s="1"/>
  <c r="F22" i="29" a="1"/>
  <c r="F22" i="29" s="1"/>
  <c r="F23" i="29" a="1"/>
  <c r="F23" i="29" s="1"/>
  <c r="F24" i="29" a="1"/>
  <c r="F24" i="29" s="1"/>
  <c r="F25" i="29" a="1"/>
  <c r="F25" i="29" s="1"/>
  <c r="F26" i="29" a="1"/>
  <c r="F26" i="29" s="1"/>
  <c r="F27" i="29" a="1"/>
  <c r="F27" i="29" s="1"/>
  <c r="F28" i="29" a="1"/>
  <c r="F28" i="29" s="1"/>
  <c r="F29" i="29" a="1"/>
  <c r="F29" i="29" s="1"/>
  <c r="F30" i="29" a="1"/>
  <c r="F30" i="29" s="1"/>
  <c r="F31" i="29" a="1"/>
  <c r="F31" i="29" s="1"/>
  <c r="F32" i="29" a="1"/>
  <c r="F32" i="29" s="1"/>
  <c r="F33" i="29" a="1"/>
  <c r="F33" i="29" s="1"/>
  <c r="F34" i="29" a="1"/>
  <c r="F34" i="29" s="1"/>
  <c r="F35" i="29" a="1"/>
  <c r="F35" i="29" s="1"/>
  <c r="F36" i="29" a="1"/>
  <c r="F36" i="29" s="1"/>
  <c r="F37" i="29" a="1"/>
  <c r="F37" i="29" s="1"/>
  <c r="F38" i="29" a="1"/>
  <c r="F38" i="29" s="1"/>
  <c r="F39" i="29" a="1"/>
  <c r="F39" i="29" s="1"/>
  <c r="F40" i="29" a="1"/>
  <c r="F40" i="29" s="1"/>
  <c r="F41" i="29" a="1"/>
  <c r="F41" i="29" s="1"/>
  <c r="F42" i="29" a="1"/>
  <c r="F42" i="29" s="1"/>
  <c r="F43" i="29" a="1"/>
  <c r="F43" i="29" s="1"/>
  <c r="F44" i="29" a="1"/>
  <c r="F44" i="29" s="1"/>
  <c r="F45" i="29" a="1"/>
  <c r="F45" i="29" s="1"/>
  <c r="F46" i="29" a="1"/>
  <c r="F46" i="29"/>
  <c r="F47" i="29" a="1"/>
  <c r="F47" i="29" s="1"/>
  <c r="F48" i="29" a="1"/>
  <c r="F48" i="29" s="1"/>
  <c r="F49" i="29" a="1"/>
  <c r="F49" i="29" s="1"/>
  <c r="F50" i="29" a="1"/>
  <c r="F50" i="29" s="1"/>
  <c r="F51" i="29" a="1"/>
  <c r="F51" i="29" s="1"/>
  <c r="F52" i="29" a="1"/>
  <c r="F52" i="29" s="1"/>
  <c r="F53" i="29" a="1"/>
  <c r="F53" i="29" s="1"/>
  <c r="F54" i="29" a="1"/>
  <c r="F54" i="29" s="1"/>
  <c r="F55" i="29" a="1"/>
  <c r="F55" i="29"/>
  <c r="F56" i="29" a="1"/>
  <c r="F56" i="29" s="1"/>
  <c r="F57" i="29" a="1"/>
  <c r="F57" i="29" s="1"/>
  <c r="F58" i="29" a="1"/>
  <c r="F58" i="29" s="1"/>
  <c r="F59" i="29" a="1"/>
  <c r="F59" i="29" s="1"/>
  <c r="F60" i="29" a="1"/>
  <c r="F60" i="29" s="1"/>
  <c r="F61" i="29" a="1"/>
  <c r="F61" i="29" s="1"/>
  <c r="F62" i="29" a="1"/>
  <c r="F62" i="29" s="1"/>
  <c r="F63" i="29" a="1"/>
  <c r="F63" i="29" s="1"/>
  <c r="F64" i="29" a="1"/>
  <c r="F64" i="29" s="1"/>
  <c r="F65" i="29" a="1"/>
  <c r="F65" i="29" s="1"/>
  <c r="F66" i="29" a="1"/>
  <c r="F66" i="29" s="1"/>
  <c r="F67" i="29" a="1"/>
  <c r="F67" i="29" s="1"/>
  <c r="F68" i="29" a="1"/>
  <c r="F68" i="29" s="1"/>
  <c r="F69" i="29" a="1"/>
  <c r="F69" i="29" s="1"/>
  <c r="F70" i="29" a="1"/>
  <c r="F70" i="29" s="1"/>
  <c r="F71" i="29" a="1"/>
  <c r="F71" i="29" s="1"/>
  <c r="F72" i="29" a="1"/>
  <c r="F72" i="29" s="1"/>
  <c r="F73" i="29" a="1"/>
  <c r="F73" i="29" s="1"/>
  <c r="F74" i="29" a="1"/>
  <c r="F74" i="29" s="1"/>
  <c r="F75" i="29" a="1"/>
  <c r="F75" i="29" s="1"/>
  <c r="F76" i="29" a="1"/>
  <c r="F76" i="29" s="1"/>
  <c r="F77" i="29" a="1"/>
  <c r="F77" i="29" s="1"/>
  <c r="F78" i="29" a="1"/>
  <c r="F78" i="29" s="1"/>
  <c r="F79" i="29" a="1"/>
  <c r="F79" i="29" s="1"/>
  <c r="F80" i="29" a="1"/>
  <c r="F80" i="29" s="1"/>
  <c r="F81" i="29" a="1"/>
  <c r="F81" i="29" s="1"/>
  <c r="E5" i="29" a="1"/>
  <c r="E5" i="29" s="1"/>
  <c r="E6" i="29" a="1"/>
  <c r="E6" i="29" s="1"/>
  <c r="E7" i="29" a="1"/>
  <c r="E7" i="29"/>
  <c r="E8" i="29" a="1"/>
  <c r="E8" i="29" s="1"/>
  <c r="E9" i="29" a="1"/>
  <c r="E9" i="29" s="1"/>
  <c r="E10" i="29" a="1"/>
  <c r="E10" i="29" s="1"/>
  <c r="E11" i="29" a="1"/>
  <c r="E11" i="29" s="1"/>
  <c r="E12" i="29" a="1"/>
  <c r="E12" i="29"/>
  <c r="E13" i="29" a="1"/>
  <c r="E13" i="29" s="1"/>
  <c r="E14" i="29" a="1"/>
  <c r="E14" i="29" s="1"/>
  <c r="E15" i="29" a="1"/>
  <c r="E15" i="29" s="1"/>
  <c r="E16" i="29" a="1"/>
  <c r="E16" i="29" s="1"/>
  <c r="E17" i="29" a="1"/>
  <c r="E17" i="29" s="1"/>
  <c r="E18" i="29" a="1"/>
  <c r="E18" i="29" s="1"/>
  <c r="E19" i="29" a="1"/>
  <c r="E19" i="29" s="1"/>
  <c r="E20" i="29" a="1"/>
  <c r="E20" i="29" s="1"/>
  <c r="E21" i="29" a="1"/>
  <c r="E21" i="29" s="1"/>
  <c r="E22" i="29" a="1"/>
  <c r="E22" i="29" s="1"/>
  <c r="E23" i="29" a="1"/>
  <c r="E23" i="29" s="1"/>
  <c r="E24" i="29" a="1"/>
  <c r="E24" i="29" s="1"/>
  <c r="E25" i="29" a="1"/>
  <c r="E25" i="29" s="1"/>
  <c r="E26" i="29" a="1"/>
  <c r="E26" i="29" s="1"/>
  <c r="E27" i="29" a="1"/>
  <c r="E27" i="29"/>
  <c r="E28" i="29" a="1"/>
  <c r="E28" i="29" s="1"/>
  <c r="E29" i="29" a="1"/>
  <c r="E29" i="29" s="1"/>
  <c r="E30" i="29" a="1"/>
  <c r="E30" i="29" s="1"/>
  <c r="E31" i="29" a="1"/>
  <c r="E31" i="29" s="1"/>
  <c r="E32" i="29" a="1"/>
  <c r="E32" i="29" s="1"/>
  <c r="E33" i="29" a="1"/>
  <c r="E33" i="29" s="1"/>
  <c r="E34" i="29" a="1"/>
  <c r="E34" i="29"/>
  <c r="E35" i="29" a="1"/>
  <c r="E35" i="29" s="1"/>
  <c r="E36" i="29" a="1"/>
  <c r="E36" i="29"/>
  <c r="E37" i="29" a="1"/>
  <c r="E37" i="29" s="1"/>
  <c r="E38" i="29" a="1"/>
  <c r="E38" i="29" s="1"/>
  <c r="E39" i="29" a="1"/>
  <c r="E39" i="29" s="1"/>
  <c r="E40" i="29" a="1"/>
  <c r="E40" i="29" s="1"/>
  <c r="E41" i="29" a="1"/>
  <c r="E41" i="29" s="1"/>
  <c r="E42" i="29" a="1"/>
  <c r="E42" i="29" s="1"/>
  <c r="E43" i="29" a="1"/>
  <c r="E43" i="29" s="1"/>
  <c r="E44" i="29" a="1"/>
  <c r="E44" i="29" s="1"/>
  <c r="E45" i="29" a="1"/>
  <c r="E45" i="29" s="1"/>
  <c r="E46" i="29" a="1"/>
  <c r="E46" i="29" s="1"/>
  <c r="E47" i="29" a="1"/>
  <c r="E47" i="29" s="1"/>
  <c r="E48" i="29" a="1"/>
  <c r="E48" i="29" s="1"/>
  <c r="E49" i="29" a="1"/>
  <c r="E49" i="29" s="1"/>
  <c r="E50" i="29" a="1"/>
  <c r="E50" i="29" s="1"/>
  <c r="E51" i="29" a="1"/>
  <c r="E51" i="29" s="1"/>
  <c r="E52" i="29" a="1"/>
  <c r="E52" i="29" s="1"/>
  <c r="E53" i="29" a="1"/>
  <c r="E53" i="29" s="1"/>
  <c r="E54" i="29" a="1"/>
  <c r="E54" i="29" s="1"/>
  <c r="E55" i="29" a="1"/>
  <c r="E55" i="29"/>
  <c r="E56" i="29" a="1"/>
  <c r="E56" i="29" s="1"/>
  <c r="E57" i="29" a="1"/>
  <c r="E57" i="29"/>
  <c r="E58" i="29" a="1"/>
  <c r="E58" i="29" s="1"/>
  <c r="E59" i="29" a="1"/>
  <c r="E59" i="29" s="1"/>
  <c r="E60" i="29" a="1"/>
  <c r="E60" i="29" s="1"/>
  <c r="E61" i="29" a="1"/>
  <c r="E61" i="29" s="1"/>
  <c r="E62" i="29" a="1"/>
  <c r="E62" i="29" s="1"/>
  <c r="E63" i="29" a="1"/>
  <c r="E63" i="29"/>
  <c r="E64" i="29" a="1"/>
  <c r="E64" i="29" s="1"/>
  <c r="E65" i="29" a="1"/>
  <c r="E65" i="29" s="1"/>
  <c r="E66" i="29" a="1"/>
  <c r="E66" i="29" s="1"/>
  <c r="E67" i="29" a="1"/>
  <c r="E67" i="29" s="1"/>
  <c r="E68" i="29" a="1"/>
  <c r="E68" i="29" s="1"/>
  <c r="E69" i="29" a="1"/>
  <c r="E69" i="29" s="1"/>
  <c r="E70" i="29" a="1"/>
  <c r="E70" i="29" s="1"/>
  <c r="E71" i="29" a="1"/>
  <c r="E71" i="29" s="1"/>
  <c r="E72" i="29" a="1"/>
  <c r="E72" i="29" s="1"/>
  <c r="E73" i="29" a="1"/>
  <c r="E73" i="29"/>
  <c r="E74" i="29" a="1"/>
  <c r="E74" i="29" s="1"/>
  <c r="E75" i="29" a="1"/>
  <c r="E75" i="29" s="1"/>
  <c r="E76" i="29" a="1"/>
  <c r="E76" i="29" s="1"/>
  <c r="E77" i="29" a="1"/>
  <c r="E77" i="29" s="1"/>
  <c r="E78" i="29" a="1"/>
  <c r="E78" i="29" s="1"/>
  <c r="E79" i="29" a="1"/>
  <c r="E79" i="29" s="1"/>
  <c r="E80" i="29" a="1"/>
  <c r="E80" i="29" s="1"/>
  <c r="E81" i="29" a="1"/>
  <c r="E81" i="29" s="1"/>
  <c r="S44" i="13"/>
  <c r="S46" i="13"/>
  <c r="AJ11" i="83" l="1"/>
  <c r="AJ12" i="83"/>
  <c r="AJ13" i="83"/>
  <c r="AL24" i="59" l="1" a="1"/>
  <c r="AL24" i="59" s="1"/>
  <c r="AL25" i="59" a="1"/>
  <c r="AL25" i="59" s="1"/>
  <c r="AJ10" i="83"/>
  <c r="Z7" i="61" l="1"/>
  <c r="AA7" i="61" s="1" a="1"/>
  <c r="AA7" i="61" s="1"/>
  <c r="AC5" i="61"/>
  <c r="AC4" i="61"/>
  <c r="M3" i="53" l="1"/>
  <c r="AG23" i="49"/>
  <c r="AG24" i="49"/>
  <c r="AG25" i="49"/>
  <c r="AG26" i="49"/>
  <c r="AG27" i="49"/>
  <c r="D8" i="47"/>
  <c r="D6" i="47"/>
  <c r="D4" i="47"/>
  <c r="D2" i="47"/>
  <c r="C29" i="7"/>
  <c r="K29" i="7"/>
  <c r="L29" i="7" s="1"/>
  <c r="M29" i="7" s="1"/>
  <c r="C30" i="7"/>
  <c r="K30" i="7"/>
  <c r="L30" i="7" s="1"/>
  <c r="M30" i="7" s="1"/>
  <c r="C31" i="7"/>
  <c r="K31" i="7"/>
  <c r="L31" i="7" s="1"/>
  <c r="M31" i="7" s="1"/>
  <c r="C32" i="7"/>
  <c r="K32" i="7"/>
  <c r="L32" i="7" s="1"/>
  <c r="M32" i="7" s="1"/>
  <c r="C33" i="7"/>
  <c r="K33" i="7"/>
  <c r="L33" i="7" s="1"/>
  <c r="M33" i="7" s="1"/>
  <c r="C34" i="7"/>
  <c r="K34" i="7"/>
  <c r="L34" i="7" s="1"/>
  <c r="M34" i="7" s="1"/>
  <c r="C35" i="7"/>
  <c r="K35" i="7"/>
  <c r="L35" i="7" s="1"/>
  <c r="M35" i="7" s="1"/>
  <c r="C36" i="7"/>
  <c r="K36" i="7"/>
  <c r="L36" i="7" s="1"/>
  <c r="M36" i="7" s="1"/>
  <c r="C37" i="7"/>
  <c r="K37" i="7"/>
  <c r="L37" i="7" s="1"/>
  <c r="M37" i="7" s="1"/>
  <c r="C43" i="7"/>
  <c r="K43" i="7"/>
  <c r="L43" i="7" s="1"/>
  <c r="M43" i="7" s="1"/>
  <c r="C44" i="7"/>
  <c r="K44" i="7"/>
  <c r="L44" i="7" s="1"/>
  <c r="M44" i="7" s="1"/>
  <c r="C45" i="7"/>
  <c r="K45" i="7"/>
  <c r="L45" i="7" s="1"/>
  <c r="M45" i="7" s="1"/>
  <c r="C38" i="7"/>
  <c r="K38" i="7"/>
  <c r="L38" i="7" s="1"/>
  <c r="M38" i="7" s="1"/>
  <c r="C39" i="7"/>
  <c r="K39" i="7"/>
  <c r="L39" i="7" s="1"/>
  <c r="M39" i="7" s="1"/>
  <c r="C40" i="7"/>
  <c r="K40" i="7"/>
  <c r="L40" i="7" s="1"/>
  <c r="M40" i="7" s="1"/>
  <c r="C41" i="7"/>
  <c r="K41" i="7"/>
  <c r="L41" i="7" s="1"/>
  <c r="M41" i="7" s="1"/>
  <c r="C42" i="7"/>
  <c r="K42" i="7"/>
  <c r="L42" i="7" s="1"/>
  <c r="M42" i="7" s="1"/>
  <c r="AN49" i="6"/>
  <c r="AN48" i="6"/>
  <c r="AN53" i="6"/>
  <c r="AN52" i="6"/>
  <c r="U55" i="6"/>
  <c r="U56" i="6"/>
  <c r="AN57" i="6"/>
  <c r="U58" i="6"/>
  <c r="AN61" i="6"/>
  <c r="U64" i="6"/>
  <c r="AN65" i="6"/>
  <c r="U67" i="6"/>
  <c r="U68" i="6"/>
  <c r="AN69" i="6"/>
  <c r="U70" i="6"/>
  <c r="U48" i="6"/>
  <c r="AE48" i="6"/>
  <c r="AQ48" i="6"/>
  <c r="AR48" i="6"/>
  <c r="AS48" i="6"/>
  <c r="AT48" i="6"/>
  <c r="AU48" i="6"/>
  <c r="AV48" i="6"/>
  <c r="U49" i="6"/>
  <c r="AE49" i="6"/>
  <c r="AQ49" i="6"/>
  <c r="AR49" i="6"/>
  <c r="AS49" i="6"/>
  <c r="AT49" i="6"/>
  <c r="AU49" i="6"/>
  <c r="AV49" i="6"/>
  <c r="U50" i="6"/>
  <c r="AE50" i="6"/>
  <c r="AN50" i="6"/>
  <c r="AQ50" i="6"/>
  <c r="AR50" i="6"/>
  <c r="AS50" i="6"/>
  <c r="AT50" i="6"/>
  <c r="AU50" i="6"/>
  <c r="AV50" i="6"/>
  <c r="U51" i="6"/>
  <c r="AE51" i="6"/>
  <c r="AQ51" i="6"/>
  <c r="AR51" i="6"/>
  <c r="AS51" i="6"/>
  <c r="AT51" i="6"/>
  <c r="AU51" i="6"/>
  <c r="AV51" i="6"/>
  <c r="U52" i="6"/>
  <c r="AE52" i="6"/>
  <c r="AQ52" i="6"/>
  <c r="AR52" i="6"/>
  <c r="AS52" i="6"/>
  <c r="AT52" i="6"/>
  <c r="AU52" i="6"/>
  <c r="AV52" i="6"/>
  <c r="U53" i="6"/>
  <c r="AE53" i="6"/>
  <c r="AQ53" i="6"/>
  <c r="AR53" i="6"/>
  <c r="AS53" i="6"/>
  <c r="AT53" i="6"/>
  <c r="AU53" i="6"/>
  <c r="AV53" i="6"/>
  <c r="U54" i="6"/>
  <c r="AE54" i="6"/>
  <c r="AQ54" i="6"/>
  <c r="AR54" i="6"/>
  <c r="AS54" i="6"/>
  <c r="AT54" i="6"/>
  <c r="AU54" i="6"/>
  <c r="AV54" i="6"/>
  <c r="AE55" i="6"/>
  <c r="AQ55" i="6"/>
  <c r="AR55" i="6"/>
  <c r="AS55" i="6"/>
  <c r="AT55" i="6"/>
  <c r="AU55" i="6"/>
  <c r="AV55" i="6"/>
  <c r="AE56" i="6"/>
  <c r="AQ56" i="6"/>
  <c r="AR56" i="6"/>
  <c r="AS56" i="6"/>
  <c r="AT56" i="6"/>
  <c r="AU56" i="6"/>
  <c r="AV56" i="6"/>
  <c r="U57" i="6"/>
  <c r="AE57" i="6"/>
  <c r="AQ57" i="6"/>
  <c r="AR57" i="6"/>
  <c r="AS57" i="6"/>
  <c r="AT57" i="6"/>
  <c r="AU57" i="6"/>
  <c r="AV57" i="6"/>
  <c r="AE58" i="6"/>
  <c r="AQ58" i="6"/>
  <c r="AR58" i="6"/>
  <c r="AS58" i="6"/>
  <c r="AT58" i="6"/>
  <c r="AU58" i="6"/>
  <c r="AV58" i="6"/>
  <c r="U59" i="6"/>
  <c r="AE59" i="6"/>
  <c r="AQ59" i="6"/>
  <c r="AR59" i="6"/>
  <c r="AS59" i="6"/>
  <c r="AT59" i="6"/>
  <c r="AU59" i="6"/>
  <c r="AV59" i="6"/>
  <c r="U60" i="6"/>
  <c r="AE60" i="6"/>
  <c r="AQ60" i="6"/>
  <c r="AR60" i="6"/>
  <c r="AS60" i="6"/>
  <c r="AT60" i="6"/>
  <c r="AU60" i="6"/>
  <c r="AV60" i="6"/>
  <c r="U61" i="6"/>
  <c r="AE61" i="6"/>
  <c r="AQ61" i="6"/>
  <c r="AR61" i="6"/>
  <c r="AS61" i="6"/>
  <c r="AT61" i="6"/>
  <c r="AU61" i="6"/>
  <c r="AV61" i="6"/>
  <c r="U62" i="6"/>
  <c r="AE62" i="6"/>
  <c r="AQ62" i="6"/>
  <c r="AR62" i="6"/>
  <c r="AS62" i="6"/>
  <c r="AT62" i="6"/>
  <c r="AU62" i="6"/>
  <c r="AV62" i="6"/>
  <c r="U63" i="6"/>
  <c r="AE63" i="6"/>
  <c r="AQ63" i="6"/>
  <c r="AR63" i="6"/>
  <c r="AS63" i="6"/>
  <c r="AT63" i="6"/>
  <c r="AU63" i="6"/>
  <c r="AV63" i="6"/>
  <c r="AE64" i="6"/>
  <c r="AQ64" i="6"/>
  <c r="AR64" i="6"/>
  <c r="AS64" i="6"/>
  <c r="AT64" i="6"/>
  <c r="AU64" i="6"/>
  <c r="AV64" i="6"/>
  <c r="U65" i="6"/>
  <c r="AE65" i="6"/>
  <c r="AQ65" i="6"/>
  <c r="AR65" i="6"/>
  <c r="AS65" i="6"/>
  <c r="AT65" i="6"/>
  <c r="AU65" i="6"/>
  <c r="AV65" i="6"/>
  <c r="U66" i="6"/>
  <c r="AE66" i="6"/>
  <c r="AQ66" i="6"/>
  <c r="AR66" i="6"/>
  <c r="AS66" i="6"/>
  <c r="AT66" i="6"/>
  <c r="AU66" i="6"/>
  <c r="AV66" i="6"/>
  <c r="AE67" i="6"/>
  <c r="AQ67" i="6"/>
  <c r="AR67" i="6"/>
  <c r="AS67" i="6"/>
  <c r="AT67" i="6"/>
  <c r="AU67" i="6"/>
  <c r="AV67" i="6"/>
  <c r="AE68" i="6"/>
  <c r="AQ68" i="6"/>
  <c r="AR68" i="6"/>
  <c r="AS68" i="6"/>
  <c r="AT68" i="6"/>
  <c r="AU68" i="6"/>
  <c r="AV68" i="6"/>
  <c r="U69" i="6"/>
  <c r="AE69" i="6"/>
  <c r="AQ69" i="6"/>
  <c r="AR69" i="6"/>
  <c r="AS69" i="6"/>
  <c r="AT69" i="6"/>
  <c r="AU69" i="6"/>
  <c r="AV69" i="6"/>
  <c r="AE70" i="6"/>
  <c r="AQ70" i="6"/>
  <c r="AR70" i="6"/>
  <c r="AS70" i="6"/>
  <c r="AT70" i="6"/>
  <c r="AU70" i="6"/>
  <c r="AV70" i="6"/>
  <c r="U71" i="6"/>
  <c r="AE71" i="6"/>
  <c r="AQ71" i="6"/>
  <c r="AR71" i="6"/>
  <c r="AS71" i="6"/>
  <c r="AT71" i="6"/>
  <c r="AU71" i="6"/>
  <c r="AN71" i="6"/>
  <c r="AV71" i="6"/>
  <c r="H6" i="13"/>
  <c r="AJ9" i="29" l="1"/>
  <c r="AJ21" i="29"/>
  <c r="AJ33" i="29"/>
  <c r="AJ45" i="29"/>
  <c r="AJ57" i="29"/>
  <c r="AJ69" i="29"/>
  <c r="AJ81" i="29"/>
  <c r="AG15" i="29"/>
  <c r="AG27" i="29"/>
  <c r="AG39" i="29"/>
  <c r="AG51" i="29"/>
  <c r="AG63" i="29"/>
  <c r="AG75" i="29"/>
  <c r="Y16" i="29"/>
  <c r="Y28" i="29"/>
  <c r="Y40" i="29"/>
  <c r="Y52" i="29"/>
  <c r="Y64" i="29"/>
  <c r="Y76" i="29"/>
  <c r="AJ10" i="29"/>
  <c r="AJ22" i="29"/>
  <c r="AJ34" i="29"/>
  <c r="AJ46" i="29"/>
  <c r="AJ58" i="29"/>
  <c r="AJ70" i="29"/>
  <c r="AG3" i="29"/>
  <c r="AG16" i="29"/>
  <c r="AG28" i="29"/>
  <c r="AG40" i="29"/>
  <c r="AG52" i="29"/>
  <c r="AG64" i="29"/>
  <c r="AG76" i="29"/>
  <c r="Y5" i="29"/>
  <c r="Y17" i="29"/>
  <c r="Y29" i="29"/>
  <c r="Y41" i="29"/>
  <c r="Y53" i="29"/>
  <c r="Y65" i="29"/>
  <c r="Y77" i="29"/>
  <c r="AJ11" i="29"/>
  <c r="AJ23" i="29"/>
  <c r="AJ35" i="29"/>
  <c r="AJ47" i="29"/>
  <c r="AJ59" i="29"/>
  <c r="AJ71" i="29"/>
  <c r="AG5" i="29"/>
  <c r="AG17" i="29"/>
  <c r="AG29" i="29"/>
  <c r="AG41" i="29"/>
  <c r="AG53" i="29"/>
  <c r="AG65" i="29"/>
  <c r="AG77" i="29"/>
  <c r="Y6" i="29"/>
  <c r="Y18" i="29"/>
  <c r="Y30" i="29"/>
  <c r="Y42" i="29"/>
  <c r="Y54" i="29"/>
  <c r="Y66" i="29"/>
  <c r="Y78" i="29"/>
  <c r="AJ12" i="29"/>
  <c r="AJ24" i="29"/>
  <c r="AJ36" i="29"/>
  <c r="AJ48" i="29"/>
  <c r="AJ60" i="29"/>
  <c r="AJ72" i="29"/>
  <c r="AG6" i="29"/>
  <c r="AG18" i="29"/>
  <c r="AG30" i="29"/>
  <c r="AG42" i="29"/>
  <c r="AG54" i="29"/>
  <c r="AG66" i="29"/>
  <c r="AG78" i="29"/>
  <c r="Y7" i="29"/>
  <c r="Y19" i="29"/>
  <c r="Y31" i="29"/>
  <c r="Y43" i="29"/>
  <c r="Y55" i="29"/>
  <c r="Y67" i="29"/>
  <c r="Y79" i="29"/>
  <c r="AJ13" i="29"/>
  <c r="AJ25" i="29"/>
  <c r="AJ37" i="29"/>
  <c r="AJ49" i="29"/>
  <c r="AJ61" i="29"/>
  <c r="AJ73" i="29"/>
  <c r="AG7" i="29"/>
  <c r="AG19" i="29"/>
  <c r="AG31" i="29"/>
  <c r="AG43" i="29"/>
  <c r="AG55" i="29"/>
  <c r="AG67" i="29"/>
  <c r="AG79" i="29"/>
  <c r="Y8" i="29"/>
  <c r="Y20" i="29"/>
  <c r="Y32" i="29"/>
  <c r="Y44" i="29"/>
  <c r="Y56" i="29"/>
  <c r="Y68" i="29"/>
  <c r="Y80" i="29"/>
  <c r="AJ14" i="29"/>
  <c r="AJ26" i="29"/>
  <c r="AJ38" i="29"/>
  <c r="AJ50" i="29"/>
  <c r="AJ62" i="29"/>
  <c r="AJ74" i="29"/>
  <c r="AG8" i="29"/>
  <c r="AG20" i="29"/>
  <c r="AG32" i="29"/>
  <c r="AG44" i="29"/>
  <c r="AG56" i="29"/>
  <c r="AG68" i="29"/>
  <c r="AG80" i="29"/>
  <c r="Y9" i="29"/>
  <c r="Y21" i="29"/>
  <c r="Y33" i="29"/>
  <c r="Y45" i="29"/>
  <c r="Y57" i="29"/>
  <c r="Y69" i="29"/>
  <c r="Y81" i="29"/>
  <c r="AJ15" i="29"/>
  <c r="AJ27" i="29"/>
  <c r="AJ39" i="29"/>
  <c r="AJ51" i="29"/>
  <c r="AJ63" i="29"/>
  <c r="AJ75" i="29"/>
  <c r="AG9" i="29"/>
  <c r="AG21" i="29"/>
  <c r="AG33" i="29"/>
  <c r="AG45" i="29"/>
  <c r="AG57" i="29"/>
  <c r="AG69" i="29"/>
  <c r="AG81" i="29"/>
  <c r="Y10" i="29"/>
  <c r="Y22" i="29"/>
  <c r="Y34" i="29"/>
  <c r="Y46" i="29"/>
  <c r="Y58" i="29"/>
  <c r="Y70" i="29"/>
  <c r="AJ3" i="29"/>
  <c r="AJ16" i="29"/>
  <c r="AJ28" i="29"/>
  <c r="AJ40" i="29"/>
  <c r="AJ52" i="29"/>
  <c r="AJ64" i="29"/>
  <c r="AJ76" i="29"/>
  <c r="AG10" i="29"/>
  <c r="AG22" i="29"/>
  <c r="AG34" i="29"/>
  <c r="AG46" i="29"/>
  <c r="AG58" i="29"/>
  <c r="AG70" i="29"/>
  <c r="Y3" i="29"/>
  <c r="Y11" i="29"/>
  <c r="Y23" i="29"/>
  <c r="Y35" i="29"/>
  <c r="Y47" i="29"/>
  <c r="Y59" i="29"/>
  <c r="Y71" i="29"/>
  <c r="AJ5" i="29"/>
  <c r="AJ17" i="29"/>
  <c r="AJ29" i="29"/>
  <c r="AJ41" i="29"/>
  <c r="AJ53" i="29"/>
  <c r="AJ65" i="29"/>
  <c r="AJ77" i="29"/>
  <c r="AG11" i="29"/>
  <c r="AG23" i="29"/>
  <c r="AG35" i="29"/>
  <c r="AG47" i="29"/>
  <c r="AG59" i="29"/>
  <c r="AG71" i="29"/>
  <c r="Y12" i="29"/>
  <c r="Y24" i="29"/>
  <c r="Y36" i="29"/>
  <c r="Y48" i="29"/>
  <c r="Y60" i="29"/>
  <c r="Y72" i="29"/>
  <c r="AJ6" i="29"/>
  <c r="AJ18" i="29"/>
  <c r="AJ30" i="29"/>
  <c r="AJ42" i="29"/>
  <c r="AJ54" i="29"/>
  <c r="AJ66" i="29"/>
  <c r="AJ78" i="29"/>
  <c r="AG12" i="29"/>
  <c r="AG24" i="29"/>
  <c r="AG36" i="29"/>
  <c r="AG48" i="29"/>
  <c r="AG60" i="29"/>
  <c r="AG72" i="29"/>
  <c r="Y13" i="29"/>
  <c r="Y25" i="29"/>
  <c r="Y37" i="29"/>
  <c r="Y49" i="29"/>
  <c r="Y61" i="29"/>
  <c r="Y73" i="29"/>
  <c r="AJ7" i="29"/>
  <c r="AJ19" i="29"/>
  <c r="AJ31" i="29"/>
  <c r="AJ43" i="29"/>
  <c r="AJ55" i="29"/>
  <c r="AJ67" i="29"/>
  <c r="AJ79" i="29"/>
  <c r="AG13" i="29"/>
  <c r="AG25" i="29"/>
  <c r="AG37" i="29"/>
  <c r="AG49" i="29"/>
  <c r="AG61" i="29"/>
  <c r="AG73" i="29"/>
  <c r="Y14" i="29"/>
  <c r="Y26" i="29"/>
  <c r="Y38" i="29"/>
  <c r="Y50" i="29"/>
  <c r="Y62" i="29"/>
  <c r="Y74" i="29"/>
  <c r="AJ8" i="29"/>
  <c r="AJ20" i="29"/>
  <c r="AJ32" i="29"/>
  <c r="AJ44" i="29"/>
  <c r="AJ56" i="29"/>
  <c r="AJ68" i="29"/>
  <c r="AJ80" i="29"/>
  <c r="AG14" i="29"/>
  <c r="AG26" i="29"/>
  <c r="AG38" i="29"/>
  <c r="AG50" i="29"/>
  <c r="AG62" i="29"/>
  <c r="AG74" i="29"/>
  <c r="Y15" i="29"/>
  <c r="Y27" i="29"/>
  <c r="Y39" i="29"/>
  <c r="Y51" i="29"/>
  <c r="Y63" i="29"/>
  <c r="Y75" i="29"/>
  <c r="AN70" i="6"/>
  <c r="AN66" i="6"/>
  <c r="AN62" i="6"/>
  <c r="AN58" i="6"/>
  <c r="AN54" i="6"/>
  <c r="AN51" i="6"/>
  <c r="AN67" i="6"/>
  <c r="AN63" i="6"/>
  <c r="AN59" i="6"/>
  <c r="AN55" i="6"/>
  <c r="AN68" i="6"/>
  <c r="AN64" i="6"/>
  <c r="AN60" i="6"/>
  <c r="AN56" i="6"/>
  <c r="AP48" i="6"/>
  <c r="AP49" i="6"/>
  <c r="AP50" i="6"/>
  <c r="AP51" i="6"/>
  <c r="AP52" i="6"/>
  <c r="AP53" i="6"/>
  <c r="AP54" i="6"/>
  <c r="AP55" i="6"/>
  <c r="AP56" i="6"/>
  <c r="AP57" i="6"/>
  <c r="AP58" i="6"/>
  <c r="AP59" i="6"/>
  <c r="AP60" i="6"/>
  <c r="AP61" i="6"/>
  <c r="AP62" i="6"/>
  <c r="AP63" i="6"/>
  <c r="AP64" i="6"/>
  <c r="AP65" i="6"/>
  <c r="AP66" i="6"/>
  <c r="AP67" i="6"/>
  <c r="AP68" i="6"/>
  <c r="AP69" i="6"/>
  <c r="AP70" i="6"/>
  <c r="AP71" i="6"/>
  <c r="AP23" i="59" l="1"/>
  <c r="AP24" i="59"/>
  <c r="W22" i="59"/>
  <c r="W23" i="59"/>
  <c r="W24" i="59"/>
  <c r="W25" i="59"/>
  <c r="W26" i="59"/>
  <c r="W27" i="59"/>
  <c r="AI25" i="59"/>
  <c r="AI24" i="59"/>
  <c r="S27" i="59"/>
  <c r="AA27" i="59"/>
  <c r="AB27" i="59"/>
  <c r="S24" i="59"/>
  <c r="S25" i="59"/>
  <c r="S26" i="59"/>
  <c r="AA24" i="59"/>
  <c r="AA25" i="59"/>
  <c r="AA26" i="59"/>
  <c r="AB24" i="59"/>
  <c r="S23" i="59"/>
  <c r="AA23" i="59"/>
  <c r="AC27" i="59" l="1"/>
  <c r="AD27" i="59" s="1"/>
  <c r="AC24" i="59"/>
  <c r="AD24" i="59" s="1"/>
  <c r="I24" i="58"/>
  <c r="I25" i="58"/>
  <c r="D3" i="29" l="1"/>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M54" i="10"/>
  <c r="M55" i="10"/>
  <c r="M56" i="10"/>
  <c r="M57" i="10"/>
  <c r="M46" i="10"/>
  <c r="M47" i="10"/>
  <c r="M48" i="10"/>
  <c r="M49" i="10"/>
  <c r="M50" i="10"/>
  <c r="M51" i="10"/>
  <c r="M52" i="10"/>
  <c r="M53" i="10"/>
  <c r="M58" i="10"/>
  <c r="M59" i="10"/>
  <c r="M60" i="10"/>
  <c r="M61" i="10"/>
  <c r="M62" i="10"/>
  <c r="M63" i="10"/>
  <c r="M64" i="10"/>
  <c r="L5" i="29" l="1"/>
  <c r="L17" i="29"/>
  <c r="L29" i="29"/>
  <c r="L41" i="29"/>
  <c r="L53" i="29"/>
  <c r="L65" i="29"/>
  <c r="L77" i="29"/>
  <c r="L6" i="29"/>
  <c r="L18" i="29"/>
  <c r="L30" i="29"/>
  <c r="L42" i="29"/>
  <c r="L54" i="29"/>
  <c r="L66" i="29"/>
  <c r="L78" i="29"/>
  <c r="L7" i="29"/>
  <c r="L19" i="29"/>
  <c r="L31" i="29"/>
  <c r="L43" i="29"/>
  <c r="L55" i="29"/>
  <c r="L67" i="29"/>
  <c r="L79" i="29"/>
  <c r="L8" i="29"/>
  <c r="L20" i="29"/>
  <c r="L32" i="29"/>
  <c r="L44" i="29"/>
  <c r="L56" i="29"/>
  <c r="L68" i="29"/>
  <c r="L80" i="29"/>
  <c r="L9" i="29"/>
  <c r="L21" i="29"/>
  <c r="L33" i="29"/>
  <c r="L45" i="29"/>
  <c r="L57" i="29"/>
  <c r="L69" i="29"/>
  <c r="L81" i="29"/>
  <c r="L10" i="29"/>
  <c r="L22" i="29"/>
  <c r="L34" i="29"/>
  <c r="L46" i="29"/>
  <c r="L58" i="29"/>
  <c r="L70" i="29"/>
  <c r="L11" i="29"/>
  <c r="L23" i="29"/>
  <c r="L35" i="29"/>
  <c r="L47" i="29"/>
  <c r="L59" i="29"/>
  <c r="L71" i="29"/>
  <c r="L12" i="29"/>
  <c r="L24" i="29"/>
  <c r="L36" i="29"/>
  <c r="L48" i="29"/>
  <c r="L60" i="29"/>
  <c r="L72" i="29"/>
  <c r="L13" i="29"/>
  <c r="L25" i="29"/>
  <c r="L37" i="29"/>
  <c r="L49" i="29"/>
  <c r="L61" i="29"/>
  <c r="L73" i="29"/>
  <c r="L14" i="29"/>
  <c r="L26" i="29"/>
  <c r="L38" i="29"/>
  <c r="L50" i="29"/>
  <c r="L62" i="29"/>
  <c r="L74" i="29"/>
  <c r="L15" i="29"/>
  <c r="L27" i="29"/>
  <c r="L39" i="29"/>
  <c r="L51" i="29"/>
  <c r="L63" i="29"/>
  <c r="L75" i="29"/>
  <c r="L3" i="29"/>
  <c r="L16" i="29"/>
  <c r="L28" i="29"/>
  <c r="L40" i="29"/>
  <c r="L52" i="29"/>
  <c r="L64" i="29"/>
  <c r="L76" i="29"/>
  <c r="S3" i="29"/>
  <c r="S16" i="29"/>
  <c r="S28" i="29"/>
  <c r="S40" i="29"/>
  <c r="S52" i="29"/>
  <c r="S64" i="29"/>
  <c r="S76" i="29"/>
  <c r="S5" i="29"/>
  <c r="S17" i="29"/>
  <c r="S29" i="29"/>
  <c r="S41" i="29"/>
  <c r="S53" i="29"/>
  <c r="S65" i="29"/>
  <c r="S77" i="29"/>
  <c r="S6" i="29"/>
  <c r="S18" i="29"/>
  <c r="S30" i="29"/>
  <c r="S42" i="29"/>
  <c r="S54" i="29"/>
  <c r="S66" i="29"/>
  <c r="S78" i="29"/>
  <c r="S7" i="29"/>
  <c r="S19" i="29"/>
  <c r="S31" i="29"/>
  <c r="S43" i="29"/>
  <c r="S55" i="29"/>
  <c r="S67" i="29"/>
  <c r="S79" i="29"/>
  <c r="S8" i="29"/>
  <c r="S20" i="29"/>
  <c r="S32" i="29"/>
  <c r="S44" i="29"/>
  <c r="S56" i="29"/>
  <c r="S68" i="29"/>
  <c r="S80" i="29"/>
  <c r="S9" i="29"/>
  <c r="S21" i="29"/>
  <c r="S33" i="29"/>
  <c r="S45" i="29"/>
  <c r="S57" i="29"/>
  <c r="S69" i="29"/>
  <c r="S81" i="29"/>
  <c r="S10" i="29"/>
  <c r="S22" i="29"/>
  <c r="S34" i="29"/>
  <c r="S46" i="29"/>
  <c r="S58" i="29"/>
  <c r="S70" i="29"/>
  <c r="S11" i="29"/>
  <c r="S23" i="29"/>
  <c r="S35" i="29"/>
  <c r="S47" i="29"/>
  <c r="S59" i="29"/>
  <c r="S71" i="29"/>
  <c r="S12" i="29"/>
  <c r="S24" i="29"/>
  <c r="S36" i="29"/>
  <c r="S48" i="29"/>
  <c r="S60" i="29"/>
  <c r="S72" i="29"/>
  <c r="S13" i="29"/>
  <c r="S25" i="29"/>
  <c r="S37" i="29"/>
  <c r="S49" i="29"/>
  <c r="S61" i="29"/>
  <c r="S73" i="29"/>
  <c r="S14" i="29"/>
  <c r="S26" i="29"/>
  <c r="S38" i="29"/>
  <c r="S50" i="29"/>
  <c r="S62" i="29"/>
  <c r="S74" i="29"/>
  <c r="S15" i="29"/>
  <c r="S27" i="29"/>
  <c r="S39" i="29"/>
  <c r="S51" i="29"/>
  <c r="S63" i="29"/>
  <c r="S75" i="29"/>
  <c r="BA22" i="34"/>
  <c r="BA23" i="34"/>
  <c r="BA24" i="34"/>
  <c r="BA25" i="34"/>
  <c r="BA26" i="34"/>
  <c r="BA27" i="34"/>
  <c r="BA28" i="34"/>
  <c r="BA29" i="34"/>
  <c r="BA30" i="34"/>
  <c r="BA31" i="34"/>
  <c r="BA32" i="34"/>
  <c r="BA33" i="34"/>
  <c r="BA34" i="34"/>
  <c r="BA35" i="34"/>
  <c r="BA36" i="34"/>
  <c r="AZ22" i="34"/>
  <c r="AZ23" i="34"/>
  <c r="AZ24" i="34"/>
  <c r="AZ27" i="34"/>
  <c r="AZ28" i="34"/>
  <c r="AZ29" i="34"/>
  <c r="AZ32" i="34"/>
  <c r="AZ33" i="34"/>
  <c r="AZ34" i="34"/>
  <c r="AU23" i="34"/>
  <c r="BD23" i="34" s="1" a="1"/>
  <c r="BD23" i="34" s="1"/>
  <c r="AU24" i="34"/>
  <c r="BD24" i="34" s="1" a="1"/>
  <c r="BD24" i="34" s="1"/>
  <c r="AU25" i="34"/>
  <c r="BE25" i="34" s="1" a="1"/>
  <c r="BE25" i="34" s="1"/>
  <c r="AU26" i="34"/>
  <c r="BD26" i="34" s="1" a="1"/>
  <c r="BD26" i="34" s="1"/>
  <c r="AU27" i="34"/>
  <c r="BC27" i="34" s="1" a="1"/>
  <c r="BC27" i="34" s="1"/>
  <c r="AU28" i="34"/>
  <c r="AU29" i="34"/>
  <c r="BE29" i="34" s="1" a="1"/>
  <c r="BE29" i="34" s="1"/>
  <c r="BJ29" i="34" s="1" a="1"/>
  <c r="BJ29" i="34" s="1"/>
  <c r="AU30" i="34"/>
  <c r="BE30" i="34" s="1" a="1"/>
  <c r="BE30" i="34" s="1"/>
  <c r="AU31" i="34"/>
  <c r="BI31" i="34" s="1" a="1"/>
  <c r="BI31" i="34" s="1"/>
  <c r="AU32" i="34"/>
  <c r="BD32" i="34" s="1" a="1"/>
  <c r="BD32" i="34" s="1"/>
  <c r="AU33" i="34"/>
  <c r="AU34" i="34"/>
  <c r="BD34" i="34" s="1" a="1"/>
  <c r="BD34" i="34" s="1"/>
  <c r="AU35" i="34"/>
  <c r="BC35" i="34" s="1" a="1"/>
  <c r="BC35" i="34" s="1"/>
  <c r="AU36" i="34"/>
  <c r="BE36" i="34" s="1" a="1"/>
  <c r="BE36" i="34" s="1"/>
  <c r="BF23" i="34" a="1"/>
  <c r="BF23" i="34" s="1"/>
  <c r="BH23" i="34" s="1"/>
  <c r="BF24" i="34" a="1"/>
  <c r="BF24" i="34" s="1"/>
  <c r="BH24" i="34" s="1"/>
  <c r="BF25" i="34" a="1"/>
  <c r="BF25" i="34" s="1"/>
  <c r="BH25" i="34" s="1"/>
  <c r="BF26" i="34" a="1"/>
  <c r="BF26" i="34" s="1"/>
  <c r="BH26" i="34" s="1"/>
  <c r="BF27" i="34" a="1"/>
  <c r="BF27" i="34" s="1"/>
  <c r="BH27" i="34" s="1"/>
  <c r="BF28" i="34" a="1"/>
  <c r="BF28" i="34" s="1"/>
  <c r="BH28" i="34" s="1"/>
  <c r="BF29" i="34" a="1"/>
  <c r="BF29" i="34" s="1"/>
  <c r="BH29" i="34" s="1"/>
  <c r="BF30" i="34" a="1"/>
  <c r="BF30" i="34" s="1"/>
  <c r="BH30" i="34" s="1"/>
  <c r="BF31" i="34" a="1"/>
  <c r="BF31" i="34" s="1"/>
  <c r="BH31" i="34" s="1"/>
  <c r="BF32" i="34" a="1"/>
  <c r="BF32" i="34" s="1"/>
  <c r="BH32" i="34" s="1"/>
  <c r="BF33" i="34" a="1"/>
  <c r="BF33" i="34" s="1"/>
  <c r="BH33" i="34" s="1"/>
  <c r="BF34" i="34" a="1"/>
  <c r="BF34" i="34" s="1"/>
  <c r="BH34" i="34" s="1"/>
  <c r="BF35" i="34" a="1"/>
  <c r="BF35" i="34" s="1"/>
  <c r="BH35" i="34" s="1"/>
  <c r="BF36" i="34" a="1"/>
  <c r="BF36" i="34" s="1"/>
  <c r="BH36" i="34" s="1"/>
  <c r="C99" i="40" l="1" a="1"/>
  <c r="C99" i="40" s="1"/>
  <c r="C74" i="40" a="1"/>
  <c r="C74" i="40" s="1"/>
  <c r="BE27" i="34" a="1"/>
  <c r="BE27" i="34" s="1"/>
  <c r="BJ27" i="34" s="1" a="1"/>
  <c r="BJ27" i="34" s="1"/>
  <c r="BE26" i="34" a="1"/>
  <c r="BE26" i="34" s="1"/>
  <c r="BE23" i="34" a="1"/>
  <c r="BE23" i="34" s="1"/>
  <c r="BJ23" i="34" s="1" a="1"/>
  <c r="BJ23" i="34" s="1"/>
  <c r="BC23" i="34" a="1"/>
  <c r="BC23" i="34" s="1"/>
  <c r="BE24" i="34" a="1"/>
  <c r="BE24" i="34" s="1"/>
  <c r="BJ24" i="34" s="1" a="1"/>
  <c r="BJ24" i="34" s="1"/>
  <c r="BC25" i="34" a="1"/>
  <c r="BC25" i="34" s="1"/>
  <c r="BC24" i="34" a="1"/>
  <c r="BC24" i="34" s="1"/>
  <c r="BI36" i="34" a="1"/>
  <c r="BI36" i="34" s="1"/>
  <c r="BC26" i="34" a="1"/>
  <c r="BC26" i="34" s="1"/>
  <c r="BE35" i="34" a="1"/>
  <c r="BE35" i="34" s="1"/>
  <c r="BD35" i="34" a="1"/>
  <c r="BD35" i="34" s="1"/>
  <c r="BI24" i="34" a="1"/>
  <c r="BI24" i="34" s="1"/>
  <c r="BI23" i="34" a="1"/>
  <c r="BI23" i="34" s="1"/>
  <c r="BD36" i="34" a="1"/>
  <c r="BD36" i="34" s="1"/>
  <c r="BI35" i="34" a="1"/>
  <c r="BI35" i="34" s="1"/>
  <c r="BC36" i="34" a="1"/>
  <c r="BC36" i="34" s="1"/>
  <c r="BC28" i="34" a="1"/>
  <c r="BC28" i="34" s="1"/>
  <c r="BI26" i="34" a="1"/>
  <c r="BI26" i="34" s="1"/>
  <c r="BI25" i="34" a="1"/>
  <c r="BI25" i="34" s="1"/>
  <c r="BI27" i="34" a="1"/>
  <c r="BI27" i="34" s="1"/>
  <c r="BD31" i="34" a="1"/>
  <c r="BD31" i="34" s="1"/>
  <c r="BE28" i="34" a="1"/>
  <c r="BE28" i="34" s="1"/>
  <c r="BJ28" i="34" s="1" a="1"/>
  <c r="BJ28" i="34" s="1"/>
  <c r="BD27" i="34" a="1"/>
  <c r="BD27" i="34" s="1"/>
  <c r="BD30" i="34" a="1"/>
  <c r="BD30" i="34" s="1"/>
  <c r="BD28" i="34" a="1"/>
  <c r="BD28" i="34" s="1"/>
  <c r="BI29" i="34" a="1"/>
  <c r="BI29" i="34" s="1"/>
  <c r="BI28" i="34" a="1"/>
  <c r="BI28" i="34" s="1"/>
  <c r="BD25" i="34" a="1"/>
  <c r="BD25" i="34" s="1"/>
  <c r="BD29" i="34" a="1"/>
  <c r="BD29" i="34" s="1"/>
  <c r="BC34" i="34" a="1"/>
  <c r="BC34" i="34" s="1"/>
  <c r="BE34" i="34" a="1"/>
  <c r="BE34" i="34" s="1"/>
  <c r="BJ34" i="34" s="1" a="1"/>
  <c r="BJ34" i="34" s="1"/>
  <c r="BI34" i="34" a="1"/>
  <c r="BI34" i="34" s="1"/>
  <c r="BI30" i="34" a="1"/>
  <c r="BI30" i="34" s="1"/>
  <c r="BE33" i="34" a="1"/>
  <c r="BE33" i="34" s="1"/>
  <c r="BJ33" i="34" s="1" a="1"/>
  <c r="BJ33" i="34" s="1"/>
  <c r="BC31" i="34" a="1"/>
  <c r="BC31" i="34" s="1"/>
  <c r="BC32" i="34" a="1"/>
  <c r="BC32" i="34" s="1"/>
  <c r="BE32" i="34" a="1"/>
  <c r="BE32" i="34" s="1"/>
  <c r="BJ32" i="34" s="1" a="1"/>
  <c r="BJ32" i="34" s="1"/>
  <c r="BC30" i="34" a="1"/>
  <c r="BC30" i="34" s="1"/>
  <c r="BI33" i="34" a="1"/>
  <c r="BI33" i="34" s="1"/>
  <c r="BI32" i="34" a="1"/>
  <c r="BI32" i="34" s="1"/>
  <c r="BE31" i="34" a="1"/>
  <c r="BE31" i="34" s="1"/>
  <c r="BC29" i="34" a="1"/>
  <c r="BC29" i="34" s="1"/>
  <c r="BD33" i="34" a="1"/>
  <c r="BD33" i="34" s="1"/>
  <c r="BC33" i="34" a="1"/>
  <c r="BC33" i="34" s="1"/>
  <c r="W7" i="29"/>
  <c r="AA7" i="29"/>
  <c r="AD7" i="29" s="1"/>
  <c r="AE7" i="29"/>
  <c r="AH7" i="29"/>
  <c r="AK7" i="29"/>
  <c r="AP7" i="29"/>
  <c r="AQ7" i="29"/>
  <c r="AR7" i="29"/>
  <c r="AS7" i="29"/>
  <c r="AT7" i="29"/>
  <c r="AU7" i="29"/>
  <c r="W9" i="29"/>
  <c r="AA9" i="29"/>
  <c r="AD9" i="29" s="1"/>
  <c r="AE9" i="29"/>
  <c r="AH9" i="29"/>
  <c r="AK9" i="29"/>
  <c r="AP9" i="29"/>
  <c r="AQ9" i="29"/>
  <c r="AR9" i="29"/>
  <c r="AS9" i="29"/>
  <c r="AT9" i="29"/>
  <c r="AU9" i="29"/>
  <c r="AA10" i="29"/>
  <c r="AD10" i="29" s="1"/>
  <c r="AE10" i="29"/>
  <c r="AH10" i="29"/>
  <c r="AK10" i="29"/>
  <c r="AP10" i="29"/>
  <c r="AQ10" i="29"/>
  <c r="AR10" i="29"/>
  <c r="AS10" i="29"/>
  <c r="AT10" i="29"/>
  <c r="AU10" i="29"/>
  <c r="W12" i="29"/>
  <c r="AA12" i="29"/>
  <c r="AD12" i="29" s="1"/>
  <c r="AE12" i="29"/>
  <c r="AH12" i="29"/>
  <c r="AK12" i="29"/>
  <c r="AP12" i="29"/>
  <c r="AQ12" i="29"/>
  <c r="AR12" i="29"/>
  <c r="AS12" i="29"/>
  <c r="AT12" i="29"/>
  <c r="AU12" i="29"/>
  <c r="AA14" i="29"/>
  <c r="AD14" i="29" s="1"/>
  <c r="AE14" i="29"/>
  <c r="AH14" i="29"/>
  <c r="AK14" i="29"/>
  <c r="AP14" i="29"/>
  <c r="AQ14" i="29"/>
  <c r="AR14" i="29"/>
  <c r="AS14" i="29"/>
  <c r="AT14" i="29"/>
  <c r="AU14" i="29"/>
  <c r="AA15" i="29"/>
  <c r="AD15" i="29" s="1"/>
  <c r="AE15" i="29"/>
  <c r="AH15" i="29"/>
  <c r="AK15" i="29"/>
  <c r="AP15" i="29"/>
  <c r="AQ15" i="29"/>
  <c r="AR15" i="29"/>
  <c r="AS15" i="29"/>
  <c r="AT15" i="29"/>
  <c r="AU15" i="29"/>
  <c r="W20" i="29"/>
  <c r="AA20" i="29"/>
  <c r="AD20" i="29" s="1"/>
  <c r="AE20" i="29"/>
  <c r="AH20" i="29"/>
  <c r="AK20" i="29"/>
  <c r="AP20" i="29"/>
  <c r="AQ20" i="29"/>
  <c r="AR20" i="29"/>
  <c r="AS20" i="29"/>
  <c r="AT20" i="29"/>
  <c r="AU20" i="29"/>
  <c r="AA21" i="29"/>
  <c r="AD21" i="29" s="1"/>
  <c r="AE21" i="29"/>
  <c r="AH21" i="29"/>
  <c r="AK21" i="29"/>
  <c r="AP21" i="29"/>
  <c r="AQ21" i="29"/>
  <c r="AR21" i="29"/>
  <c r="AS21" i="29"/>
  <c r="AT21" i="29"/>
  <c r="AU21" i="29"/>
  <c r="AA29" i="29"/>
  <c r="AD29" i="29" s="1"/>
  <c r="AE29" i="29"/>
  <c r="AH29" i="29"/>
  <c r="AK29" i="29"/>
  <c r="AP29" i="29"/>
  <c r="AQ29" i="29"/>
  <c r="AR29" i="29"/>
  <c r="AS29" i="29"/>
  <c r="AT29" i="29"/>
  <c r="AU29" i="29"/>
  <c r="AA32" i="29"/>
  <c r="AD32" i="29" s="1"/>
  <c r="AE32" i="29"/>
  <c r="AH32" i="29"/>
  <c r="AK32" i="29"/>
  <c r="AP32" i="29"/>
  <c r="AQ32" i="29"/>
  <c r="AR32" i="29"/>
  <c r="AS32" i="29"/>
  <c r="AT32" i="29"/>
  <c r="AU32" i="29"/>
  <c r="W34" i="29"/>
  <c r="AA34" i="29"/>
  <c r="AD34" i="29" s="1"/>
  <c r="AE34" i="29"/>
  <c r="AH34" i="29"/>
  <c r="AK34" i="29"/>
  <c r="AP34" i="29"/>
  <c r="AQ34" i="29"/>
  <c r="AR34" i="29"/>
  <c r="AS34" i="29"/>
  <c r="AT34" i="29"/>
  <c r="AU34" i="29"/>
  <c r="W37" i="29"/>
  <c r="AA37" i="29"/>
  <c r="AD37" i="29" s="1"/>
  <c r="AE37" i="29"/>
  <c r="AH37" i="29"/>
  <c r="AK37" i="29"/>
  <c r="AP37" i="29"/>
  <c r="AQ37" i="29"/>
  <c r="AR37" i="29"/>
  <c r="AS37" i="29"/>
  <c r="AT37" i="29"/>
  <c r="AU37" i="29"/>
  <c r="AA38" i="29"/>
  <c r="AD38" i="29" s="1"/>
  <c r="AE38" i="29"/>
  <c r="AH38" i="29"/>
  <c r="AK38" i="29"/>
  <c r="AP38" i="29"/>
  <c r="AQ38" i="29"/>
  <c r="AR38" i="29"/>
  <c r="AS38" i="29"/>
  <c r="AT38" i="29"/>
  <c r="AU38" i="29"/>
  <c r="AA40" i="29"/>
  <c r="AD40" i="29" s="1"/>
  <c r="AE40" i="29"/>
  <c r="AH40" i="29"/>
  <c r="AK40" i="29"/>
  <c r="AP40" i="29"/>
  <c r="AQ40" i="29"/>
  <c r="AR40" i="29"/>
  <c r="AS40" i="29"/>
  <c r="AT40" i="29"/>
  <c r="AU40" i="29"/>
  <c r="W45" i="29"/>
  <c r="AA45" i="29"/>
  <c r="AD45" i="29" s="1"/>
  <c r="AE45" i="29"/>
  <c r="AH45" i="29"/>
  <c r="AK45" i="29"/>
  <c r="AP45" i="29"/>
  <c r="AQ45" i="29"/>
  <c r="AR45" i="29"/>
  <c r="AS45" i="29"/>
  <c r="AT45" i="29"/>
  <c r="AU45" i="29"/>
  <c r="W51" i="29"/>
  <c r="AA51" i="29"/>
  <c r="AD51" i="29" s="1"/>
  <c r="AE51" i="29"/>
  <c r="AH51" i="29"/>
  <c r="AK51" i="29"/>
  <c r="AP51" i="29"/>
  <c r="AQ51" i="29"/>
  <c r="AR51" i="29"/>
  <c r="AS51" i="29"/>
  <c r="AT51" i="29"/>
  <c r="AU51" i="29"/>
  <c r="W54" i="29"/>
  <c r="AA54" i="29"/>
  <c r="AD54" i="29" s="1"/>
  <c r="AE54" i="29"/>
  <c r="AH54" i="29"/>
  <c r="AK54" i="29"/>
  <c r="AP54" i="29"/>
  <c r="AQ54" i="29"/>
  <c r="AR54" i="29"/>
  <c r="AS54" i="29"/>
  <c r="AT54" i="29"/>
  <c r="AU54" i="29"/>
  <c r="AA57" i="29"/>
  <c r="AD57" i="29" s="1"/>
  <c r="AE57" i="29"/>
  <c r="AH57" i="29"/>
  <c r="AK57" i="29"/>
  <c r="AP57" i="29"/>
  <c r="AQ57" i="29"/>
  <c r="AR57" i="29"/>
  <c r="AS57" i="29"/>
  <c r="AT57" i="29"/>
  <c r="AU57" i="29"/>
  <c r="AA62" i="29"/>
  <c r="AD62" i="29" s="1"/>
  <c r="AE62" i="29"/>
  <c r="AH62" i="29"/>
  <c r="AK62" i="29"/>
  <c r="AP62" i="29"/>
  <c r="AQ62" i="29"/>
  <c r="AR62" i="29"/>
  <c r="AS62" i="29"/>
  <c r="AT62" i="29"/>
  <c r="AU62" i="29"/>
  <c r="W68" i="29"/>
  <c r="AA68" i="29"/>
  <c r="AD68" i="29" s="1"/>
  <c r="AE68" i="29"/>
  <c r="AH68" i="29"/>
  <c r="AK68" i="29"/>
  <c r="AP68" i="29"/>
  <c r="AQ68" i="29"/>
  <c r="AR68" i="29"/>
  <c r="AS68" i="29"/>
  <c r="AT68" i="29"/>
  <c r="AU68" i="29"/>
  <c r="AA69" i="29"/>
  <c r="AD69" i="29" s="1"/>
  <c r="AE69" i="29"/>
  <c r="AH69" i="29"/>
  <c r="AK69" i="29"/>
  <c r="AP69" i="29"/>
  <c r="AQ69" i="29"/>
  <c r="AR69" i="29"/>
  <c r="AS69" i="29"/>
  <c r="AT69" i="29"/>
  <c r="AU69" i="29"/>
  <c r="W72" i="29"/>
  <c r="AA72" i="29"/>
  <c r="AD72" i="29" s="1"/>
  <c r="AE72" i="29"/>
  <c r="AH72" i="29"/>
  <c r="AK72" i="29"/>
  <c r="AP72" i="29"/>
  <c r="AQ72" i="29"/>
  <c r="AR72" i="29"/>
  <c r="AS72" i="29"/>
  <c r="AT72" i="29"/>
  <c r="AU72" i="29"/>
  <c r="AA73" i="29"/>
  <c r="AD73" i="29" s="1"/>
  <c r="AE73" i="29"/>
  <c r="AH73" i="29"/>
  <c r="AK73" i="29"/>
  <c r="AP73" i="29"/>
  <c r="AQ73" i="29"/>
  <c r="AR73" i="29"/>
  <c r="AS73" i="29"/>
  <c r="AT73" i="29"/>
  <c r="AU73" i="29"/>
  <c r="W76" i="29"/>
  <c r="AA76" i="29"/>
  <c r="AD76" i="29" s="1"/>
  <c r="AE76" i="29"/>
  <c r="AH76" i="29"/>
  <c r="AK76" i="29"/>
  <c r="AP76" i="29"/>
  <c r="AQ76" i="29"/>
  <c r="AR76" i="29"/>
  <c r="AS76" i="29"/>
  <c r="AT76" i="29"/>
  <c r="AU76" i="29"/>
  <c r="W77" i="29"/>
  <c r="AA77" i="29"/>
  <c r="AD77" i="29" s="1"/>
  <c r="AE77" i="29"/>
  <c r="AH77" i="29"/>
  <c r="AK77" i="29"/>
  <c r="AP77" i="29"/>
  <c r="AQ77" i="29"/>
  <c r="AR77" i="29"/>
  <c r="AS77" i="29"/>
  <c r="AT77" i="29"/>
  <c r="AU77" i="29"/>
  <c r="AA79" i="29"/>
  <c r="AD79" i="29" s="1"/>
  <c r="AE79" i="29"/>
  <c r="AH79" i="29"/>
  <c r="AK79" i="29"/>
  <c r="AP79" i="29"/>
  <c r="AQ79" i="29"/>
  <c r="AR79" i="29"/>
  <c r="AS79" i="29"/>
  <c r="AT79" i="29"/>
  <c r="AU79" i="29"/>
  <c r="AA80" i="29"/>
  <c r="AD80" i="29" s="1"/>
  <c r="AE80" i="29"/>
  <c r="AH80" i="29"/>
  <c r="AK80" i="29"/>
  <c r="AP80" i="29"/>
  <c r="AQ80" i="29"/>
  <c r="AR80" i="29"/>
  <c r="AS80" i="29"/>
  <c r="AT80" i="29"/>
  <c r="AU80" i="29"/>
  <c r="W63" i="29"/>
  <c r="AP63" i="29"/>
  <c r="AQ63" i="29"/>
  <c r="AR63" i="29"/>
  <c r="AS63" i="29"/>
  <c r="AT63" i="29"/>
  <c r="AU63" i="29"/>
  <c r="W17" i="29"/>
  <c r="AP17" i="29"/>
  <c r="AQ17" i="29"/>
  <c r="AR17" i="29"/>
  <c r="AS17" i="29"/>
  <c r="AT17" i="29"/>
  <c r="AU17" i="29"/>
  <c r="W44" i="29"/>
  <c r="AP44" i="29"/>
  <c r="AQ44" i="29"/>
  <c r="AR44" i="29"/>
  <c r="AS44" i="29"/>
  <c r="AT44" i="29"/>
  <c r="AU44" i="29"/>
  <c r="W70" i="29"/>
  <c r="AP70" i="29"/>
  <c r="AQ70" i="29"/>
  <c r="AR70" i="29"/>
  <c r="AS70" i="29"/>
  <c r="AT70" i="29"/>
  <c r="AU70" i="29"/>
  <c r="W47" i="29"/>
  <c r="AP47" i="29"/>
  <c r="AQ47" i="29"/>
  <c r="AR47" i="29"/>
  <c r="AS47" i="29"/>
  <c r="AT47" i="29"/>
  <c r="AU47" i="29"/>
  <c r="AA13" i="29"/>
  <c r="AD13" i="29" s="1"/>
  <c r="AE13" i="29"/>
  <c r="AH13" i="29"/>
  <c r="AK13" i="29"/>
  <c r="AP13" i="29"/>
  <c r="AQ13" i="29"/>
  <c r="AR13" i="29"/>
  <c r="AS13" i="29"/>
  <c r="AT13" i="29"/>
  <c r="AU13" i="29"/>
  <c r="AA41" i="29"/>
  <c r="AD41" i="29" s="1"/>
  <c r="AE41" i="29"/>
  <c r="AH41" i="29"/>
  <c r="AK41" i="29"/>
  <c r="AP41" i="29"/>
  <c r="AQ41" i="29"/>
  <c r="AR41" i="29"/>
  <c r="AS41" i="29"/>
  <c r="AT41" i="29"/>
  <c r="AU41" i="29"/>
  <c r="W50" i="29"/>
  <c r="AP50" i="29"/>
  <c r="AQ50" i="29"/>
  <c r="AR50" i="29"/>
  <c r="AS50" i="29"/>
  <c r="AT50" i="29"/>
  <c r="AU50" i="29"/>
  <c r="AA25" i="29"/>
  <c r="AD25" i="29" s="1"/>
  <c r="AE25" i="29"/>
  <c r="AH25" i="29"/>
  <c r="AK25" i="29"/>
  <c r="AP25" i="29"/>
  <c r="AQ25" i="29"/>
  <c r="AR25" i="29"/>
  <c r="AS25" i="29"/>
  <c r="AT25" i="29"/>
  <c r="AU25" i="29"/>
  <c r="AA11" i="29"/>
  <c r="AD11" i="29" s="1"/>
  <c r="AE11" i="29"/>
  <c r="AH11" i="29"/>
  <c r="AK11" i="29"/>
  <c r="AP11" i="29"/>
  <c r="AQ11" i="29"/>
  <c r="AR11" i="29"/>
  <c r="AS11" i="29"/>
  <c r="AT11" i="29"/>
  <c r="AU11" i="29"/>
  <c r="W18" i="29"/>
  <c r="AP18" i="29"/>
  <c r="AQ18" i="29"/>
  <c r="AR18" i="29"/>
  <c r="AS18" i="29"/>
  <c r="AT18" i="29"/>
  <c r="AU18" i="29"/>
  <c r="AA67" i="29"/>
  <c r="AD67" i="29" s="1"/>
  <c r="AE67" i="29"/>
  <c r="AH67" i="29"/>
  <c r="AK67" i="29"/>
  <c r="AP67" i="29"/>
  <c r="AQ67" i="29"/>
  <c r="AR67" i="29"/>
  <c r="AS67" i="29"/>
  <c r="AT67" i="29"/>
  <c r="AU67" i="29"/>
  <c r="W42" i="29"/>
  <c r="AP42" i="29"/>
  <c r="AQ42" i="29"/>
  <c r="AR42" i="29"/>
  <c r="AS42" i="29"/>
  <c r="AT42" i="29"/>
  <c r="AU42" i="29"/>
  <c r="W61" i="29"/>
  <c r="AP61" i="29"/>
  <c r="AQ61" i="29"/>
  <c r="AR61" i="29"/>
  <c r="AS61" i="29"/>
  <c r="AT61" i="29"/>
  <c r="AU61" i="29"/>
  <c r="W5" i="29"/>
  <c r="AA5" i="29"/>
  <c r="AD5" i="29" s="1"/>
  <c r="AE5" i="29"/>
  <c r="AH5" i="29"/>
  <c r="AK5" i="29"/>
  <c r="AP5" i="29"/>
  <c r="AQ5" i="29"/>
  <c r="AR5" i="29"/>
  <c r="AS5" i="29"/>
  <c r="AT5" i="29"/>
  <c r="AU5" i="29"/>
  <c r="W6" i="29"/>
  <c r="AP6" i="29"/>
  <c r="AQ6" i="29"/>
  <c r="AR6" i="29"/>
  <c r="AS6" i="29"/>
  <c r="AT6" i="29"/>
  <c r="AU6" i="29"/>
  <c r="W8" i="29"/>
  <c r="AA8" i="29"/>
  <c r="AD8" i="29" s="1"/>
  <c r="AE8" i="29"/>
  <c r="AH8" i="29"/>
  <c r="AK8" i="29"/>
  <c r="AP8" i="29"/>
  <c r="AQ8" i="29"/>
  <c r="AR8" i="29"/>
  <c r="AS8" i="29"/>
  <c r="AT8" i="29"/>
  <c r="AU8" i="29"/>
  <c r="W16" i="29"/>
  <c r="AP16" i="29"/>
  <c r="AQ16" i="29"/>
  <c r="AR16" i="29"/>
  <c r="AS16" i="29"/>
  <c r="AT16" i="29"/>
  <c r="AU16" i="29"/>
  <c r="W19" i="29"/>
  <c r="AA19" i="29"/>
  <c r="AD19" i="29" s="1"/>
  <c r="AE19" i="29"/>
  <c r="AH19" i="29"/>
  <c r="AK19" i="29"/>
  <c r="AP19" i="29"/>
  <c r="AQ19" i="29"/>
  <c r="AR19" i="29"/>
  <c r="AS19" i="29"/>
  <c r="AT19" i="29"/>
  <c r="AU19" i="29"/>
  <c r="W22" i="29"/>
  <c r="AP22" i="29"/>
  <c r="AQ22" i="29"/>
  <c r="AR22" i="29"/>
  <c r="AS22" i="29"/>
  <c r="AT22" i="29"/>
  <c r="AU22" i="29"/>
  <c r="W23" i="29"/>
  <c r="AP23" i="29"/>
  <c r="AQ23" i="29"/>
  <c r="AR23" i="29"/>
  <c r="AS23" i="29"/>
  <c r="AT23" i="29"/>
  <c r="AU23" i="29"/>
  <c r="W24" i="29"/>
  <c r="AP24" i="29"/>
  <c r="AQ24" i="29"/>
  <c r="AR24" i="29"/>
  <c r="AS24" i="29"/>
  <c r="AT24" i="29"/>
  <c r="AU24" i="29"/>
  <c r="W26" i="29"/>
  <c r="AA26" i="29"/>
  <c r="AD26" i="29" s="1"/>
  <c r="AE26" i="29"/>
  <c r="AH26" i="29"/>
  <c r="AK26" i="29"/>
  <c r="AP26" i="29"/>
  <c r="AQ26" i="29"/>
  <c r="AR26" i="29"/>
  <c r="AS26" i="29"/>
  <c r="AT26" i="29"/>
  <c r="AU26" i="29"/>
  <c r="W27" i="29"/>
  <c r="AP27" i="29"/>
  <c r="AQ27" i="29"/>
  <c r="AR27" i="29"/>
  <c r="AS27" i="29"/>
  <c r="AT27" i="29"/>
  <c r="AU27" i="29"/>
  <c r="W28" i="29"/>
  <c r="AA28" i="29"/>
  <c r="AD28" i="29" s="1"/>
  <c r="AE28" i="29"/>
  <c r="AH28" i="29"/>
  <c r="AK28" i="29"/>
  <c r="AP28" i="29"/>
  <c r="AQ28" i="29"/>
  <c r="AR28" i="29"/>
  <c r="AS28" i="29"/>
  <c r="AT28" i="29"/>
  <c r="AU28" i="29"/>
  <c r="W30" i="29"/>
  <c r="AP30" i="29"/>
  <c r="AQ30" i="29"/>
  <c r="AR30" i="29"/>
  <c r="AS30" i="29"/>
  <c r="AT30" i="29"/>
  <c r="AU30" i="29"/>
  <c r="W31" i="29"/>
  <c r="AP31" i="29"/>
  <c r="AQ31" i="29"/>
  <c r="AR31" i="29"/>
  <c r="AS31" i="29"/>
  <c r="AT31" i="29"/>
  <c r="AU31" i="29"/>
  <c r="W33" i="29"/>
  <c r="AP33" i="29"/>
  <c r="AQ33" i="29"/>
  <c r="AR33" i="29"/>
  <c r="AS33" i="29"/>
  <c r="AT33" i="29"/>
  <c r="AU33" i="29"/>
  <c r="W35" i="29"/>
  <c r="AA35" i="29"/>
  <c r="AD35" i="29" s="1"/>
  <c r="AE35" i="29"/>
  <c r="AH35" i="29"/>
  <c r="AK35" i="29"/>
  <c r="AP35" i="29"/>
  <c r="AQ35" i="29"/>
  <c r="AR35" i="29"/>
  <c r="AS35" i="29"/>
  <c r="AT35" i="29"/>
  <c r="AU35" i="29"/>
  <c r="W36" i="29"/>
  <c r="AA36" i="29"/>
  <c r="AD36" i="29" s="1"/>
  <c r="AE36" i="29"/>
  <c r="AH36" i="29"/>
  <c r="AK36" i="29"/>
  <c r="AP36" i="29"/>
  <c r="AQ36" i="29"/>
  <c r="AR36" i="29"/>
  <c r="AS36" i="29"/>
  <c r="AT36" i="29"/>
  <c r="AU36" i="29"/>
  <c r="W39" i="29"/>
  <c r="AP39" i="29"/>
  <c r="AQ39" i="29"/>
  <c r="AR39" i="29"/>
  <c r="AS39" i="29"/>
  <c r="AT39" i="29"/>
  <c r="AU39" i="29"/>
  <c r="W43" i="29"/>
  <c r="AP43" i="29"/>
  <c r="AQ43" i="29"/>
  <c r="AR43" i="29"/>
  <c r="AS43" i="29"/>
  <c r="AT43" i="29"/>
  <c r="AU43" i="29"/>
  <c r="W46" i="29"/>
  <c r="AA46" i="29"/>
  <c r="AD46" i="29" s="1"/>
  <c r="AE46" i="29"/>
  <c r="AH46" i="29"/>
  <c r="AK46" i="29"/>
  <c r="AP46" i="29"/>
  <c r="AQ46" i="29"/>
  <c r="AR46" i="29"/>
  <c r="AS46" i="29"/>
  <c r="AT46" i="29"/>
  <c r="AU46" i="29"/>
  <c r="W48" i="29"/>
  <c r="AP48" i="29"/>
  <c r="AQ48" i="29"/>
  <c r="AR48" i="29"/>
  <c r="AS48" i="29"/>
  <c r="AT48" i="29"/>
  <c r="AU48" i="29"/>
  <c r="W49" i="29"/>
  <c r="AA49" i="29"/>
  <c r="AD49" i="29" s="1"/>
  <c r="AE49" i="29"/>
  <c r="AH49" i="29"/>
  <c r="AK49" i="29"/>
  <c r="AP49" i="29"/>
  <c r="AQ49" i="29"/>
  <c r="AR49" i="29"/>
  <c r="AS49" i="29"/>
  <c r="AT49" i="29"/>
  <c r="AU49" i="29"/>
  <c r="W52" i="29"/>
  <c r="AA52" i="29"/>
  <c r="AD52" i="29" s="1"/>
  <c r="AE52" i="29"/>
  <c r="AH52" i="29"/>
  <c r="AK52" i="29"/>
  <c r="AP52" i="29"/>
  <c r="AQ52" i="29"/>
  <c r="AR52" i="29"/>
  <c r="AS52" i="29"/>
  <c r="AT52" i="29"/>
  <c r="AU52" i="29"/>
  <c r="W53" i="29"/>
  <c r="AA53" i="29"/>
  <c r="AD53" i="29" s="1"/>
  <c r="AE53" i="29"/>
  <c r="AH53" i="29"/>
  <c r="AK53" i="29"/>
  <c r="AP53" i="29"/>
  <c r="AQ53" i="29"/>
  <c r="AR53" i="29"/>
  <c r="AS53" i="29"/>
  <c r="AT53" i="29"/>
  <c r="AU53" i="29"/>
  <c r="W55" i="29"/>
  <c r="AP55" i="29"/>
  <c r="AQ55" i="29"/>
  <c r="AR55" i="29"/>
  <c r="AS55" i="29"/>
  <c r="AT55" i="29"/>
  <c r="AU55" i="29"/>
  <c r="W56" i="29"/>
  <c r="AP56" i="29"/>
  <c r="AQ56" i="29"/>
  <c r="AR56" i="29"/>
  <c r="AS56" i="29"/>
  <c r="AT56" i="29"/>
  <c r="AU56" i="29"/>
  <c r="W58" i="29"/>
  <c r="AP58" i="29"/>
  <c r="AQ58" i="29"/>
  <c r="AR58" i="29"/>
  <c r="AS58" i="29"/>
  <c r="AT58" i="29"/>
  <c r="AU58" i="29"/>
  <c r="W59" i="29"/>
  <c r="AA59" i="29"/>
  <c r="AD59" i="29" s="1"/>
  <c r="AE59" i="29"/>
  <c r="AH59" i="29"/>
  <c r="AK59" i="29"/>
  <c r="AP59" i="29"/>
  <c r="AQ59" i="29"/>
  <c r="AR59" i="29"/>
  <c r="AS59" i="29"/>
  <c r="AT59" i="29"/>
  <c r="AU59" i="29"/>
  <c r="W60" i="29"/>
  <c r="AA60" i="29"/>
  <c r="AD60" i="29" s="1"/>
  <c r="AE60" i="29"/>
  <c r="AH60" i="29"/>
  <c r="AK60" i="29"/>
  <c r="AP60" i="29"/>
  <c r="AQ60" i="29"/>
  <c r="AR60" i="29"/>
  <c r="AS60" i="29"/>
  <c r="AT60" i="29"/>
  <c r="AU60" i="29"/>
  <c r="W64" i="29"/>
  <c r="AP64" i="29"/>
  <c r="AQ64" i="29"/>
  <c r="AR64" i="29"/>
  <c r="AS64" i="29"/>
  <c r="AT64" i="29"/>
  <c r="AU64" i="29"/>
  <c r="W65" i="29"/>
  <c r="AA65" i="29"/>
  <c r="AD65" i="29" s="1"/>
  <c r="AE65" i="29"/>
  <c r="AH65" i="29"/>
  <c r="AK65" i="29"/>
  <c r="AP65" i="29"/>
  <c r="AQ65" i="29"/>
  <c r="AR65" i="29"/>
  <c r="AS65" i="29"/>
  <c r="AT65" i="29"/>
  <c r="AU65" i="29"/>
  <c r="W66" i="29"/>
  <c r="AA66" i="29"/>
  <c r="AD66" i="29" s="1"/>
  <c r="AE66" i="29"/>
  <c r="AH66" i="29"/>
  <c r="AK66" i="29"/>
  <c r="AP66" i="29"/>
  <c r="AQ66" i="29"/>
  <c r="AR66" i="29"/>
  <c r="AS66" i="29"/>
  <c r="AT66" i="29"/>
  <c r="AU66" i="29"/>
  <c r="W71" i="29"/>
  <c r="AA71" i="29"/>
  <c r="AD71" i="29" s="1"/>
  <c r="AE71" i="29"/>
  <c r="AH71" i="29"/>
  <c r="AK71" i="29"/>
  <c r="AP71" i="29"/>
  <c r="AQ71" i="29"/>
  <c r="AR71" i="29"/>
  <c r="AS71" i="29"/>
  <c r="AT71" i="29"/>
  <c r="AU71" i="29"/>
  <c r="W74" i="29"/>
  <c r="AA74" i="29"/>
  <c r="AD74" i="29" s="1"/>
  <c r="AE74" i="29"/>
  <c r="AH74" i="29"/>
  <c r="AK74" i="29"/>
  <c r="AP74" i="29"/>
  <c r="AQ74" i="29"/>
  <c r="AR74" i="29"/>
  <c r="AS74" i="29"/>
  <c r="AT74" i="29"/>
  <c r="AU74" i="29"/>
  <c r="W75" i="29"/>
  <c r="AA75" i="29"/>
  <c r="AD75" i="29" s="1"/>
  <c r="AE75" i="29"/>
  <c r="AH75" i="29"/>
  <c r="AK75" i="29"/>
  <c r="AP75" i="29"/>
  <c r="AQ75" i="29"/>
  <c r="AR75" i="29"/>
  <c r="AS75" i="29"/>
  <c r="AT75" i="29"/>
  <c r="AU75" i="29"/>
  <c r="AA78" i="29"/>
  <c r="AD78" i="29" s="1"/>
  <c r="AE78" i="29"/>
  <c r="AH78" i="29"/>
  <c r="AK78" i="29"/>
  <c r="AP78" i="29"/>
  <c r="AQ78" i="29"/>
  <c r="AR78" i="29"/>
  <c r="AS78" i="29"/>
  <c r="AT78" i="29"/>
  <c r="AU78" i="29"/>
  <c r="AU81" i="29"/>
  <c r="AI9" i="29" l="1"/>
  <c r="BP27" i="34" a="1"/>
  <c r="BP27" i="34" s="1"/>
  <c r="BQ27" i="34" s="1" a="1"/>
  <c r="BQ27" i="34" s="1"/>
  <c r="AI7" i="29"/>
  <c r="BP28" i="34" a="1"/>
  <c r="BP28" i="34" s="1"/>
  <c r="BQ28" i="34" s="1" a="1"/>
  <c r="BQ28" i="34" s="1"/>
  <c r="BP33" i="34" a="1"/>
  <c r="BP33" i="34" s="1"/>
  <c r="BQ33" i="34" s="1" a="1"/>
  <c r="BQ33" i="34" s="1"/>
  <c r="BP23" i="34" a="1"/>
  <c r="BP23" i="34" s="1"/>
  <c r="BQ23" i="34" s="1" a="1"/>
  <c r="BQ23" i="34" s="1"/>
  <c r="BP32" i="34" a="1"/>
  <c r="BP32" i="34" s="1"/>
  <c r="BQ32" i="34" s="1" a="1"/>
  <c r="BQ32" i="34" s="1"/>
  <c r="AL7" i="29"/>
  <c r="AL9" i="29"/>
  <c r="AI14" i="29"/>
  <c r="AO7" i="29"/>
  <c r="AO9" i="29"/>
  <c r="AL10" i="29"/>
  <c r="AO10" i="29"/>
  <c r="AI10" i="29"/>
  <c r="AI12" i="29"/>
  <c r="AO12" i="29"/>
  <c r="AL12" i="29"/>
  <c r="AL14" i="29"/>
  <c r="AO14" i="29"/>
  <c r="AL15" i="29"/>
  <c r="AO15" i="29"/>
  <c r="AI15" i="29"/>
  <c r="AL20" i="29"/>
  <c r="AO20" i="29"/>
  <c r="AI20" i="29"/>
  <c r="AI21" i="29"/>
  <c r="AO21" i="29"/>
  <c r="AL21" i="29"/>
  <c r="AI29" i="29"/>
  <c r="AO29" i="29"/>
  <c r="AL29" i="29"/>
  <c r="AL34" i="29"/>
  <c r="AI32" i="29"/>
  <c r="AO32" i="29"/>
  <c r="AL32" i="29"/>
  <c r="AI34" i="29"/>
  <c r="AO34" i="29"/>
  <c r="AI38" i="29"/>
  <c r="AI37" i="29"/>
  <c r="AL37" i="29"/>
  <c r="AO37" i="29"/>
  <c r="AL38" i="29"/>
  <c r="AO38" i="29"/>
  <c r="AI40" i="29"/>
  <c r="AO40" i="29"/>
  <c r="AL40" i="29"/>
  <c r="AI51" i="29"/>
  <c r="AO45" i="29"/>
  <c r="AI45" i="29"/>
  <c r="AL45" i="29"/>
  <c r="AL51" i="29"/>
  <c r="AO51" i="29"/>
  <c r="AI54" i="29"/>
  <c r="AI57" i="29"/>
  <c r="AO54" i="29"/>
  <c r="AL54" i="29"/>
  <c r="AL57" i="29"/>
  <c r="AO57" i="29"/>
  <c r="AI62" i="29"/>
  <c r="AL62" i="29"/>
  <c r="AO62" i="29"/>
  <c r="AI68" i="29"/>
  <c r="AI69" i="29"/>
  <c r="AO68" i="29"/>
  <c r="AL68" i="29"/>
  <c r="AI73" i="29"/>
  <c r="AI72" i="29"/>
  <c r="AL69" i="29"/>
  <c r="AO69" i="29"/>
  <c r="AL72" i="29"/>
  <c r="AO72" i="29"/>
  <c r="AL73" i="29"/>
  <c r="I80" i="29"/>
  <c r="U80" i="29" s="1"/>
  <c r="AO73" i="29"/>
  <c r="AI76" i="29"/>
  <c r="AO76" i="29"/>
  <c r="AL76" i="29"/>
  <c r="AI77" i="29"/>
  <c r="AO77" i="29"/>
  <c r="AL77" i="29"/>
  <c r="I79" i="29"/>
  <c r="U79" i="29" s="1"/>
  <c r="AI79" i="29"/>
  <c r="AO79" i="29"/>
  <c r="AL79" i="29"/>
  <c r="AI80" i="29"/>
  <c r="AL80" i="29"/>
  <c r="AO80" i="29"/>
  <c r="AO63" i="29"/>
  <c r="AO17" i="29"/>
  <c r="AO44" i="29"/>
  <c r="AO70" i="29"/>
  <c r="AL13" i="29"/>
  <c r="AO47" i="29"/>
  <c r="AI13" i="29"/>
  <c r="AO13" i="29"/>
  <c r="AI41" i="29"/>
  <c r="AO41" i="29"/>
  <c r="AL41" i="29"/>
  <c r="AO50" i="29"/>
  <c r="AI67" i="29"/>
  <c r="AL25" i="29"/>
  <c r="AO25" i="29"/>
  <c r="AI25" i="29"/>
  <c r="AO11" i="29"/>
  <c r="AI11" i="29"/>
  <c r="AL11" i="29"/>
  <c r="AO18" i="29"/>
  <c r="AL67" i="29"/>
  <c r="AO67" i="29"/>
  <c r="AO42" i="29"/>
  <c r="AO61" i="29"/>
  <c r="AI5" i="29"/>
  <c r="AI8" i="29"/>
  <c r="AO5" i="29"/>
  <c r="AL5" i="29"/>
  <c r="AO6" i="29"/>
  <c r="AL8" i="29"/>
  <c r="AI19" i="29"/>
  <c r="AO8" i="29"/>
  <c r="AO16" i="29"/>
  <c r="AL19" i="29"/>
  <c r="AO19" i="29"/>
  <c r="AO22" i="29"/>
  <c r="AO23" i="29"/>
  <c r="AO24" i="29"/>
  <c r="AI26" i="29"/>
  <c r="AO26" i="29"/>
  <c r="AL26" i="29"/>
  <c r="AO27" i="29"/>
  <c r="AO28" i="29"/>
  <c r="AI28" i="29"/>
  <c r="AL28" i="29"/>
  <c r="AO30" i="29"/>
  <c r="AO31" i="29"/>
  <c r="AO33" i="29"/>
  <c r="AL35" i="29"/>
  <c r="AI35" i="29"/>
  <c r="AO35" i="29"/>
  <c r="AL36" i="29"/>
  <c r="AI36" i="29"/>
  <c r="AO36" i="29"/>
  <c r="AO39" i="29"/>
  <c r="AO43" i="29"/>
  <c r="AI46" i="29"/>
  <c r="AL46" i="29"/>
  <c r="AO46" i="29"/>
  <c r="AO48" i="29"/>
  <c r="AL49" i="29"/>
  <c r="AO49" i="29"/>
  <c r="AI49" i="29"/>
  <c r="AL52" i="29"/>
  <c r="AI52" i="29"/>
  <c r="AO52" i="29"/>
  <c r="AL53" i="29"/>
  <c r="AI53" i="29"/>
  <c r="AO53" i="29"/>
  <c r="AO55" i="29"/>
  <c r="AO56" i="29"/>
  <c r="AO58" i="29"/>
  <c r="AL59" i="29"/>
  <c r="AO59" i="29"/>
  <c r="AI59" i="29"/>
  <c r="AL60" i="29"/>
  <c r="AI60" i="29"/>
  <c r="AO60" i="29"/>
  <c r="AI65" i="29"/>
  <c r="AO64" i="29"/>
  <c r="AO65" i="29"/>
  <c r="AL65" i="29"/>
  <c r="AL66" i="29"/>
  <c r="AO66" i="29"/>
  <c r="AI66" i="29"/>
  <c r="AL71" i="29"/>
  <c r="AI74" i="29"/>
  <c r="AI71" i="29"/>
  <c r="I74" i="29"/>
  <c r="U74" i="29" s="1"/>
  <c r="AO71" i="29"/>
  <c r="I78" i="29"/>
  <c r="U78" i="29" s="1"/>
  <c r="AL74" i="29"/>
  <c r="AO74" i="29"/>
  <c r="AL75" i="29"/>
  <c r="I75" i="29"/>
  <c r="U75" i="29" s="1"/>
  <c r="AO75" i="29"/>
  <c r="AI75" i="29"/>
  <c r="AI78" i="29"/>
  <c r="AL78" i="29"/>
  <c r="AO78" i="29"/>
  <c r="H79" i="29" l="1" a="1"/>
  <c r="H79" i="29" s="1"/>
  <c r="J79" i="29" s="1"/>
  <c r="G66" i="29" a="1"/>
  <c r="G66" i="29" s="1"/>
  <c r="I66" i="29" s="1"/>
  <c r="U66" i="29" s="1"/>
  <c r="H66" i="29" s="1" a="1"/>
  <c r="H66" i="29" s="1"/>
  <c r="H74" i="29" a="1"/>
  <c r="H74" i="29" s="1"/>
  <c r="J74" i="29" s="1"/>
  <c r="H78" i="29" a="1"/>
  <c r="H78" i="29" s="1"/>
  <c r="J78" i="29" s="1"/>
  <c r="G71" i="29" a="1"/>
  <c r="G71" i="29" s="1"/>
  <c r="I71" i="29" s="1"/>
  <c r="U71" i="29" s="1"/>
  <c r="H75" i="29" a="1"/>
  <c r="H75" i="29" s="1"/>
  <c r="J75" i="29" s="1"/>
  <c r="H80" i="29" a="1"/>
  <c r="H80" i="29" s="1"/>
  <c r="J80" i="29" s="1"/>
  <c r="G70" i="29" a="1"/>
  <c r="G70" i="29" s="1"/>
  <c r="I70" i="29" s="1"/>
  <c r="U70" i="29" s="1"/>
  <c r="G77" i="29" a="1"/>
  <c r="G77" i="29" s="1"/>
  <c r="I77" i="29" s="1"/>
  <c r="U77" i="29" s="1"/>
  <c r="G76" i="29" a="1"/>
  <c r="G76" i="29" s="1"/>
  <c r="I76" i="29" s="1"/>
  <c r="U76" i="29" s="1"/>
  <c r="H76" i="29" s="1" a="1"/>
  <c r="H76" i="29" s="1"/>
  <c r="Q63" i="10"/>
  <c r="W63" i="10" s="1"/>
  <c r="Q64" i="10"/>
  <c r="H77" i="29" l="1" a="1"/>
  <c r="H77" i="29" s="1"/>
  <c r="J77" i="29" s="1"/>
  <c r="H70" i="29" a="1"/>
  <c r="H70" i="29" s="1"/>
  <c r="J70" i="29" s="1"/>
  <c r="H71" i="29" a="1"/>
  <c r="H71" i="29" s="1"/>
  <c r="J71" i="29" s="1"/>
  <c r="J76" i="29"/>
  <c r="G72" i="29" a="1"/>
  <c r="G72" i="29" s="1"/>
  <c r="I72" i="29" s="1"/>
  <c r="U72" i="29" s="1"/>
  <c r="G64" i="29" a="1"/>
  <c r="G64" i="29" s="1"/>
  <c r="I64" i="29" s="1"/>
  <c r="U64" i="29" s="1"/>
  <c r="H64" i="29" s="1" a="1"/>
  <c r="H64" i="29" s="1"/>
  <c r="J66" i="29"/>
  <c r="G65" i="29" a="1"/>
  <c r="G65" i="29" s="1"/>
  <c r="I65" i="29" s="1"/>
  <c r="U65" i="29" s="1"/>
  <c r="H65" i="29" s="1" a="1"/>
  <c r="H65" i="29" s="1"/>
  <c r="G68" i="29" a="1"/>
  <c r="G68" i="29" s="1"/>
  <c r="G67" i="29" a="1"/>
  <c r="G67" i="29" s="1"/>
  <c r="I67" i="29" s="1"/>
  <c r="U67" i="29" s="1"/>
  <c r="W64" i="10"/>
  <c r="H67" i="29" l="1" a="1"/>
  <c r="H67" i="29" s="1"/>
  <c r="J67" i="29" s="1"/>
  <c r="G69" i="29" a="1"/>
  <c r="G69" i="29" s="1"/>
  <c r="I69" i="29" s="1"/>
  <c r="U69" i="29" s="1"/>
  <c r="H72" i="29" a="1"/>
  <c r="H72" i="29" s="1"/>
  <c r="J72" i="29" s="1"/>
  <c r="J64" i="29"/>
  <c r="G60" i="29" a="1"/>
  <c r="G60" i="29" s="1"/>
  <c r="I60" i="29" s="1"/>
  <c r="U60" i="29" s="1"/>
  <c r="G63" i="29" a="1"/>
  <c r="G63" i="29" s="1"/>
  <c r="I63" i="29" s="1"/>
  <c r="U63" i="29" s="1"/>
  <c r="G61" i="29" s="1" a="1"/>
  <c r="G61" i="29" s="1"/>
  <c r="G59" i="29" a="1"/>
  <c r="G59" i="29" s="1"/>
  <c r="I59" i="29" s="1"/>
  <c r="U59" i="29" s="1"/>
  <c r="Q60" i="10"/>
  <c r="I68" i="29"/>
  <c r="U68" i="29" s="1"/>
  <c r="H68" i="29" s="1" a="1"/>
  <c r="H68" i="29" s="1"/>
  <c r="J65" i="29"/>
  <c r="H60" i="29" l="1" a="1"/>
  <c r="H60" i="29" s="1"/>
  <c r="J60" i="29" s="1"/>
  <c r="G57" i="29" a="1"/>
  <c r="G57" i="29" s="1"/>
  <c r="I57" i="29" s="1"/>
  <c r="U57" i="29" s="1"/>
  <c r="H69" i="29" a="1"/>
  <c r="H69" i="29" s="1"/>
  <c r="J69" i="29" s="1"/>
  <c r="H63" i="29" a="1"/>
  <c r="H63" i="29" s="1"/>
  <c r="H59" i="29" a="1"/>
  <c r="H59" i="29" s="1"/>
  <c r="J59" i="29" s="1"/>
  <c r="G58" i="29" a="1"/>
  <c r="G58" i="29" s="1"/>
  <c r="I58" i="29" s="1"/>
  <c r="U58" i="29" s="1"/>
  <c r="BM33" i="34" s="1" a="1"/>
  <c r="BM33" i="34" s="1"/>
  <c r="G56" i="29" a="1"/>
  <c r="G56" i="29" s="1"/>
  <c r="I56" i="29" s="1"/>
  <c r="U56" i="29" s="1"/>
  <c r="G73" i="29" a="1"/>
  <c r="G73" i="29" s="1"/>
  <c r="I73" i="29" s="1"/>
  <c r="U73" i="29" s="1"/>
  <c r="H73" i="29" s="1" a="1"/>
  <c r="H73" i="29" s="1"/>
  <c r="BP34" i="34" a="1"/>
  <c r="BP34" i="34" s="1"/>
  <c r="BQ34" i="34" s="1" a="1"/>
  <c r="BQ34" i="34" s="1"/>
  <c r="W60" i="10"/>
  <c r="Q61" i="10"/>
  <c r="J63" i="29"/>
  <c r="J68" i="29"/>
  <c r="I61" i="29"/>
  <c r="U61" i="29" s="1"/>
  <c r="BM32" i="34" l="1" a="1"/>
  <c r="BM32" i="34" s="1"/>
  <c r="H56" i="29" a="1"/>
  <c r="H56" i="29" s="1"/>
  <c r="H57" i="29" a="1"/>
  <c r="H57" i="29" s="1"/>
  <c r="J57" i="29" s="1"/>
  <c r="H58" i="29" a="1"/>
  <c r="H58" i="29" s="1"/>
  <c r="J58" i="29" s="1"/>
  <c r="G50" i="29" a="1"/>
  <c r="G50" i="29" s="1"/>
  <c r="H61" i="29" a="1"/>
  <c r="H61" i="29" s="1"/>
  <c r="J61" i="29" s="1"/>
  <c r="J73" i="29"/>
  <c r="G62" i="29" a="1"/>
  <c r="G62" i="29" s="1"/>
  <c r="I62" i="29" s="1"/>
  <c r="U62" i="29" s="1"/>
  <c r="Q62" i="10"/>
  <c r="W62" i="10" s="1"/>
  <c r="G46" i="29" a="1"/>
  <c r="G46" i="29" s="1"/>
  <c r="I46" i="29" s="1"/>
  <c r="U46" i="29" s="1"/>
  <c r="G34" i="29" a="1"/>
  <c r="G34" i="29" s="1"/>
  <c r="I34" i="29" s="1"/>
  <c r="U34" i="29" s="1"/>
  <c r="H34" i="29" s="1" a="1"/>
  <c r="H34" i="29" s="1"/>
  <c r="BK33" i="34" a="1"/>
  <c r="BK33" i="34" s="1"/>
  <c r="BL33" i="34" s="1" a="1"/>
  <c r="BL33" i="34" s="1"/>
  <c r="G55" i="29" a="1"/>
  <c r="G55" i="29" s="1"/>
  <c r="I55" i="29" s="1"/>
  <c r="U55" i="29" s="1"/>
  <c r="H55" i="29" s="1" a="1"/>
  <c r="H55" i="29" s="1"/>
  <c r="J55" i="29" s="1"/>
  <c r="BM34" i="34" a="1"/>
  <c r="BM34" i="34" s="1"/>
  <c r="BK35" i="34" a="1"/>
  <c r="BK35" i="34" s="1"/>
  <c r="BM35" i="34" a="1"/>
  <c r="BM35" i="34" s="1"/>
  <c r="Q58" i="10"/>
  <c r="W61" i="10"/>
  <c r="BK36" i="34" a="1"/>
  <c r="BK36" i="34" s="1"/>
  <c r="BK34" i="34" a="1"/>
  <c r="BK34" i="34" s="1"/>
  <c r="BL34" i="34" s="1" a="1"/>
  <c r="BL34" i="34" s="1"/>
  <c r="J56" i="29"/>
  <c r="BK32" i="34" a="1"/>
  <c r="BK32" i="34" s="1"/>
  <c r="BL32" i="34" s="1" a="1"/>
  <c r="BL32" i="34" s="1"/>
  <c r="I50" i="29"/>
  <c r="U50" i="29" s="1"/>
  <c r="H50" i="29" s="1" a="1"/>
  <c r="H50" i="29" s="1"/>
  <c r="H46" i="29" l="1" a="1"/>
  <c r="H46" i="29" s="1"/>
  <c r="H62" i="29" a="1"/>
  <c r="H62" i="29" s="1"/>
  <c r="J62" i="29" s="1"/>
  <c r="G32" i="29" a="1"/>
  <c r="G32" i="29" s="1"/>
  <c r="I32" i="29" s="1"/>
  <c r="U32" i="29" s="1"/>
  <c r="H32" i="29" s="1" a="1"/>
  <c r="H32" i="29" s="1"/>
  <c r="G31" i="29" a="1"/>
  <c r="G31" i="29" s="1"/>
  <c r="I31" i="29" s="1"/>
  <c r="U31" i="29" s="1"/>
  <c r="H31" i="29" s="1" a="1"/>
  <c r="H31" i="29" s="1"/>
  <c r="G53" i="29" a="1"/>
  <c r="G53" i="29" s="1"/>
  <c r="I53" i="29" s="1"/>
  <c r="U53" i="29" s="1"/>
  <c r="H53" i="29" s="1" a="1"/>
  <c r="H53" i="29" s="1"/>
  <c r="Q59" i="10"/>
  <c r="W59" i="10" s="1"/>
  <c r="G47" i="29" a="1"/>
  <c r="G47" i="29" s="1"/>
  <c r="I47" i="29" s="1"/>
  <c r="U47" i="29" s="1"/>
  <c r="H47" i="29" s="1" a="1"/>
  <c r="H47" i="29" s="1"/>
  <c r="BM36" i="34" a="1"/>
  <c r="BM36" i="34" s="1"/>
  <c r="G54" i="29" a="1"/>
  <c r="G54" i="29" s="1"/>
  <c r="I54" i="29" s="1"/>
  <c r="U54" i="29" s="1"/>
  <c r="H54" i="29" s="1" a="1"/>
  <c r="H54" i="29" s="1"/>
  <c r="BP36" i="34" a="1"/>
  <c r="BP36" i="34" s="1"/>
  <c r="BP35" i="34" a="1"/>
  <c r="BP35" i="34" s="1"/>
  <c r="W58" i="10"/>
  <c r="J34" i="29"/>
  <c r="BK30" i="34" a="1"/>
  <c r="BK30" i="34" s="1"/>
  <c r="J50" i="29"/>
  <c r="J46" i="29"/>
  <c r="G52" i="29" l="1" a="1"/>
  <c r="G52" i="29" s="1"/>
  <c r="I52" i="29" s="1"/>
  <c r="U52" i="29" s="1"/>
  <c r="H52" i="29" s="1" a="1"/>
  <c r="H52" i="29" s="1"/>
  <c r="J53" i="29"/>
  <c r="G29" i="29" a="1"/>
  <c r="G29" i="29" s="1"/>
  <c r="I29" i="29" s="1"/>
  <c r="U29" i="29" s="1"/>
  <c r="Q54" i="10"/>
  <c r="W54" i="10" s="1"/>
  <c r="BM30" i="34" a="1"/>
  <c r="BM30" i="34" s="1"/>
  <c r="AL12" i="83" a="1"/>
  <c r="AL12" i="83" s="1"/>
  <c r="AO12" i="83" s="1"/>
  <c r="AJ22" i="59" s="1" a="1"/>
  <c r="AJ22" i="59" s="1"/>
  <c r="AB25" i="59" s="1"/>
  <c r="AC25" i="59" s="1"/>
  <c r="AD25" i="59" s="1"/>
  <c r="J32" i="29"/>
  <c r="G44" i="29" a="1"/>
  <c r="G44" i="29" s="1"/>
  <c r="I44" i="29" s="1"/>
  <c r="U44" i="29" s="1"/>
  <c r="J47" i="29"/>
  <c r="G30" i="29" a="1"/>
  <c r="G30" i="29" s="1"/>
  <c r="I30" i="29" s="1"/>
  <c r="U30" i="29" s="1"/>
  <c r="H30" i="29" s="1" a="1"/>
  <c r="H30" i="29" s="1"/>
  <c r="G51" i="29" a="1"/>
  <c r="G51" i="29" s="1"/>
  <c r="I51" i="29" s="1"/>
  <c r="U51" i="29" s="1"/>
  <c r="H51" i="29" s="1" a="1"/>
  <c r="H51" i="29" s="1"/>
  <c r="J54" i="29"/>
  <c r="BP30" i="34" a="1"/>
  <c r="BP30" i="34" s="1"/>
  <c r="J31" i="29"/>
  <c r="G42" i="29" l="1" a="1"/>
  <c r="G42" i="29" s="1"/>
  <c r="I42" i="29" s="1"/>
  <c r="U42" i="29" s="1"/>
  <c r="H42" i="29" s="1" a="1"/>
  <c r="H42" i="29" s="1"/>
  <c r="J42" i="29" s="1"/>
  <c r="H44" i="29" a="1"/>
  <c r="H44" i="29" s="1"/>
  <c r="J44" i="29" s="1"/>
  <c r="Q53" i="10"/>
  <c r="H29" i="29" a="1"/>
  <c r="H29" i="29" s="1"/>
  <c r="J29" i="29" s="1"/>
  <c r="G48" i="29" a="1"/>
  <c r="G48" i="29" s="1"/>
  <c r="I48" i="29" s="1"/>
  <c r="U48" i="29" s="1"/>
  <c r="G49" i="29" a="1"/>
  <c r="G49" i="29" s="1"/>
  <c r="I49" i="29" s="1"/>
  <c r="U49" i="29" s="1"/>
  <c r="J52" i="29"/>
  <c r="BK27" i="34" a="1"/>
  <c r="BK27" i="34" s="1"/>
  <c r="BL27" i="34" s="1" a="1"/>
  <c r="BL27" i="34" s="1"/>
  <c r="G28" i="29" a="1"/>
  <c r="G28" i="29" s="1"/>
  <c r="I28" i="29" s="1"/>
  <c r="U28" i="29" s="1"/>
  <c r="G45" i="29" a="1"/>
  <c r="G45" i="29" s="1"/>
  <c r="I45" i="29" s="1"/>
  <c r="U45" i="29" s="1"/>
  <c r="H45" i="29" s="1" a="1"/>
  <c r="H45" i="29" s="1"/>
  <c r="J51" i="29"/>
  <c r="BM27" i="34" a="1"/>
  <c r="BM27" i="34" s="1"/>
  <c r="G20" i="29" a="1"/>
  <c r="G20" i="29" s="1"/>
  <c r="I20" i="29" s="1"/>
  <c r="U20" i="29" s="1"/>
  <c r="H20" i="29" s="1" a="1"/>
  <c r="H20" i="29" s="1"/>
  <c r="J30" i="29"/>
  <c r="BP31" i="34" a="1"/>
  <c r="BP31" i="34" s="1"/>
  <c r="W53" i="10"/>
  <c r="BK29" i="34" l="1" a="1"/>
  <c r="BK29" i="34" s="1"/>
  <c r="BL29" i="34" s="1" a="1"/>
  <c r="BL29" i="34" s="1"/>
  <c r="G15" i="29" a="1"/>
  <c r="G15" i="29" s="1"/>
  <c r="I15" i="29" s="1"/>
  <c r="U15" i="29" s="1"/>
  <c r="Q50" i="10" s="1"/>
  <c r="H28" i="29" a="1"/>
  <c r="H28" i="29" s="1"/>
  <c r="H48" i="29" a="1"/>
  <c r="H48" i="29" s="1"/>
  <c r="J48" i="29" s="1"/>
  <c r="H49" i="29" a="1"/>
  <c r="H49" i="29" s="1"/>
  <c r="J49" i="29" s="1"/>
  <c r="G41" i="29" a="1"/>
  <c r="G41" i="29" s="1"/>
  <c r="I41" i="29" s="1"/>
  <c r="U41" i="29" s="1"/>
  <c r="H41" i="29" s="1" a="1"/>
  <c r="H41" i="29" s="1"/>
  <c r="J41" i="29" s="1"/>
  <c r="J20" i="29"/>
  <c r="J45" i="29"/>
  <c r="G40" i="29" a="1"/>
  <c r="G40" i="29" s="1"/>
  <c r="I40" i="29" s="1"/>
  <c r="U40" i="29" s="1"/>
  <c r="G24" i="29" a="1"/>
  <c r="G24" i="29" s="1"/>
  <c r="I24" i="29" s="1"/>
  <c r="U24" i="29" s="1"/>
  <c r="G43" i="29" a="1"/>
  <c r="G43" i="29" s="1"/>
  <c r="I43" i="29" s="1"/>
  <c r="U43" i="29" s="1"/>
  <c r="H43" i="29" s="1" a="1"/>
  <c r="H43" i="29" s="1"/>
  <c r="J28" i="29"/>
  <c r="BP29" i="34" a="1"/>
  <c r="BP29" i="34" s="1"/>
  <c r="BQ29" i="34" s="1" a="1"/>
  <c r="BQ29" i="34" s="1"/>
  <c r="H15" i="29" l="1" a="1"/>
  <c r="H15" i="29" s="1"/>
  <c r="J15" i="29" s="1"/>
  <c r="G7" i="29" a="1"/>
  <c r="G7" i="29" s="1"/>
  <c r="I7" i="29" s="1"/>
  <c r="U7" i="29" s="1"/>
  <c r="BM25" i="34" s="1" a="1"/>
  <c r="BM25" i="34" s="1"/>
  <c r="J43" i="29"/>
  <c r="Q57" i="10"/>
  <c r="W57" i="10" s="1"/>
  <c r="BM29" i="34" a="1"/>
  <c r="BM29" i="34" s="1"/>
  <c r="G25" i="29" a="1"/>
  <c r="G25" i="29" s="1"/>
  <c r="I25" i="29" s="1"/>
  <c r="U25" i="29" s="1"/>
  <c r="H24" i="29" a="1"/>
  <c r="H24" i="29" s="1"/>
  <c r="J24" i="29" s="1"/>
  <c r="H40" i="29" a="1"/>
  <c r="H40" i="29" s="1"/>
  <c r="J40" i="29" s="1"/>
  <c r="G23" i="29" a="1"/>
  <c r="G23" i="29" s="1"/>
  <c r="I23" i="29" s="1"/>
  <c r="U23" i="29" s="1"/>
  <c r="H23" i="29" s="1" a="1"/>
  <c r="H23" i="29" s="1"/>
  <c r="AL10" i="83" a="1"/>
  <c r="AL10" i="83" s="1"/>
  <c r="AO10" i="83" s="1"/>
  <c r="G37" i="29" a="1"/>
  <c r="G37" i="29" s="1"/>
  <c r="I37" i="29" s="1"/>
  <c r="U37" i="29" s="1"/>
  <c r="BK31" i="34" s="1" a="1"/>
  <c r="BK31" i="34" s="1"/>
  <c r="Q56" i="10"/>
  <c r="W56" i="10" s="1"/>
  <c r="G39" i="29" a="1"/>
  <c r="G39" i="29" s="1"/>
  <c r="I39" i="29" s="1"/>
  <c r="U39" i="29" s="1"/>
  <c r="H39" i="29" s="1" a="1"/>
  <c r="H39" i="29" s="1"/>
  <c r="BP25" i="34" a="1"/>
  <c r="BP25" i="34" s="1"/>
  <c r="W50" i="10"/>
  <c r="BK25" i="34" l="1" a="1"/>
  <c r="BK25" i="34" s="1"/>
  <c r="H7" i="29" a="1"/>
  <c r="H7" i="29" s="1"/>
  <c r="J7" i="29" s="1"/>
  <c r="H25" i="29" a="1"/>
  <c r="H25" i="29" s="1"/>
  <c r="J25" i="29" s="1"/>
  <c r="H37" i="29" a="1"/>
  <c r="H37" i="29" s="1"/>
  <c r="J37" i="29" s="1"/>
  <c r="Q52" i="10"/>
  <c r="W52" i="10" s="1"/>
  <c r="AL13" i="83" a="1"/>
  <c r="AL13" i="83" s="1"/>
  <c r="AO13" i="83" s="1"/>
  <c r="G18" i="29" a="1"/>
  <c r="G18" i="29" s="1"/>
  <c r="I18" i="29" s="1"/>
  <c r="U18" i="29" s="1"/>
  <c r="G38" i="29" a="1"/>
  <c r="G38" i="29" s="1"/>
  <c r="I38" i="29" s="1"/>
  <c r="U38" i="29" s="1"/>
  <c r="H38" i="29" s="1" a="1"/>
  <c r="H38" i="29" s="1"/>
  <c r="J38" i="29" s="1"/>
  <c r="J23" i="29"/>
  <c r="G19" i="29" a="1"/>
  <c r="G19" i="29" s="1"/>
  <c r="I19" i="29" s="1"/>
  <c r="U19" i="29" s="1"/>
  <c r="H19" i="29" s="1" a="1"/>
  <c r="H19" i="29" s="1"/>
  <c r="G17" i="29" a="1"/>
  <c r="G17" i="29" s="1"/>
  <c r="I17" i="29" s="1"/>
  <c r="U17" i="29" s="1"/>
  <c r="H17" i="29" s="1" a="1"/>
  <c r="H17" i="29" s="1"/>
  <c r="J39" i="29"/>
  <c r="G36" i="29" a="1"/>
  <c r="G36" i="29" s="1"/>
  <c r="I36" i="29" s="1"/>
  <c r="U36" i="29" s="1"/>
  <c r="H36" i="29" s="1" a="1"/>
  <c r="H36" i="29" s="1"/>
  <c r="H18" i="29" l="1" a="1"/>
  <c r="H18" i="29" s="1"/>
  <c r="J18" i="29" s="1"/>
  <c r="BM31" i="34" a="1"/>
  <c r="BM31" i="34" s="1"/>
  <c r="G21" i="29" a="1"/>
  <c r="G21" i="29" s="1"/>
  <c r="I21" i="29" s="1"/>
  <c r="U21" i="29" s="1"/>
  <c r="H21" i="29" s="1" a="1"/>
  <c r="H21" i="29" s="1"/>
  <c r="J21" i="29" s="1"/>
  <c r="Q55" i="10"/>
  <c r="W55" i="10" s="1"/>
  <c r="J17" i="29"/>
  <c r="G13" i="29" a="1"/>
  <c r="G13" i="29" s="1"/>
  <c r="I13" i="29" s="1"/>
  <c r="U13" i="29" s="1"/>
  <c r="H13" i="29" s="1" a="1"/>
  <c r="H13" i="29" s="1"/>
  <c r="G5" i="29" a="1"/>
  <c r="G5" i="29" s="1"/>
  <c r="I5" i="29" s="1"/>
  <c r="U5" i="29" s="1"/>
  <c r="H5" i="29" s="1" a="1"/>
  <c r="H5" i="29" s="1"/>
  <c r="J19" i="29"/>
  <c r="G35" i="29" a="1"/>
  <c r="G35" i="29" s="1"/>
  <c r="I35" i="29" s="1"/>
  <c r="U35" i="29" s="1"/>
  <c r="J36" i="29"/>
  <c r="BP26" i="34" a="1"/>
  <c r="BP26" i="34" s="1"/>
  <c r="BK24" i="34" a="1"/>
  <c r="BK24" i="34" s="1"/>
  <c r="BL24" i="34" s="1" a="1"/>
  <c r="BL24" i="34" s="1"/>
  <c r="Q51" i="10" l="1"/>
  <c r="W51" i="10" s="1"/>
  <c r="H35" i="29" a="1"/>
  <c r="H35" i="29" s="1"/>
  <c r="J35" i="29" s="1"/>
  <c r="G14" i="29" a="1"/>
  <c r="G14" i="29" s="1"/>
  <c r="I14" i="29" s="1"/>
  <c r="U14" i="29" s="1"/>
  <c r="G12" i="29" s="1" a="1"/>
  <c r="G12" i="29" s="1"/>
  <c r="I12" i="29" s="1"/>
  <c r="U12" i="29" s="1"/>
  <c r="J5" i="29"/>
  <c r="BM22" i="34" a="1"/>
  <c r="BM22" i="34" s="1"/>
  <c r="G33" i="29" a="1"/>
  <c r="G33" i="29" s="1"/>
  <c r="I33" i="29" s="1"/>
  <c r="U33" i="29" s="1"/>
  <c r="H33" i="29" s="1" a="1"/>
  <c r="H33" i="29" s="1"/>
  <c r="J33" i="29" s="1"/>
  <c r="G11" i="29" a="1"/>
  <c r="G11" i="29" s="1"/>
  <c r="I11" i="29" s="1"/>
  <c r="U11" i="29" s="1"/>
  <c r="H11" i="29" s="1" a="1"/>
  <c r="H11" i="29" s="1"/>
  <c r="J13" i="29"/>
  <c r="Q48" i="10"/>
  <c r="W48" i="10" s="1"/>
  <c r="BP24" i="34" a="1"/>
  <c r="BP24" i="34" s="1"/>
  <c r="BQ24" i="34" s="1" a="1"/>
  <c r="BQ24" i="34" s="1"/>
  <c r="AL11" i="83" l="1" a="1"/>
  <c r="AL11" i="83" s="1"/>
  <c r="AO11" i="83" s="1"/>
  <c r="AJ23" i="59" s="1" a="1"/>
  <c r="AJ23" i="59" s="1"/>
  <c r="AB23" i="59" s="1"/>
  <c r="AC23" i="59" s="1"/>
  <c r="AD23" i="59" s="1"/>
  <c r="H12" i="29" a="1"/>
  <c r="H12" i="29" s="1"/>
  <c r="J12" i="29" s="1"/>
  <c r="H14" i="29" a="1"/>
  <c r="H14" i="29" s="1"/>
  <c r="J14" i="29" s="1"/>
  <c r="Q49" i="10"/>
  <c r="W49" i="10" s="1"/>
  <c r="BM28" i="34" a="1"/>
  <c r="BM28" i="34" s="1"/>
  <c r="BK28" i="34" a="1"/>
  <c r="BK28" i="34" s="1"/>
  <c r="BL28" i="34" s="1" a="1"/>
  <c r="BL28" i="34" s="1"/>
  <c r="G9" i="29" a="1"/>
  <c r="G9" i="29" s="1"/>
  <c r="I9" i="29" s="1"/>
  <c r="U9" i="29" s="1"/>
  <c r="H9" i="29" s="1" a="1"/>
  <c r="H9" i="29" s="1"/>
  <c r="G27" i="29" a="1"/>
  <c r="G27" i="29" s="1"/>
  <c r="I27" i="29" s="1"/>
  <c r="U27" i="29" s="1"/>
  <c r="H27" i="29" s="1" a="1"/>
  <c r="H27" i="29" s="1"/>
  <c r="BM24" i="34" a="1"/>
  <c r="BM24" i="34" s="1"/>
  <c r="Q47" i="10"/>
  <c r="W47" i="10" s="1"/>
  <c r="J11" i="29"/>
  <c r="I9" i="30"/>
  <c r="I10" i="30"/>
  <c r="M11" i="2"/>
  <c r="M12" i="2"/>
  <c r="M13" i="2"/>
  <c r="AB26" i="59" l="1"/>
  <c r="AC26" i="59" s="1"/>
  <c r="AD26" i="59" s="1"/>
  <c r="J27" i="29"/>
  <c r="G26" i="29" a="1"/>
  <c r="G26" i="29" s="1"/>
  <c r="I26" i="29" s="1"/>
  <c r="U26" i="29" s="1"/>
  <c r="J9" i="29"/>
  <c r="BK26" i="34" a="1"/>
  <c r="BK26" i="34" s="1"/>
  <c r="G10" i="29" a="1"/>
  <c r="G10" i="29" s="1"/>
  <c r="I10" i="29" s="1"/>
  <c r="U10" i="29" s="1"/>
  <c r="H10" i="29" s="1" a="1"/>
  <c r="H10" i="29" s="1"/>
  <c r="I21" i="63"/>
  <c r="I22" i="63"/>
  <c r="I23" i="63"/>
  <c r="I24" i="63"/>
  <c r="I25" i="63"/>
  <c r="I26" i="63"/>
  <c r="I27" i="63"/>
  <c r="I28" i="63"/>
  <c r="I29" i="63"/>
  <c r="I30" i="63"/>
  <c r="I31" i="63"/>
  <c r="I32" i="63"/>
  <c r="I33" i="63"/>
  <c r="I34" i="63"/>
  <c r="I35" i="63"/>
  <c r="I36" i="63"/>
  <c r="I37" i="63"/>
  <c r="I38" i="63"/>
  <c r="I39" i="63"/>
  <c r="I40" i="63"/>
  <c r="I41" i="63"/>
  <c r="I42" i="63"/>
  <c r="I43" i="63"/>
  <c r="I44" i="63"/>
  <c r="I45" i="63"/>
  <c r="I46" i="63"/>
  <c r="I47" i="63"/>
  <c r="I48" i="63"/>
  <c r="I49" i="63"/>
  <c r="I50" i="63"/>
  <c r="I51" i="63"/>
  <c r="I52" i="63"/>
  <c r="I53" i="63"/>
  <c r="Y24" i="37"/>
  <c r="Y25" i="37"/>
  <c r="Y26" i="37"/>
  <c r="Y27" i="37"/>
  <c r="Y28" i="37"/>
  <c r="Y29" i="37"/>
  <c r="Z29" i="37" s="1"/>
  <c r="Q25" i="37"/>
  <c r="T25" i="37" s="1"/>
  <c r="AC25" i="37" s="1"/>
  <c r="Q26" i="37"/>
  <c r="U26" i="37" s="1"/>
  <c r="Q27" i="37"/>
  <c r="U27" i="37" s="1"/>
  <c r="Q28" i="37"/>
  <c r="U28" i="37" s="1"/>
  <c r="Q29" i="37"/>
  <c r="U29" i="37" s="1"/>
  <c r="X25" i="37"/>
  <c r="X26" i="37"/>
  <c r="X27" i="37"/>
  <c r="X28" i="37"/>
  <c r="X29" i="37"/>
  <c r="Z28" i="37" l="1"/>
  <c r="Z27" i="37"/>
  <c r="H26" i="29" a="1"/>
  <c r="H26" i="29" s="1"/>
  <c r="J26" i="29" s="1"/>
  <c r="Z26" i="37"/>
  <c r="Z25" i="37"/>
  <c r="G22" i="29" a="1"/>
  <c r="G22" i="29" s="1"/>
  <c r="I22" i="29" s="1"/>
  <c r="U22" i="29" s="1"/>
  <c r="Q46" i="10"/>
  <c r="W46" i="10" s="1"/>
  <c r="J10" i="29"/>
  <c r="BM26" i="34" a="1"/>
  <c r="BM26" i="34" s="1"/>
  <c r="T26" i="37"/>
  <c r="T29" i="37"/>
  <c r="AC29" i="37" s="1"/>
  <c r="T28" i="37"/>
  <c r="AC28" i="37" s="1"/>
  <c r="T27" i="37"/>
  <c r="AC27" i="37" s="1"/>
  <c r="U25" i="37"/>
  <c r="H22" i="29" l="1" a="1"/>
  <c r="H22" i="29" s="1"/>
  <c r="J22" i="29" s="1"/>
  <c r="G16" i="29" a="1"/>
  <c r="G16" i="29" s="1"/>
  <c r="I16" i="29" s="1"/>
  <c r="U16" i="29" s="1"/>
  <c r="H16" i="29" s="1" a="1"/>
  <c r="H16" i="29" s="1"/>
  <c r="AC26" i="37"/>
  <c r="AA25" i="37"/>
  <c r="AB25" i="37"/>
  <c r="AA26" i="37"/>
  <c r="AB26" i="37"/>
  <c r="AA27" i="37"/>
  <c r="AB27" i="37"/>
  <c r="AA28" i="37"/>
  <c r="AB28" i="37"/>
  <c r="AA29" i="37"/>
  <c r="AB29" i="37"/>
  <c r="J16" i="29" l="1"/>
  <c r="G8" i="29" a="1"/>
  <c r="G8" i="29" s="1"/>
  <c r="I8" i="29" s="1"/>
  <c r="U8" i="29" s="1"/>
  <c r="J22" i="64"/>
  <c r="N22" i="64"/>
  <c r="O22" i="64"/>
  <c r="P22" i="64"/>
  <c r="R22" i="64"/>
  <c r="J23" i="64"/>
  <c r="N23" i="64"/>
  <c r="O23" i="64"/>
  <c r="P23" i="64"/>
  <c r="R23" i="64"/>
  <c r="J24" i="64"/>
  <c r="N24" i="64"/>
  <c r="O24" i="64"/>
  <c r="P24" i="64"/>
  <c r="R24" i="64"/>
  <c r="J25" i="64"/>
  <c r="N25" i="64"/>
  <c r="O25" i="64"/>
  <c r="P25" i="64"/>
  <c r="R25" i="64"/>
  <c r="J26" i="64"/>
  <c r="N26" i="64"/>
  <c r="O26" i="64"/>
  <c r="P26" i="64"/>
  <c r="R26" i="64"/>
  <c r="J27" i="64"/>
  <c r="N27" i="64"/>
  <c r="O27" i="64"/>
  <c r="P27" i="64"/>
  <c r="R27" i="64"/>
  <c r="J28" i="64"/>
  <c r="N28" i="64"/>
  <c r="O28" i="64"/>
  <c r="P28" i="64"/>
  <c r="R28" i="64"/>
  <c r="J29" i="64"/>
  <c r="N29" i="64"/>
  <c r="O29" i="64"/>
  <c r="P29" i="64"/>
  <c r="R29" i="64"/>
  <c r="J30" i="64"/>
  <c r="N30" i="64"/>
  <c r="O30" i="64"/>
  <c r="P30" i="64"/>
  <c r="R30" i="64"/>
  <c r="J31" i="64"/>
  <c r="N31" i="64"/>
  <c r="O31" i="64"/>
  <c r="P31" i="64"/>
  <c r="R31" i="64"/>
  <c r="J32" i="64"/>
  <c r="N32" i="64"/>
  <c r="O32" i="64"/>
  <c r="P32" i="64"/>
  <c r="R32" i="64"/>
  <c r="J33" i="64"/>
  <c r="N33" i="64"/>
  <c r="O33" i="64"/>
  <c r="P33" i="64"/>
  <c r="R33" i="64"/>
  <c r="K5" i="38"/>
  <c r="Q24" i="64" s="1"/>
  <c r="L5" i="38"/>
  <c r="K6" i="38"/>
  <c r="Q25" i="64" s="1"/>
  <c r="L6" i="38"/>
  <c r="K7" i="38"/>
  <c r="Q26" i="64" s="1"/>
  <c r="L7" i="38"/>
  <c r="H8" i="29" l="1" a="1"/>
  <c r="H8" i="29" s="1"/>
  <c r="J8" i="29" s="1"/>
  <c r="G6" i="29" a="1"/>
  <c r="G6" i="29" s="1"/>
  <c r="I6" i="29" s="1"/>
  <c r="U6" i="29" s="1"/>
  <c r="H6" i="29" s="1" a="1"/>
  <c r="H6" i="29" s="1"/>
  <c r="J6" i="29" s="1"/>
  <c r="Q31" i="64"/>
  <c r="Q29" i="64"/>
  <c r="Y29" i="64"/>
  <c r="Y30" i="64"/>
  <c r="Q23" i="64"/>
  <c r="S23" i="64" s="1"/>
  <c r="U23" i="64" s="1"/>
  <c r="V23" i="64" s="1"/>
  <c r="X23" i="64" s="1"/>
  <c r="Q22" i="64"/>
  <c r="S22" i="64" s="1"/>
  <c r="U22" i="64" s="1"/>
  <c r="Y31" i="64"/>
  <c r="Y26" i="64"/>
  <c r="Q27" i="64"/>
  <c r="Y28" i="64"/>
  <c r="Q28" i="64"/>
  <c r="Q30" i="64"/>
  <c r="Y22" i="64"/>
  <c r="Y25" i="64"/>
  <c r="Y23" i="64"/>
  <c r="Y24" i="64"/>
  <c r="S27" i="64"/>
  <c r="T27" i="64" s="1"/>
  <c r="S24" i="64"/>
  <c r="T24" i="64" s="1"/>
  <c r="S29" i="64"/>
  <c r="S25" i="64"/>
  <c r="T25" i="64" s="1"/>
  <c r="S26" i="64"/>
  <c r="T26" i="64" s="1"/>
  <c r="Y27" i="64"/>
  <c r="S28" i="64"/>
  <c r="S30" i="64"/>
  <c r="T30" i="64" s="1"/>
  <c r="S31" i="64"/>
  <c r="T31" i="64" s="1"/>
  <c r="T4" i="40" a="1"/>
  <c r="T4" i="40" s="1"/>
  <c r="T47" i="40" a="1"/>
  <c r="T47" i="40" s="1"/>
  <c r="BM23" i="34" l="1" a="1"/>
  <c r="BM23" i="34" s="1"/>
  <c r="BK23" i="34" a="1"/>
  <c r="BK23" i="34" s="1"/>
  <c r="BL23" i="34" s="1" a="1"/>
  <c r="BL23" i="34" s="1"/>
  <c r="U29" i="64"/>
  <c r="U28" i="64"/>
  <c r="V28" i="64" s="1"/>
  <c r="X28" i="64" s="1"/>
  <c r="U24" i="64"/>
  <c r="W24" i="64" s="1"/>
  <c r="T23" i="64"/>
  <c r="W23" i="64" s="1"/>
  <c r="U27" i="64"/>
  <c r="W27" i="64" s="1"/>
  <c r="V22" i="64"/>
  <c r="X22" i="64" s="1"/>
  <c r="T22" i="64"/>
  <c r="W22" i="64" s="1"/>
  <c r="U26" i="64"/>
  <c r="V26" i="64" s="1"/>
  <c r="X26" i="64" s="1"/>
  <c r="U25" i="64"/>
  <c r="W25" i="64" s="1"/>
  <c r="T29" i="64"/>
  <c r="T28" i="64"/>
  <c r="U30" i="64"/>
  <c r="W30" i="64" s="1"/>
  <c r="V29" i="64"/>
  <c r="X29" i="64" s="1"/>
  <c r="U31" i="64"/>
  <c r="B22" i="35"/>
  <c r="W29" i="64" l="1"/>
  <c r="V24" i="64"/>
  <c r="X24" i="64" s="1"/>
  <c r="W28" i="64"/>
  <c r="V27" i="64"/>
  <c r="X27" i="64" s="1"/>
  <c r="V25" i="64"/>
  <c r="X25" i="64" s="1"/>
  <c r="W26" i="64"/>
  <c r="V30" i="64"/>
  <c r="X30" i="64" s="1"/>
  <c r="W31" i="64"/>
  <c r="V31" i="64"/>
  <c r="X31" i="64" s="1"/>
  <c r="C196" i="40"/>
  <c r="O196" i="40"/>
  <c r="O45" i="40" s="1"/>
  <c r="N196" i="40"/>
  <c r="N45" i="40" s="1"/>
  <c r="M196" i="40"/>
  <c r="M45" i="40" s="1"/>
  <c r="L196" i="40"/>
  <c r="L45" i="40" s="1"/>
  <c r="K196" i="40"/>
  <c r="K45" i="40" s="1"/>
  <c r="J196" i="40"/>
  <c r="J45" i="40" s="1"/>
  <c r="I196" i="40"/>
  <c r="I45" i="40" s="1"/>
  <c r="H196" i="40"/>
  <c r="H45" i="40" s="1"/>
  <c r="G196" i="40"/>
  <c r="G45" i="40" s="1"/>
  <c r="F196" i="40"/>
  <c r="F45" i="40" s="1"/>
  <c r="E196" i="40"/>
  <c r="E45" i="40" s="1"/>
  <c r="D196" i="40"/>
  <c r="D45" i="40" s="1"/>
  <c r="C191" i="40"/>
  <c r="D185" i="40" a="1"/>
  <c r="D185" i="40" s="1"/>
  <c r="D186" i="40" s="1"/>
  <c r="D43" i="40" s="1"/>
  <c r="C186" i="40"/>
  <c r="O181" i="40"/>
  <c r="N181" i="40"/>
  <c r="O41" i="40" s="1"/>
  <c r="M181" i="40"/>
  <c r="N41" i="40" s="1"/>
  <c r="L181" i="40"/>
  <c r="M41" i="40" s="1"/>
  <c r="K181" i="40"/>
  <c r="L41" i="40" s="1"/>
  <c r="J181" i="40"/>
  <c r="K41" i="40" s="1"/>
  <c r="I181" i="40"/>
  <c r="J41" i="40" s="1"/>
  <c r="H181" i="40"/>
  <c r="I41" i="40" s="1"/>
  <c r="G181" i="40"/>
  <c r="H41" i="40" s="1"/>
  <c r="F181" i="40"/>
  <c r="G41" i="40" s="1"/>
  <c r="E181" i="40"/>
  <c r="F41" i="40" s="1"/>
  <c r="D181" i="40"/>
  <c r="E41" i="40" s="1"/>
  <c r="C181" i="40"/>
  <c r="D41" i="40" s="1"/>
  <c r="K176" i="40"/>
  <c r="K40" i="40" s="1"/>
  <c r="N176" i="40"/>
  <c r="N40" i="40" s="1"/>
  <c r="M176" i="40"/>
  <c r="M40" i="40" s="1"/>
  <c r="L176" i="40"/>
  <c r="L40" i="40" s="1"/>
  <c r="J176" i="40"/>
  <c r="J40" i="40" s="1"/>
  <c r="I176" i="40"/>
  <c r="I40" i="40" s="1"/>
  <c r="H176" i="40"/>
  <c r="H40" i="40" s="1"/>
  <c r="G176" i="40"/>
  <c r="G40" i="40" s="1"/>
  <c r="F176" i="40"/>
  <c r="F40" i="40" s="1"/>
  <c r="E176" i="40"/>
  <c r="E40" i="40" s="1"/>
  <c r="C176" i="40"/>
  <c r="D149" i="40"/>
  <c r="D28" i="40" s="1"/>
  <c r="E149" i="40"/>
  <c r="E28" i="40" s="1"/>
  <c r="F149" i="40"/>
  <c r="F28" i="40" s="1"/>
  <c r="G149" i="40"/>
  <c r="G28" i="40" s="1"/>
  <c r="H149" i="40"/>
  <c r="H28" i="40" s="1"/>
  <c r="I149" i="40"/>
  <c r="I28" i="40" s="1"/>
  <c r="J149" i="40"/>
  <c r="J28" i="40" s="1"/>
  <c r="K149" i="40"/>
  <c r="K28" i="40" s="1"/>
  <c r="L149" i="40"/>
  <c r="L28" i="40" s="1"/>
  <c r="M149" i="40"/>
  <c r="M28" i="40" s="1"/>
  <c r="N149" i="40"/>
  <c r="N28" i="40" s="1"/>
  <c r="O149" i="40"/>
  <c r="O28" i="40" s="1"/>
  <c r="D143" i="40"/>
  <c r="E143" i="40"/>
  <c r="F143" i="40"/>
  <c r="G143" i="40"/>
  <c r="H143" i="40"/>
  <c r="I143" i="40"/>
  <c r="J143" i="40"/>
  <c r="K143" i="40"/>
  <c r="L143" i="40"/>
  <c r="M143" i="40"/>
  <c r="N143" i="40"/>
  <c r="O143" i="40"/>
  <c r="D136" i="40"/>
  <c r="D18" i="40" s="1"/>
  <c r="E136" i="40"/>
  <c r="E18" i="40" s="1"/>
  <c r="F136" i="40"/>
  <c r="F18" i="40" s="1"/>
  <c r="G136" i="40"/>
  <c r="G18" i="40" s="1"/>
  <c r="H136" i="40"/>
  <c r="H18" i="40" s="1"/>
  <c r="I136" i="40"/>
  <c r="I18" i="40" s="1"/>
  <c r="J136" i="40"/>
  <c r="J18" i="40" s="1"/>
  <c r="K136" i="40"/>
  <c r="K18" i="40" s="1"/>
  <c r="L136" i="40"/>
  <c r="L18" i="40" s="1"/>
  <c r="M136" i="40"/>
  <c r="M18" i="40" s="1"/>
  <c r="N136" i="40"/>
  <c r="N18" i="40" s="1"/>
  <c r="O136" i="40"/>
  <c r="O18" i="40" s="1"/>
  <c r="D95" i="40"/>
  <c r="D25" i="40" s="1"/>
  <c r="E95" i="40"/>
  <c r="E25" i="40" s="1"/>
  <c r="F95" i="40"/>
  <c r="F25" i="40" s="1"/>
  <c r="G95" i="40"/>
  <c r="G25" i="40" s="1"/>
  <c r="H95" i="40"/>
  <c r="H25" i="40" s="1"/>
  <c r="I95" i="40"/>
  <c r="I25" i="40" s="1"/>
  <c r="J95" i="40"/>
  <c r="J25" i="40" s="1"/>
  <c r="K95" i="40"/>
  <c r="K25" i="40" s="1"/>
  <c r="L95" i="40"/>
  <c r="L25" i="40" s="1"/>
  <c r="M95" i="40"/>
  <c r="M25" i="40" s="1"/>
  <c r="N95" i="40"/>
  <c r="N25" i="40" s="1"/>
  <c r="O95" i="40"/>
  <c r="O25" i="40" s="1"/>
  <c r="D89" i="40"/>
  <c r="D16" i="40" s="1"/>
  <c r="E89" i="40"/>
  <c r="E16" i="40" s="1"/>
  <c r="F89" i="40"/>
  <c r="F16" i="40" s="1"/>
  <c r="G89" i="40"/>
  <c r="G16" i="40" s="1"/>
  <c r="H89" i="40"/>
  <c r="H16" i="40" s="1"/>
  <c r="I89" i="40"/>
  <c r="I16" i="40" s="1"/>
  <c r="J89" i="40"/>
  <c r="J16" i="40" s="1"/>
  <c r="K89" i="40"/>
  <c r="K16" i="40" s="1"/>
  <c r="L89" i="40"/>
  <c r="L16" i="40" s="1"/>
  <c r="M89" i="40"/>
  <c r="M16" i="40" s="1"/>
  <c r="N89" i="40"/>
  <c r="N16" i="40" s="1"/>
  <c r="O89" i="40"/>
  <c r="O16" i="40" s="1"/>
  <c r="D84" i="40"/>
  <c r="E84" i="40"/>
  <c r="F84" i="40"/>
  <c r="G84" i="40"/>
  <c r="H84" i="40"/>
  <c r="I84" i="40"/>
  <c r="J84" i="40"/>
  <c r="K84" i="40"/>
  <c r="L84" i="40"/>
  <c r="M84" i="40"/>
  <c r="N84" i="40"/>
  <c r="O84" i="40"/>
  <c r="D191" i="40" l="1"/>
  <c r="D44" i="40" s="1"/>
  <c r="E191" i="40"/>
  <c r="E44" i="40" s="1"/>
  <c r="O176" i="40"/>
  <c r="O40" i="40" s="1"/>
  <c r="D176" i="40"/>
  <c r="D40" i="40" s="1"/>
  <c r="S4"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7" i="40"/>
  <c r="E32" i="40" s="1"/>
  <c r="F167" i="40"/>
  <c r="F32" i="40" s="1"/>
  <c r="G167" i="40"/>
  <c r="G32" i="40" s="1"/>
  <c r="H167" i="40"/>
  <c r="H32" i="40" s="1"/>
  <c r="I167" i="40"/>
  <c r="I32" i="40" s="1"/>
  <c r="J167" i="40"/>
  <c r="J32" i="40" s="1"/>
  <c r="K167" i="40"/>
  <c r="K32" i="40" s="1"/>
  <c r="L167" i="40"/>
  <c r="L32" i="40" s="1"/>
  <c r="M167" i="40"/>
  <c r="M32" i="40" s="1"/>
  <c r="N167" i="40"/>
  <c r="N32" i="40" s="1"/>
  <c r="O167" i="40"/>
  <c r="O32" i="40" s="1"/>
  <c r="D167" i="40"/>
  <c r="G191" i="40" l="1"/>
  <c r="G44" i="40" s="1"/>
  <c r="F191" i="40"/>
  <c r="F44" i="40" s="1"/>
  <c r="S5" i="40"/>
  <c r="D32" i="40"/>
  <c r="AH1" i="59"/>
  <c r="AK25" i="59" s="1"/>
  <c r="AM25" i="59" s="1"/>
  <c r="AK23" i="59" l="1"/>
  <c r="AL23" i="59" s="1" a="1"/>
  <c r="AL23" i="59" s="1"/>
  <c r="AM11" i="83" s="1"/>
  <c r="AK24" i="59"/>
  <c r="AM24" i="59" s="1"/>
  <c r="I191" i="40"/>
  <c r="I44" i="40" s="1"/>
  <c r="H191" i="40"/>
  <c r="H44" i="40" s="1"/>
  <c r="AK22" i="59"/>
  <c r="AM10" i="83" l="1"/>
  <c r="AM23" i="59"/>
  <c r="K191" i="40"/>
  <c r="K44" i="40" s="1"/>
  <c r="J191" i="40"/>
  <c r="J44" i="40" s="1"/>
  <c r="I26" i="58"/>
  <c r="AB22" i="59"/>
  <c r="AA22" i="59"/>
  <c r="AL22" i="59" s="1" a="1"/>
  <c r="AL22" i="59" s="1"/>
  <c r="AM12" i="83" s="1"/>
  <c r="S22" i="59"/>
  <c r="Q22" i="59" a="1"/>
  <c r="Q22" i="59" s="1"/>
  <c r="L191" i="40" l="1"/>
  <c r="L44" i="40" s="1"/>
  <c r="N191" i="40"/>
  <c r="N44" i="40" s="1"/>
  <c r="M191" i="40"/>
  <c r="M44" i="40" s="1"/>
  <c r="O191" i="40"/>
  <c r="O44" i="40" s="1"/>
  <c r="AC22" i="59"/>
  <c r="AB46" i="6" a="1"/>
  <c r="AB46" i="6" s="1"/>
  <c r="AC20" i="59" l="1"/>
  <c r="AD22" i="59"/>
  <c r="L3" i="53"/>
  <c r="L5" i="53"/>
  <c r="K3" i="53"/>
  <c r="K5" i="53"/>
  <c r="J3" i="53"/>
  <c r="J5" i="53"/>
  <c r="Z6" i="61"/>
  <c r="X5" i="61"/>
  <c r="C200" i="40" l="1"/>
  <c r="C201" i="40" s="1"/>
  <c r="C126" i="40"/>
  <c r="P122" i="40"/>
  <c r="E200" i="40" l="1"/>
  <c r="E201" i="40" s="1"/>
  <c r="F200" i="40"/>
  <c r="F201" i="40" s="1"/>
  <c r="G200" i="40"/>
  <c r="G201" i="40" s="1"/>
  <c r="H200" i="40"/>
  <c r="H201" i="40" s="1"/>
  <c r="I200" i="40"/>
  <c r="I201" i="40" s="1"/>
  <c r="J200" i="40"/>
  <c r="J201" i="40" s="1"/>
  <c r="K200" i="40"/>
  <c r="K201" i="40" s="1"/>
  <c r="L200" i="40"/>
  <c r="L201" i="40" s="1"/>
  <c r="M200" i="40"/>
  <c r="M201" i="40" s="1"/>
  <c r="N200" i="40"/>
  <c r="N201" i="40" s="1"/>
  <c r="O200" i="40"/>
  <c r="O201" i="40" s="1"/>
  <c r="D200" i="40"/>
  <c r="D201" i="40" s="1"/>
  <c r="P10" i="55"/>
  <c r="C4" i="55" a="1"/>
  <c r="C4" i="55" s="1"/>
  <c r="W10" i="55"/>
  <c r="X10" i="55" s="1"/>
  <c r="J34" i="64" l="1"/>
  <c r="N34" i="64"/>
  <c r="O34" i="64"/>
  <c r="P34" i="64"/>
  <c r="R34" i="64"/>
  <c r="L8" i="38"/>
  <c r="K8" i="38"/>
  <c r="Q34" i="64" l="1"/>
  <c r="Q33" i="64"/>
  <c r="S33" i="64" s="1"/>
  <c r="Q32" i="64"/>
  <c r="Y32" i="64"/>
  <c r="Y33" i="64"/>
  <c r="Y34" i="64"/>
  <c r="S34" i="64"/>
  <c r="T34" i="64" s="1"/>
  <c r="D108" i="32" a="1"/>
  <c r="D108" i="32" s="1"/>
  <c r="D114" i="32" a="1"/>
  <c r="D114" i="32" s="1"/>
  <c r="BL9" i="61"/>
  <c r="BM9" i="61" s="1"/>
  <c r="BK7" i="61"/>
  <c r="BL7" i="61" s="1"/>
  <c r="U33" i="64" l="1"/>
  <c r="V33" i="64" s="1"/>
  <c r="X33" i="64" s="1"/>
  <c r="T33" i="64"/>
  <c r="S32" i="64"/>
  <c r="T32" i="64" s="1"/>
  <c r="U34" i="64"/>
  <c r="V34" i="64" s="1"/>
  <c r="X34" i="64" s="1"/>
  <c r="BM7" i="61"/>
  <c r="Q65" i="10"/>
  <c r="R65" i="10"/>
  <c r="W33" i="64" l="1"/>
  <c r="U32" i="64"/>
  <c r="V32" i="64" s="1"/>
  <c r="X32" i="64" s="1"/>
  <c r="W34" i="64"/>
  <c r="Z22" i="64" s="1"/>
  <c r="B18" i="10"/>
  <c r="W32" i="64" l="1"/>
  <c r="Z23" i="64"/>
  <c r="Z24" i="64"/>
  <c r="Z25" i="64"/>
  <c r="Z26" i="64"/>
  <c r="Z27" i="64"/>
  <c r="Z28" i="64"/>
  <c r="Z29" i="64"/>
  <c r="Z30" i="64"/>
  <c r="Z31" i="64"/>
  <c r="Z32" i="64"/>
  <c r="Z33" i="64"/>
  <c r="Z34" i="64"/>
  <c r="T43" i="13"/>
  <c r="I32" i="13"/>
  <c r="P98" i="32" l="1" a="1"/>
  <c r="P98" i="32" s="1"/>
  <c r="O98" i="32" a="1"/>
  <c r="O98" i="32" s="1"/>
  <c r="K98" i="32" a="1"/>
  <c r="K98" i="32" s="1"/>
  <c r="J98" i="32" a="1"/>
  <c r="J98" i="32" s="1"/>
  <c r="F98" i="32" a="1"/>
  <c r="F98" i="32" s="1"/>
  <c r="E98" i="32" a="1"/>
  <c r="E98" i="32" s="1"/>
  <c r="D4" i="46"/>
  <c r="D2" i="46"/>
  <c r="D87" i="32" l="1" a="1"/>
  <c r="D87" i="32" s="1"/>
  <c r="W65" i="10"/>
  <c r="Y46" i="10" l="1"/>
  <c r="Y47" i="10"/>
  <c r="Y48" i="10"/>
  <c r="Y49" i="10"/>
  <c r="Y50" i="10"/>
  <c r="Y51" i="10"/>
  <c r="Y52" i="10"/>
  <c r="Y53" i="10"/>
  <c r="Y54" i="10"/>
  <c r="Y55" i="10"/>
  <c r="Y56" i="10"/>
  <c r="Y57" i="10"/>
  <c r="Y58" i="10"/>
  <c r="Y59" i="10"/>
  <c r="Y60" i="10"/>
  <c r="Y61" i="10"/>
  <c r="Y62" i="10"/>
  <c r="Y63" i="10"/>
  <c r="Y64" i="10"/>
  <c r="Y65" i="10"/>
  <c r="O26" i="40" l="1"/>
  <c r="N26" i="40"/>
  <c r="M26" i="40"/>
  <c r="L26" i="40"/>
  <c r="K26" i="40"/>
  <c r="J26" i="40"/>
  <c r="I26" i="40"/>
  <c r="H26" i="40"/>
  <c r="G26" i="40"/>
  <c r="F26" i="40"/>
  <c r="E26" i="40"/>
  <c r="D26" i="40"/>
  <c r="O27" i="40"/>
  <c r="N27" i="40"/>
  <c r="M27" i="40"/>
  <c r="L27" i="40"/>
  <c r="K27" i="40"/>
  <c r="J27" i="40"/>
  <c r="I27" i="40"/>
  <c r="H27" i="40"/>
  <c r="G27" i="40"/>
  <c r="F27" i="40"/>
  <c r="E27" i="40"/>
  <c r="D27" i="40"/>
  <c r="C4" i="81" a="1"/>
  <c r="C26" i="40" l="1"/>
  <c r="C4" i="81"/>
  <c r="AV46" i="6" a="1"/>
  <c r="AV46" i="6" s="1"/>
  <c r="AU46" i="6"/>
  <c r="AT46" i="6"/>
  <c r="AS46" i="6"/>
  <c r="AR46" i="6"/>
  <c r="AQ46" i="6"/>
  <c r="N33" i="6" a="1"/>
  <c r="N33" i="6" s="1"/>
  <c r="M33" i="6"/>
  <c r="N17" i="6" a="1"/>
  <c r="N17" i="6" s="1"/>
  <c r="N18" i="6" a="1"/>
  <c r="N18" i="6" s="1"/>
  <c r="N19" i="6" a="1"/>
  <c r="N19" i="6" s="1"/>
  <c r="N20" i="6" a="1"/>
  <c r="N20" i="6" s="1"/>
  <c r="N21" i="6" a="1"/>
  <c r="N21" i="6" s="1"/>
  <c r="N22" i="6" a="1"/>
  <c r="N22" i="6" s="1"/>
  <c r="N23" i="6" a="1"/>
  <c r="N23" i="6" s="1"/>
  <c r="N24" i="6" a="1"/>
  <c r="N24" i="6" s="1"/>
  <c r="N25" i="6" a="1"/>
  <c r="N25" i="6" s="1"/>
  <c r="N26" i="6" a="1"/>
  <c r="N26" i="6" s="1"/>
  <c r="N27" i="6" a="1"/>
  <c r="N27" i="6" s="1"/>
  <c r="N28" i="6" a="1"/>
  <c r="N28" i="6" s="1"/>
  <c r="M17" i="6"/>
  <c r="M18" i="6"/>
  <c r="M19" i="6"/>
  <c r="M20" i="6"/>
  <c r="M21" i="6"/>
  <c r="M22" i="6"/>
  <c r="M23" i="6"/>
  <c r="M24" i="6"/>
  <c r="M25" i="6"/>
  <c r="M26" i="6"/>
  <c r="M27" i="6"/>
  <c r="M28" i="6"/>
  <c r="AU3" i="29" a="1"/>
  <c r="AU3" i="29" s="1"/>
  <c r="AT3" i="29"/>
  <c r="AS3" i="29"/>
  <c r="AR3" i="29"/>
  <c r="AQ3" i="29"/>
  <c r="AP3" i="29"/>
  <c r="AT81" i="29"/>
  <c r="AQ81" i="29"/>
  <c r="AP46" i="6" l="1"/>
  <c r="AO3" i="29"/>
  <c r="AC45" i="6"/>
  <c r="F5" i="82" l="1"/>
  <c r="G6" i="82" s="1" a="1"/>
  <c r="G6" i="82" s="1"/>
  <c r="F6" i="82"/>
  <c r="F7" i="82"/>
  <c r="F8" i="82"/>
  <c r="F9" i="82"/>
  <c r="F10" i="82"/>
  <c r="G5" i="82" a="1"/>
  <c r="G5" i="82" s="1"/>
  <c r="G10" i="82" l="1" a="1"/>
  <c r="G10" i="82" s="1"/>
  <c r="G9" i="82" a="1"/>
  <c r="G9" i="82" s="1"/>
  <c r="G8" i="82" a="1"/>
  <c r="G8" i="82" s="1"/>
  <c r="G7" i="82" a="1"/>
  <c r="G7" i="82" s="1"/>
  <c r="T45" i="6"/>
  <c r="M43" i="13"/>
  <c r="C17" i="45"/>
  <c r="C15" i="45"/>
  <c r="K15" i="45"/>
  <c r="V22" i="81"/>
  <c r="V23" i="81"/>
  <c r="V24" i="81"/>
  <c r="V25" i="81"/>
  <c r="V26" i="81"/>
  <c r="V27" i="81"/>
  <c r="V28" i="81"/>
  <c r="V29" i="81"/>
  <c r="V30" i="81"/>
  <c r="V31" i="81"/>
  <c r="V32" i="81"/>
  <c r="V21" i="81"/>
  <c r="Q30" i="81"/>
  <c r="P22" i="81"/>
  <c r="P23" i="81"/>
  <c r="P24" i="81"/>
  <c r="P25" i="81"/>
  <c r="P26" i="81"/>
  <c r="P27" i="81"/>
  <c r="P28" i="81"/>
  <c r="P29" i="81"/>
  <c r="P30" i="81"/>
  <c r="P31" i="81"/>
  <c r="P32" i="81"/>
  <c r="P21" i="81"/>
  <c r="V15" i="81"/>
  <c r="V13" i="81"/>
  <c r="P13" i="81"/>
  <c r="P15" i="81"/>
  <c r="P6" i="6"/>
  <c r="E10" i="81" a="1"/>
  <c r="E10" i="81" s="1"/>
  <c r="E9" i="81"/>
  <c r="K10" i="81" a="1"/>
  <c r="K10" i="81" s="1"/>
  <c r="H11" i="81" a="1"/>
  <c r="H11" i="81" s="1"/>
  <c r="B12" i="81" a="1"/>
  <c r="B12" i="81" s="1"/>
  <c r="K9" i="81"/>
  <c r="G11" i="81"/>
  <c r="B11" i="81"/>
  <c r="H13" i="54" l="1" a="1"/>
  <c r="H13" i="54" s="1"/>
  <c r="V55" i="68" l="1" a="1"/>
  <c r="V55" i="68" s="1"/>
  <c r="S55" i="68" a="1"/>
  <c r="S55" i="68" s="1"/>
  <c r="V52" i="68" a="1"/>
  <c r="V52" i="68" s="1"/>
  <c r="S52" i="68" a="1"/>
  <c r="S52" i="68" s="1"/>
  <c r="V51" i="68" a="1"/>
  <c r="V51" i="68" s="1"/>
  <c r="S51" i="68" a="1"/>
  <c r="S51" i="68" s="1"/>
  <c r="C52" i="68" a="1"/>
  <c r="C52" i="68" s="1"/>
  <c r="V50" i="68" a="1"/>
  <c r="V50" i="68" s="1"/>
  <c r="V46" i="68" a="1"/>
  <c r="V46" i="68" s="1"/>
  <c r="S46" i="68" a="1"/>
  <c r="S46" i="68" s="1"/>
  <c r="V45" i="68" a="1"/>
  <c r="V45" i="68" s="1"/>
  <c r="S45" i="68" a="1"/>
  <c r="S45" i="68" s="1"/>
  <c r="V44" i="68" a="1"/>
  <c r="V44" i="68" s="1"/>
  <c r="S44" i="68" a="1"/>
  <c r="S44" i="68" s="1"/>
  <c r="V42" i="68" a="1"/>
  <c r="V42" i="68" s="1"/>
  <c r="S42" i="68" a="1"/>
  <c r="S42" i="68" s="1"/>
  <c r="V40" i="68" a="1"/>
  <c r="V40" i="68" s="1"/>
  <c r="S40" i="68" a="1"/>
  <c r="S40" i="68" s="1"/>
  <c r="V39" i="68" a="1"/>
  <c r="V39" i="68" s="1"/>
  <c r="S39" i="68" a="1"/>
  <c r="S39" i="68" s="1"/>
  <c r="S38" i="68" a="1"/>
  <c r="S38" i="68" s="1"/>
  <c r="V38" i="68" a="1"/>
  <c r="V38" i="68" s="1"/>
  <c r="V35" i="68" a="1"/>
  <c r="V35" i="68" s="1"/>
  <c r="S35" i="68" a="1"/>
  <c r="S35" i="68" s="1"/>
  <c r="C35" i="68" a="1"/>
  <c r="C35" i="68" s="1"/>
  <c r="S34" i="68" a="1"/>
  <c r="S34" i="68" s="1"/>
  <c r="C34" i="68" a="1"/>
  <c r="C34" i="68" s="1"/>
  <c r="S30" i="68" a="1"/>
  <c r="S30" i="68" s="1"/>
  <c r="C30" i="68" a="1"/>
  <c r="C30" i="68" s="1"/>
  <c r="S29" i="68" a="1"/>
  <c r="S29" i="68" s="1"/>
  <c r="C29" i="68" a="1"/>
  <c r="C29" i="68" s="1"/>
  <c r="C26" i="68" a="1"/>
  <c r="C26" i="68" s="1"/>
  <c r="S26" i="68" a="1"/>
  <c r="S26" i="68" s="1"/>
  <c r="S25" i="68" a="1"/>
  <c r="S25" i="68" s="1"/>
  <c r="C25" i="68" a="1"/>
  <c r="C25" i="68" s="1"/>
  <c r="S24" i="68" a="1"/>
  <c r="S24" i="68" s="1"/>
  <c r="C24" i="68" a="1"/>
  <c r="C24" i="68" s="1"/>
  <c r="V18" i="68" a="1"/>
  <c r="V18" i="68" s="1"/>
  <c r="S18" i="68" a="1"/>
  <c r="S18" i="68" s="1"/>
  <c r="S17" i="68" a="1"/>
  <c r="S17" i="68" s="1"/>
  <c r="S14" i="68" a="1"/>
  <c r="S14" i="68" s="1"/>
  <c r="C14" i="68" a="1"/>
  <c r="C14" i="68" s="1"/>
  <c r="J35" i="32" a="1"/>
  <c r="J35" i="32" s="1"/>
  <c r="K35" i="32" a="1"/>
  <c r="K35" i="32" s="1"/>
  <c r="J16" i="32" a="1"/>
  <c r="J16" i="32" s="1"/>
  <c r="K16" i="32" a="1"/>
  <c r="K16" i="32" s="1"/>
  <c r="AP81" i="29"/>
  <c r="AS81" i="29"/>
  <c r="AR81" i="29"/>
  <c r="AE81" i="29"/>
  <c r="AE3" i="29"/>
  <c r="AO81" i="29" l="1"/>
  <c r="V37" i="68"/>
  <c r="S37" i="68"/>
  <c r="O112" i="32"/>
  <c r="O106" i="32" s="1"/>
  <c r="O111" i="32"/>
  <c r="O104" i="32" s="1"/>
  <c r="O110" i="32"/>
  <c r="O103" i="32" s="1"/>
  <c r="O96" i="32" a="1"/>
  <c r="O96" i="32" s="1"/>
  <c r="O94" i="32"/>
  <c r="O83" i="32" s="1"/>
  <c r="O93" i="32"/>
  <c r="O82" i="32" s="1"/>
  <c r="O92" i="32"/>
  <c r="O81" i="32" s="1"/>
  <c r="O73" i="32" a="1"/>
  <c r="O73" i="32" s="1"/>
  <c r="O72" i="32" a="1"/>
  <c r="O72" i="32" s="1"/>
  <c r="O71" i="32" a="1"/>
  <c r="O71" i="32" s="1"/>
  <c r="O70" i="32" a="1"/>
  <c r="O70" i="32" s="1"/>
  <c r="O68" i="32" a="1"/>
  <c r="O68" i="32" s="1"/>
  <c r="O67" i="32" a="1"/>
  <c r="O67" i="32" s="1"/>
  <c r="O66" i="32" a="1"/>
  <c r="O66" i="32" s="1"/>
  <c r="O65" i="32" a="1"/>
  <c r="O65" i="32" s="1"/>
  <c r="O63" i="32" a="1"/>
  <c r="O63" i="32" s="1"/>
  <c r="O62" i="32" a="1"/>
  <c r="O62" i="32" s="1"/>
  <c r="O61" i="32" a="1"/>
  <c r="O61" i="32" s="1"/>
  <c r="O60" i="32" a="1"/>
  <c r="O60" i="32" s="1"/>
  <c r="O59" i="32" a="1"/>
  <c r="O59" i="32" s="1"/>
  <c r="O58" i="32" a="1"/>
  <c r="O58" i="32" s="1"/>
  <c r="O57" i="32" a="1"/>
  <c r="O57" i="32" s="1"/>
  <c r="O56" i="32" a="1"/>
  <c r="O56" i="32" s="1"/>
  <c r="O25" i="32" a="1"/>
  <c r="O25" i="32" s="1"/>
  <c r="J112" i="32"/>
  <c r="J111" i="32"/>
  <c r="J110" i="32"/>
  <c r="J96" i="32" a="1"/>
  <c r="J96" i="32" s="1"/>
  <c r="J94" i="32"/>
  <c r="J93" i="32"/>
  <c r="J92" i="32"/>
  <c r="J73" i="32" a="1"/>
  <c r="J73" i="32" s="1"/>
  <c r="J72" i="32" a="1"/>
  <c r="J72" i="32" s="1"/>
  <c r="J71" i="32" a="1"/>
  <c r="J71" i="32" s="1"/>
  <c r="J70" i="32" a="1"/>
  <c r="J70" i="32" s="1"/>
  <c r="J68" i="32" a="1"/>
  <c r="J68" i="32" s="1"/>
  <c r="J67" i="32" a="1"/>
  <c r="J67" i="32" s="1"/>
  <c r="J66" i="32" a="1"/>
  <c r="J66" i="32" s="1"/>
  <c r="J65" i="32" a="1"/>
  <c r="J65" i="32" s="1"/>
  <c r="J63" i="32" a="1"/>
  <c r="J63" i="32" s="1"/>
  <c r="J62" i="32" a="1"/>
  <c r="J62" i="32" s="1"/>
  <c r="J61" i="32" a="1"/>
  <c r="J61" i="32" s="1"/>
  <c r="J60" i="32" a="1"/>
  <c r="J60" i="32" s="1"/>
  <c r="J59" i="32" a="1"/>
  <c r="J59" i="32" s="1"/>
  <c r="J58" i="32" a="1"/>
  <c r="J58" i="32" s="1"/>
  <c r="J57" i="32" a="1"/>
  <c r="J57" i="32" s="1"/>
  <c r="J56" i="32" a="1"/>
  <c r="J56" i="32" s="1"/>
  <c r="J54" i="32" a="1"/>
  <c r="J54" i="32" s="1"/>
  <c r="J39" i="32" a="1"/>
  <c r="J39" i="32" s="1"/>
  <c r="J38" i="32" a="1"/>
  <c r="J38" i="32" s="1"/>
  <c r="J36" i="32" a="1"/>
  <c r="J36" i="32" s="1"/>
  <c r="J31" i="32" a="1"/>
  <c r="J31" i="32" s="1"/>
  <c r="J29" i="32" a="1"/>
  <c r="J29" i="32" s="1"/>
  <c r="J28" i="32" a="1"/>
  <c r="J28" i="32" s="1"/>
  <c r="J27" i="32" a="1"/>
  <c r="J27" i="32" s="1"/>
  <c r="J25" i="32" a="1"/>
  <c r="J25" i="32" s="1"/>
  <c r="J19" i="32" a="1"/>
  <c r="J19" i="32" s="1"/>
  <c r="J17" i="32" a="1"/>
  <c r="J17" i="32" s="1"/>
  <c r="J9" i="32" a="1"/>
  <c r="J9" i="32" s="1"/>
  <c r="O55" i="32" l="1"/>
  <c r="O69" i="32"/>
  <c r="O91" i="32"/>
  <c r="J91" i="32"/>
  <c r="J69" i="32"/>
  <c r="O64" i="32"/>
  <c r="J64" i="32"/>
  <c r="J55" i="32"/>
  <c r="J53" i="32" s="1"/>
  <c r="K4" i="32"/>
  <c r="P4" i="32"/>
  <c r="P112" i="32"/>
  <c r="K112" i="32"/>
  <c r="P110" i="32"/>
  <c r="K110" i="32"/>
  <c r="P111" i="32"/>
  <c r="K111" i="32"/>
  <c r="K96" i="32" a="1"/>
  <c r="K96" i="32" s="1"/>
  <c r="P96" i="32" a="1"/>
  <c r="P96" i="32" s="1"/>
  <c r="P94" i="32"/>
  <c r="P83" i="32" s="1"/>
  <c r="P93" i="32"/>
  <c r="P82" i="32" s="1"/>
  <c r="K94" i="32"/>
  <c r="K93" i="32"/>
  <c r="K92" i="32"/>
  <c r="P92" i="32"/>
  <c r="P81" i="32" s="1"/>
  <c r="P73" i="32" a="1"/>
  <c r="P73" i="32" s="1"/>
  <c r="P72" i="32" a="1"/>
  <c r="P72" i="32" s="1"/>
  <c r="P71" i="32" a="1"/>
  <c r="P71" i="32" s="1"/>
  <c r="P70" i="32" a="1"/>
  <c r="P70" i="32" s="1"/>
  <c r="P68" i="32" a="1"/>
  <c r="P68" i="32" s="1"/>
  <c r="P67" i="32" a="1"/>
  <c r="P67" i="32" s="1"/>
  <c r="P66" i="32" a="1"/>
  <c r="P66" i="32" s="1"/>
  <c r="P65" i="32" a="1"/>
  <c r="P65" i="32" s="1"/>
  <c r="P63" i="32" a="1"/>
  <c r="P63" i="32" s="1"/>
  <c r="K73" i="32" a="1"/>
  <c r="K73" i="32" s="1"/>
  <c r="K72" i="32" a="1"/>
  <c r="K72" i="32" s="1"/>
  <c r="K71" i="32" a="1"/>
  <c r="K71" i="32" s="1"/>
  <c r="K70" i="32" a="1"/>
  <c r="K70" i="32" s="1"/>
  <c r="K68" i="32" a="1"/>
  <c r="K68" i="32" s="1"/>
  <c r="K67" i="32" a="1"/>
  <c r="K67" i="32" s="1"/>
  <c r="K66" i="32" a="1"/>
  <c r="K66" i="32" s="1"/>
  <c r="K65" i="32" a="1"/>
  <c r="K65" i="32" s="1"/>
  <c r="K63" i="32" a="1"/>
  <c r="K63" i="32" s="1"/>
  <c r="P62" i="32" a="1"/>
  <c r="P62" i="32" s="1"/>
  <c r="P61" i="32" a="1"/>
  <c r="P61" i="32" s="1"/>
  <c r="P60" i="32" a="1"/>
  <c r="P60" i="32" s="1"/>
  <c r="P59" i="32" a="1"/>
  <c r="P59" i="32" s="1"/>
  <c r="P58" i="32" a="1"/>
  <c r="P58" i="32" s="1"/>
  <c r="P57" i="32" a="1"/>
  <c r="P57" i="32" s="1"/>
  <c r="P56" i="32" a="1"/>
  <c r="P56" i="32" s="1"/>
  <c r="K62" i="32" a="1"/>
  <c r="K62" i="32" s="1"/>
  <c r="K61" i="32" a="1"/>
  <c r="K61" i="32" s="1"/>
  <c r="K60" i="32" a="1"/>
  <c r="K60" i="32" s="1"/>
  <c r="K59" i="32" a="1"/>
  <c r="K59" i="32" s="1"/>
  <c r="K58" i="32" a="1"/>
  <c r="K58" i="32" s="1"/>
  <c r="K57" i="32" a="1"/>
  <c r="K57" i="32" s="1"/>
  <c r="K56" i="32" a="1"/>
  <c r="K56" i="32" s="1"/>
  <c r="K54" i="32" a="1"/>
  <c r="K54" i="32" s="1"/>
  <c r="K39" i="32" a="1"/>
  <c r="K39" i="32" s="1"/>
  <c r="K38" i="32" a="1"/>
  <c r="K38" i="32" s="1"/>
  <c r="K36" i="32" a="1"/>
  <c r="K36" i="32" s="1"/>
  <c r="K31" i="32" a="1"/>
  <c r="K31" i="32" s="1"/>
  <c r="K29" i="32" a="1"/>
  <c r="K29" i="32" s="1"/>
  <c r="K28" i="32" a="1"/>
  <c r="K28" i="32" s="1"/>
  <c r="K27" i="32" a="1"/>
  <c r="K27" i="32" s="1"/>
  <c r="P25" i="32" a="1"/>
  <c r="P25" i="32" s="1"/>
  <c r="K25" i="32" a="1"/>
  <c r="K25" i="32" s="1"/>
  <c r="K19" i="32" a="1"/>
  <c r="K19" i="32" s="1"/>
  <c r="K17" i="32" a="1"/>
  <c r="K17" i="32" s="1"/>
  <c r="B5" i="39"/>
  <c r="M5" i="39"/>
  <c r="N5" i="39" s="1"/>
  <c r="K9" i="32" a="1"/>
  <c r="K9" i="32" s="1"/>
  <c r="BH25" i="57" a="1"/>
  <c r="BH25" i="57" s="1"/>
  <c r="Z5" i="53"/>
  <c r="Z3" i="53"/>
  <c r="V3" i="53"/>
  <c r="V5" i="53"/>
  <c r="X5" i="53"/>
  <c r="AC24" i="61" a="1"/>
  <c r="AC24" i="61" s="1"/>
  <c r="AC29" i="61" a="1"/>
  <c r="AC29" i="61" s="1"/>
  <c r="AC57" i="61" a="1"/>
  <c r="AC57" i="61" s="1"/>
  <c r="AC56" i="61" a="1"/>
  <c r="AC56" i="61" s="1"/>
  <c r="AC55" i="61" a="1"/>
  <c r="AC55" i="61" s="1"/>
  <c r="AC54" i="61" a="1"/>
  <c r="AC54" i="61" s="1"/>
  <c r="AC53" i="61" a="1"/>
  <c r="AC53" i="61" s="1"/>
  <c r="AC52" i="61" a="1"/>
  <c r="AC52" i="61" s="1"/>
  <c r="AC51" i="61" a="1"/>
  <c r="AC51" i="61" s="1"/>
  <c r="AC50" i="61" a="1"/>
  <c r="AC50" i="61" s="1"/>
  <c r="AC49" i="61" a="1"/>
  <c r="AC49" i="61" s="1"/>
  <c r="AC48" i="61" a="1"/>
  <c r="AC48" i="61" s="1"/>
  <c r="AC47" i="61" a="1"/>
  <c r="AC47" i="61" s="1"/>
  <c r="AC46" i="61" a="1"/>
  <c r="AC46" i="61" s="1"/>
  <c r="AC45" i="61" a="1"/>
  <c r="AC45" i="61" s="1"/>
  <c r="AC44" i="61" a="1"/>
  <c r="AC44" i="61" s="1"/>
  <c r="AC43" i="61" a="1"/>
  <c r="AC43" i="61" s="1"/>
  <c r="AC42" i="61" a="1"/>
  <c r="AC42" i="61" s="1"/>
  <c r="AC41" i="61" a="1"/>
  <c r="AC41" i="61" s="1"/>
  <c r="AC40" i="61" a="1"/>
  <c r="AC40" i="61" s="1"/>
  <c r="AC39" i="61" a="1"/>
  <c r="AC39" i="61" s="1"/>
  <c r="AC38" i="61" a="1"/>
  <c r="AC38" i="61" s="1"/>
  <c r="AC37" i="61" a="1"/>
  <c r="AC37" i="61" s="1"/>
  <c r="AC36" i="61" a="1"/>
  <c r="AC36" i="61" s="1"/>
  <c r="AC35" i="61" a="1"/>
  <c r="AC35" i="61" s="1"/>
  <c r="AC34" i="61" a="1"/>
  <c r="AC34" i="61" s="1"/>
  <c r="AC33" i="61" a="1"/>
  <c r="AC33" i="61" s="1"/>
  <c r="AC32" i="61" a="1"/>
  <c r="AC32" i="61" s="1"/>
  <c r="AC31" i="61" a="1"/>
  <c r="AC31" i="61" s="1"/>
  <c r="AC30" i="61" a="1"/>
  <c r="AC30" i="61" s="1"/>
  <c r="AC28" i="61" a="1"/>
  <c r="AC28" i="61" s="1"/>
  <c r="AC27" i="61" a="1"/>
  <c r="AC27" i="61" s="1"/>
  <c r="AC26" i="61" a="1"/>
  <c r="AC26"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F44" i="32" l="1" a="1"/>
  <c r="F44" i="32" s="1"/>
  <c r="E44" i="32" a="1"/>
  <c r="E44" i="32" s="1"/>
  <c r="J167" i="32"/>
  <c r="J140" i="32"/>
  <c r="J47" i="32" a="1"/>
  <c r="J47" i="32" s="1"/>
  <c r="J46" i="32" a="1"/>
  <c r="J46" i="32" s="1"/>
  <c r="J44" i="32" a="1"/>
  <c r="J44" i="32" s="1"/>
  <c r="J45" i="32" a="1"/>
  <c r="J45" i="32" s="1"/>
  <c r="J74" i="32"/>
  <c r="J168" i="32" s="1"/>
  <c r="P69" i="32"/>
  <c r="K44" i="32" a="1"/>
  <c r="K44" i="32" s="1"/>
  <c r="K45" i="32" a="1"/>
  <c r="K45" i="32" s="1"/>
  <c r="K46" i="32" a="1"/>
  <c r="K46" i="32" s="1"/>
  <c r="K69" i="32"/>
  <c r="P91" i="32"/>
  <c r="K91" i="32"/>
  <c r="P64" i="32"/>
  <c r="K64" i="32"/>
  <c r="P55" i="32"/>
  <c r="K55" i="32"/>
  <c r="K53" i="32" s="1"/>
  <c r="K140" i="32" l="1"/>
  <c r="K167" i="32"/>
  <c r="K74" i="32"/>
  <c r="K168" i="32" s="1"/>
  <c r="Q24" i="37"/>
  <c r="Z24" i="37" s="1"/>
  <c r="X24" i="37"/>
  <c r="T24" i="37" l="1"/>
  <c r="O97" i="32" a="1"/>
  <c r="O97" i="32" s="1"/>
  <c r="O95" i="32" s="1"/>
  <c r="J97" i="32" a="1"/>
  <c r="J97" i="32" s="1"/>
  <c r="J95" i="32" s="1"/>
  <c r="F97" i="32" a="1"/>
  <c r="F97" i="32" s="1"/>
  <c r="U24" i="37"/>
  <c r="AC24" i="37" l="1"/>
  <c r="N22" i="63"/>
  <c r="O22" i="63"/>
  <c r="M24" i="63"/>
  <c r="M25" i="63"/>
  <c r="M26" i="63"/>
  <c r="M30" i="63"/>
  <c r="O37" i="63"/>
  <c r="N49" i="63"/>
  <c r="N40" i="63"/>
  <c r="M23" i="63"/>
  <c r="O28" i="63"/>
  <c r="M44" i="63"/>
  <c r="N45" i="63"/>
  <c r="M37" i="63"/>
  <c r="O25" i="63"/>
  <c r="M27" i="63"/>
  <c r="N27" i="63"/>
  <c r="M51" i="63"/>
  <c r="O43" i="63"/>
  <c r="M28" i="63"/>
  <c r="N47" i="63"/>
  <c r="O48" i="63"/>
  <c r="N29" i="63"/>
  <c r="M45" i="63"/>
  <c r="M36" i="63"/>
  <c r="M40" i="63"/>
  <c r="O46" i="63"/>
  <c r="M35" i="63"/>
  <c r="O51" i="63"/>
  <c r="O50" i="63"/>
  <c r="O30" i="63"/>
  <c r="N28" i="63"/>
  <c r="N51" i="63"/>
  <c r="O39" i="63"/>
  <c r="M32" i="63"/>
  <c r="N32" i="63"/>
  <c r="M49" i="63"/>
  <c r="N46" i="63"/>
  <c r="N35" i="63"/>
  <c r="M22" i="63"/>
  <c r="O23" i="63"/>
  <c r="M34" i="63"/>
  <c r="M41" i="63"/>
  <c r="O38" i="63"/>
  <c r="O47" i="63"/>
  <c r="O34" i="63"/>
  <c r="N52" i="63"/>
  <c r="M31" i="63"/>
  <c r="O49" i="63"/>
  <c r="N42" i="63"/>
  <c r="O42" i="63"/>
  <c r="N50" i="63"/>
  <c r="O36" i="63"/>
  <c r="M38" i="63"/>
  <c r="O31" i="63"/>
  <c r="M21" i="63"/>
  <c r="M48" i="63"/>
  <c r="N25" i="63"/>
  <c r="O44" i="63"/>
  <c r="N31" i="63"/>
  <c r="N39" i="63"/>
  <c r="N33" i="63"/>
  <c r="N34" i="63"/>
  <c r="N36" i="63"/>
  <c r="O29" i="63"/>
  <c r="N38" i="63"/>
  <c r="N23" i="63"/>
  <c r="O35" i="63"/>
  <c r="O24" i="63"/>
  <c r="O41" i="63"/>
  <c r="M47" i="63"/>
  <c r="M42" i="63"/>
  <c r="O26" i="63"/>
  <c r="O21" i="63"/>
  <c r="N21" i="63"/>
  <c r="O53" i="63"/>
  <c r="N24" i="63"/>
  <c r="O52" i="63"/>
  <c r="M29" i="63"/>
  <c r="O27" i="63"/>
  <c r="O32" i="63"/>
  <c r="M52" i="63"/>
  <c r="O45" i="63"/>
  <c r="O33" i="63"/>
  <c r="M46" i="63"/>
  <c r="N43" i="63"/>
  <c r="O40" i="63"/>
  <c r="N53" i="63"/>
  <c r="N41" i="63"/>
  <c r="M39" i="63"/>
  <c r="M50" i="63"/>
  <c r="L50" i="63" s="1"/>
  <c r="P50" i="63" s="1"/>
  <c r="N30" i="63"/>
  <c r="N48" i="63"/>
  <c r="N26" i="63"/>
  <c r="N37" i="63"/>
  <c r="N44" i="63"/>
  <c r="M43" i="63"/>
  <c r="M53" i="63"/>
  <c r="M33" i="63"/>
  <c r="K97" i="32" a="1"/>
  <c r="K97" i="32" s="1"/>
  <c r="K95" i="32" s="1"/>
  <c r="P97" i="32" a="1"/>
  <c r="P97" i="32" s="1"/>
  <c r="AA24" i="37"/>
  <c r="AB24" i="37"/>
  <c r="E5" i="62"/>
  <c r="AH81" i="29"/>
  <c r="AK81" i="29"/>
  <c r="AE46" i="6"/>
  <c r="K17" i="45"/>
  <c r="K46" i="7"/>
  <c r="L23" i="63" l="1"/>
  <c r="P23" i="63" s="1"/>
  <c r="L24" i="63"/>
  <c r="P24" i="63" s="1"/>
  <c r="L53" i="63"/>
  <c r="P53" i="63" s="1"/>
  <c r="L47" i="63"/>
  <c r="P47" i="63" s="1"/>
  <c r="L32" i="63"/>
  <c r="P32" i="63" s="1"/>
  <c r="L36" i="63"/>
  <c r="P36" i="63" s="1"/>
  <c r="L28" i="63"/>
  <c r="P28" i="63" s="1"/>
  <c r="L41" i="63"/>
  <c r="P41" i="63" s="1"/>
  <c r="L38" i="63"/>
  <c r="P38" i="63" s="1"/>
  <c r="L29" i="63"/>
  <c r="P29" i="63" s="1"/>
  <c r="L48" i="63"/>
  <c r="P48" i="63" s="1"/>
  <c r="L43" i="63"/>
  <c r="P43" i="63" s="1"/>
  <c r="L22" i="63"/>
  <c r="P22" i="63" s="1"/>
  <c r="L35" i="63"/>
  <c r="P35" i="63" s="1"/>
  <c r="L27" i="63"/>
  <c r="P27" i="63" s="1"/>
  <c r="L52" i="63"/>
  <c r="P52" i="63" s="1"/>
  <c r="L21" i="63"/>
  <c r="P21" i="63" s="1"/>
  <c r="L30" i="63"/>
  <c r="P30" i="63" s="1"/>
  <c r="L39" i="63"/>
  <c r="P39" i="63" s="1"/>
  <c r="L34" i="63"/>
  <c r="P34" i="63" s="1"/>
  <c r="L51" i="63"/>
  <c r="P51" i="63" s="1"/>
  <c r="L33" i="63"/>
  <c r="P33" i="63" s="1"/>
  <c r="L25" i="63"/>
  <c r="P25" i="63" s="1"/>
  <c r="L40" i="63"/>
  <c r="P40" i="63" s="1"/>
  <c r="L37" i="63"/>
  <c r="P37" i="63" s="1"/>
  <c r="L46" i="63"/>
  <c r="P46" i="63" s="1"/>
  <c r="L26" i="63"/>
  <c r="P26" i="63" s="1"/>
  <c r="L49" i="63"/>
  <c r="P49" i="63" s="1"/>
  <c r="L42" i="63"/>
  <c r="P42" i="63" s="1"/>
  <c r="L31" i="63"/>
  <c r="P31" i="63" s="1"/>
  <c r="L45" i="63"/>
  <c r="P45" i="63" s="1"/>
  <c r="L44" i="63"/>
  <c r="P44" i="63" s="1"/>
  <c r="O114" i="32" a="1"/>
  <c r="O114" i="32" s="1"/>
  <c r="J114" i="32" a="1"/>
  <c r="J114" i="32" s="1"/>
  <c r="E114" i="32" a="1"/>
  <c r="E114" i="32" s="1"/>
  <c r="K114" i="32" a="1"/>
  <c r="K114" i="32" s="1"/>
  <c r="P114" i="32" a="1"/>
  <c r="P114" i="32" s="1"/>
  <c r="F114" i="32" a="1"/>
  <c r="F114" i="32" s="1"/>
  <c r="H5" i="48"/>
  <c r="D79" i="32" l="1" a="1"/>
  <c r="D79" i="32" s="1"/>
  <c r="D99" i="32" a="1"/>
  <c r="D99" i="32" s="1"/>
  <c r="O79" i="32" a="1"/>
  <c r="O79" i="32" s="1"/>
  <c r="O99" i="32" a="1"/>
  <c r="O99" i="32" s="1"/>
  <c r="O90" i="32" s="1"/>
  <c r="J99" i="32" a="1"/>
  <c r="J99" i="32" s="1"/>
  <c r="J90" i="32" s="1"/>
  <c r="J79" i="32" a="1"/>
  <c r="J79" i="32" s="1"/>
  <c r="J109" i="32"/>
  <c r="O109" i="32"/>
  <c r="K99" i="32" a="1"/>
  <c r="K99" i="32" s="1"/>
  <c r="K90" i="32" s="1"/>
  <c r="P99" i="32" a="1"/>
  <c r="P99" i="32" s="1"/>
  <c r="K79" i="32" a="1"/>
  <c r="K79" i="32" s="1"/>
  <c r="P79" i="32" a="1"/>
  <c r="P79" i="32" s="1"/>
  <c r="I5" i="48"/>
  <c r="D78" i="32" l="1"/>
  <c r="F92" i="32"/>
  <c r="F81" i="32" s="1"/>
  <c r="E92" i="32"/>
  <c r="E81" i="32" s="1"/>
  <c r="D92" i="32"/>
  <c r="F93" i="32"/>
  <c r="F82" i="32" s="1"/>
  <c r="E93" i="32"/>
  <c r="E82" i="32" s="1"/>
  <c r="D93" i="32"/>
  <c r="F94" i="32"/>
  <c r="F83" i="32" s="1"/>
  <c r="E94" i="32"/>
  <c r="E83" i="32" s="1"/>
  <c r="D94" i="32"/>
  <c r="D98" i="32" a="1"/>
  <c r="D98" i="32" s="1"/>
  <c r="F100" i="32"/>
  <c r="E100" i="32"/>
  <c r="D110" i="32"/>
  <c r="F110" i="32"/>
  <c r="E110" i="32"/>
  <c r="D111" i="32"/>
  <c r="F111" i="32"/>
  <c r="E111" i="32"/>
  <c r="D112" i="32"/>
  <c r="F112" i="32"/>
  <c r="F106" i="32" s="1"/>
  <c r="E112" i="32"/>
  <c r="E106" i="32" s="1"/>
  <c r="F113" i="32"/>
  <c r="E113" i="32"/>
  <c r="F107" i="32"/>
  <c r="E107" i="32"/>
  <c r="D117" i="32"/>
  <c r="D81" i="32" l="1"/>
  <c r="D103" i="32"/>
  <c r="J117" i="32" a="1"/>
  <c r="J117" i="32" s="1"/>
  <c r="O117" i="32" a="1"/>
  <c r="O117" i="32" s="1"/>
  <c r="D83" i="32"/>
  <c r="P117" i="32" a="1"/>
  <c r="P117" i="32" s="1"/>
  <c r="K117" i="32" a="1"/>
  <c r="K117" i="32" s="1"/>
  <c r="D106" i="32"/>
  <c r="D104" i="32"/>
  <c r="D82" i="32"/>
  <c r="F5" i="62"/>
  <c r="G5" i="62" s="1"/>
  <c r="R3" i="39" a="1"/>
  <c r="M15" i="45" a="1"/>
  <c r="F79" i="32" l="1" a="1"/>
  <c r="F79" i="32" s="1"/>
  <c r="E79" i="32" a="1"/>
  <c r="E79" i="32" s="1"/>
  <c r="F99" i="32" a="1"/>
  <c r="F99" i="32" s="1"/>
  <c r="E99" i="32" a="1"/>
  <c r="E99" i="32" s="1"/>
  <c r="M15" i="45"/>
  <c r="R3" i="39"/>
  <c r="D96" i="32" l="1" a="1"/>
  <c r="D96" i="32" s="1"/>
  <c r="F96" i="32" a="1"/>
  <c r="F96" i="32" s="1"/>
  <c r="E96" i="32" a="1"/>
  <c r="E96" i="32" s="1"/>
  <c r="O3" i="60" l="1" a="1"/>
  <c r="O3" i="60" s="1"/>
  <c r="Y3" i="53"/>
  <c r="Y5" i="53"/>
  <c r="X3" i="53"/>
  <c r="Y22" i="35"/>
  <c r="AK3" i="29" l="1" a="1"/>
  <c r="AK3" i="29" s="1"/>
  <c r="AH3" i="29" a="1"/>
  <c r="AH3" i="29" s="1"/>
  <c r="AF22" i="59" l="1" a="1"/>
  <c r="AF22" i="59" s="1"/>
  <c r="E24" i="58" a="1"/>
  <c r="E24" i="58" s="1"/>
  <c r="A28" i="47" a="1"/>
  <c r="A28" i="47" s="1"/>
  <c r="B24" i="46" a="1"/>
  <c r="B24" i="46" s="1"/>
  <c r="T22" i="60" l="1" a="1"/>
  <c r="T22" i="60" s="1"/>
  <c r="AJ21" i="49"/>
  <c r="AI21" i="49"/>
  <c r="AH21" i="49"/>
  <c r="AA23" i="49" a="1"/>
  <c r="AA23" i="49" s="1"/>
  <c r="T23" i="49" a="1"/>
  <c r="T23" i="49" s="1"/>
  <c r="AG21" i="49" l="1"/>
  <c r="C112" i="40" a="1"/>
  <c r="C112" i="40" s="1"/>
  <c r="BR21" i="76" a="1"/>
  <c r="BR21" i="76" s="1"/>
  <c r="AS2" i="74"/>
  <c r="AS3" i="74"/>
  <c r="BO24" i="57" s="1"/>
  <c r="BC6" i="57" a="1"/>
  <c r="BC6" i="57" s="1"/>
  <c r="AX6" i="57" a="1"/>
  <c r="AX6" i="57" s="1"/>
  <c r="BY24" i="57"/>
  <c r="BH21" i="57"/>
  <c r="BJ21" i="57" s="1"/>
  <c r="BH22" i="57"/>
  <c r="AL6" i="57" a="1"/>
  <c r="AL6" i="57" s="1"/>
  <c r="BU25" i="57" a="1"/>
  <c r="BU25" i="57" s="1"/>
  <c r="P3" i="52"/>
  <c r="Q3" i="52" s="1" a="1"/>
  <c r="Q3" i="52" s="1"/>
  <c r="I3" i="52"/>
  <c r="BU33" i="76" a="1"/>
  <c r="BU33" i="76" s="1"/>
  <c r="BV22" i="76" a="1"/>
  <c r="BV22" i="76" s="1"/>
  <c r="BV23" i="76" a="1"/>
  <c r="BV23" i="76" s="1"/>
  <c r="BV24" i="76" a="1"/>
  <c r="BV24" i="76" s="1"/>
  <c r="BV25" i="76" a="1"/>
  <c r="BV25" i="76" s="1"/>
  <c r="BV26" i="76" a="1"/>
  <c r="BV26" i="76" s="1"/>
  <c r="BV27" i="76" a="1"/>
  <c r="BV27" i="76" s="1"/>
  <c r="BV28" i="76" a="1"/>
  <c r="BV28" i="76" s="1"/>
  <c r="BV29" i="76" a="1"/>
  <c r="BV29" i="76" s="1"/>
  <c r="BV30" i="76" a="1"/>
  <c r="BV30" i="76" s="1"/>
  <c r="BV31" i="76" a="1"/>
  <c r="BV31" i="76" s="1"/>
  <c r="BV32" i="76" a="1"/>
  <c r="BV32" i="76" s="1"/>
  <c r="BV33" i="76" a="1"/>
  <c r="BV33" i="76" s="1"/>
  <c r="BV21" i="76" a="1"/>
  <c r="BV21" i="76" s="1"/>
  <c r="BU22" i="76" a="1"/>
  <c r="BU22" i="76" s="1"/>
  <c r="BU23" i="76" a="1"/>
  <c r="BU23" i="76" s="1"/>
  <c r="BU24" i="76" a="1"/>
  <c r="BU24" i="76" s="1"/>
  <c r="BU25" i="76" a="1"/>
  <c r="BU25" i="76" s="1"/>
  <c r="BU26" i="76" a="1"/>
  <c r="BU26" i="76" s="1"/>
  <c r="BU27" i="76" a="1"/>
  <c r="BU27" i="76" s="1"/>
  <c r="BU28" i="76" a="1"/>
  <c r="BU28" i="76" s="1"/>
  <c r="BU29" i="76" a="1"/>
  <c r="BU29" i="76" s="1"/>
  <c r="BU30" i="76" a="1"/>
  <c r="BU30" i="76" s="1"/>
  <c r="BU31" i="76" a="1"/>
  <c r="BU31" i="76" s="1"/>
  <c r="BU32" i="76" a="1"/>
  <c r="BU32" i="76" s="1"/>
  <c r="BU21" i="76" a="1"/>
  <c r="BU21" i="76" s="1"/>
  <c r="BR33" i="76" a="1"/>
  <c r="BR33" i="76" s="1"/>
  <c r="BS22" i="76" a="1"/>
  <c r="BS22" i="76" s="1"/>
  <c r="BS23" i="76" a="1"/>
  <c r="BS23" i="76" s="1"/>
  <c r="BS24" i="76" a="1"/>
  <c r="BS24" i="76" s="1"/>
  <c r="BS25" i="76" a="1"/>
  <c r="BS25" i="76" s="1"/>
  <c r="BS26" i="76" a="1"/>
  <c r="BS26" i="76" s="1"/>
  <c r="BS27" i="76" a="1"/>
  <c r="BS27" i="76" s="1"/>
  <c r="BS28" i="76" a="1"/>
  <c r="BS28" i="76" s="1"/>
  <c r="BS29" i="76" a="1"/>
  <c r="BS29" i="76" s="1"/>
  <c r="BS30" i="76" a="1"/>
  <c r="BS30" i="76" s="1"/>
  <c r="BS31" i="76" a="1"/>
  <c r="BS31" i="76" s="1"/>
  <c r="BS32" i="76" a="1"/>
  <c r="BS32" i="76" s="1"/>
  <c r="BS33" i="76" a="1"/>
  <c r="BS33" i="76" s="1"/>
  <c r="BS21" i="76" a="1"/>
  <c r="BS21" i="76" s="1"/>
  <c r="BR22" i="76" a="1"/>
  <c r="BR22" i="76" s="1"/>
  <c r="BR23" i="76" a="1"/>
  <c r="BR23" i="76" s="1"/>
  <c r="BR24" i="76" a="1"/>
  <c r="BR24" i="76" s="1"/>
  <c r="BR25" i="76" a="1"/>
  <c r="BR25" i="76" s="1"/>
  <c r="BR26" i="76" a="1"/>
  <c r="BR26" i="76" s="1"/>
  <c r="BR27" i="76" a="1"/>
  <c r="BR27" i="76" s="1"/>
  <c r="BR28" i="76" a="1"/>
  <c r="BR28" i="76" s="1"/>
  <c r="BR29" i="76" a="1"/>
  <c r="BR29" i="76" s="1"/>
  <c r="BR30" i="76" a="1"/>
  <c r="BR30" i="76" s="1"/>
  <c r="BR31" i="76" a="1"/>
  <c r="BR31" i="76" s="1"/>
  <c r="BR32" i="76" a="1"/>
  <c r="BR32" i="76" s="1"/>
  <c r="AC2" i="74"/>
  <c r="AC3" i="74"/>
  <c r="BL5" i="76" a="1"/>
  <c r="BL5" i="76" s="1"/>
  <c r="BG5" i="76" a="1"/>
  <c r="BG5" i="76" s="1"/>
  <c r="AX5" i="76" a="1"/>
  <c r="AX5" i="76" s="1"/>
  <c r="CL5" i="76" a="1"/>
  <c r="CL5" i="76" s="1"/>
  <c r="CD5" i="76" a="1"/>
  <c r="CD5" i="76" s="1"/>
  <c r="AO5" i="76" a="1"/>
  <c r="AO5" i="76" s="1"/>
  <c r="S2" i="74"/>
  <c r="S3" i="74"/>
  <c r="BO10" i="73" s="1" a="1"/>
  <c r="BO10" i="73" s="1"/>
  <c r="H2" i="74"/>
  <c r="H3" i="74"/>
  <c r="I3" i="74" a="1"/>
  <c r="I3" i="74" s="1"/>
  <c r="K3" i="74" a="1"/>
  <c r="K3" i="74" s="1"/>
  <c r="L3" i="74" a="1"/>
  <c r="L3" i="74" s="1"/>
  <c r="E3" i="74"/>
  <c r="E2" i="74"/>
  <c r="BI8" i="73" a="1"/>
  <c r="BI8" i="73" s="1"/>
  <c r="AQ3" i="73"/>
  <c r="AR3" i="73" s="1"/>
  <c r="BS12" i="73" a="1"/>
  <c r="BS12" i="73" s="1"/>
  <c r="CL29" i="73" a="1"/>
  <c r="CL29" i="73" s="1"/>
  <c r="CL31" i="73" a="1"/>
  <c r="CL31" i="73" s="1"/>
  <c r="CE29" i="73" a="1"/>
  <c r="CE29" i="73" s="1"/>
  <c r="CG29" i="73" a="1"/>
  <c r="CG29" i="73" s="1"/>
  <c r="BN31" i="73" a="1"/>
  <c r="BN31" i="73" s="1"/>
  <c r="AQ8" i="73" a="1"/>
  <c r="AQ8" i="73" s="1"/>
  <c r="AX8" i="73" a="1"/>
  <c r="AX8" i="73" s="1"/>
  <c r="BE8" i="73" a="1"/>
  <c r="BE8" i="73" s="1"/>
  <c r="BI8" i="72" a="1"/>
  <c r="BI8" i="72" s="1"/>
  <c r="CW31" i="72" a="1"/>
  <c r="CW31" i="72" s="1"/>
  <c r="AQ3" i="72"/>
  <c r="AR3" i="72" s="1"/>
  <c r="CS29" i="72" a="1"/>
  <c r="CS29" i="72" s="1"/>
  <c r="CS31" i="72" a="1"/>
  <c r="CS31" i="72" s="1"/>
  <c r="BE8" i="72" a="1"/>
  <c r="BE8" i="72" s="1"/>
  <c r="CN29" i="72" a="1"/>
  <c r="CN29" i="72" s="1"/>
  <c r="AX8" i="72" a="1"/>
  <c r="AX8" i="72" s="1"/>
  <c r="AQ8" i="72" a="1"/>
  <c r="AQ8" i="72" s="1"/>
  <c r="R43" i="13"/>
  <c r="S43" i="13" s="1"/>
  <c r="CL29" i="72" a="1"/>
  <c r="CL29" i="72" s="1"/>
  <c r="BO31" i="72" a="1"/>
  <c r="BO31" i="72" s="1"/>
  <c r="CA31" i="72" s="1" a="1"/>
  <c r="CA31" i="72" s="1"/>
  <c r="BT12" i="72" a="1"/>
  <c r="BT12" i="72" s="1"/>
  <c r="B3" i="48"/>
  <c r="C3" i="48" s="1"/>
  <c r="D3" i="48" s="1"/>
  <c r="E3" i="48" s="1"/>
  <c r="F3" i="48" s="1"/>
  <c r="G3" i="48" s="1"/>
  <c r="H3" i="48" s="1"/>
  <c r="Q4" i="14" a="1"/>
  <c r="Q4" i="14" s="1"/>
  <c r="Q3" i="14" a="1"/>
  <c r="Q3" i="14" s="1"/>
  <c r="B1" i="14"/>
  <c r="C1" i="14" s="1"/>
  <c r="E4" i="5" a="1"/>
  <c r="E4" i="5" s="1"/>
  <c r="E3" i="5" a="1"/>
  <c r="E3" i="5" s="1"/>
  <c r="B1" i="5"/>
  <c r="C1" i="5" s="1"/>
  <c r="D1" i="5" s="1"/>
  <c r="E4" i="3" a="1"/>
  <c r="E4" i="3" s="1"/>
  <c r="E3" i="3" a="1"/>
  <c r="E3" i="3" s="1"/>
  <c r="B1" i="3"/>
  <c r="C1" i="3" s="1"/>
  <c r="D1" i="3" s="1"/>
  <c r="E1" i="3" s="1"/>
  <c r="F1" i="3" s="1"/>
  <c r="G1" i="3" s="1"/>
  <c r="E13" i="9" a="1"/>
  <c r="E13" i="9" s="1"/>
  <c r="E12" i="9" a="1"/>
  <c r="E12" i="9" s="1"/>
  <c r="E11" i="9" a="1"/>
  <c r="E11" i="9" s="1"/>
  <c r="E10" i="9" a="1"/>
  <c r="E10" i="9" s="1"/>
  <c r="E9" i="9" a="1"/>
  <c r="E9" i="9" s="1"/>
  <c r="E8" i="9" a="1"/>
  <c r="E8" i="9" s="1"/>
  <c r="E7" i="9" a="1"/>
  <c r="E7" i="9" s="1"/>
  <c r="E6" i="9" a="1"/>
  <c r="E6" i="9" s="1"/>
  <c r="E5" i="9" a="1"/>
  <c r="E5" i="9" s="1"/>
  <c r="E4" i="9" a="1"/>
  <c r="E4" i="9" s="1"/>
  <c r="E3" i="9" a="1"/>
  <c r="E3" i="9" s="1"/>
  <c r="B1" i="9"/>
  <c r="C1" i="9" s="1"/>
  <c r="D1" i="9" s="1"/>
  <c r="E1" i="9" s="1"/>
  <c r="F1" i="9" s="1"/>
  <c r="G1" i="9" s="1"/>
  <c r="H1" i="9" s="1"/>
  <c r="I1" i="9" s="1"/>
  <c r="S22" i="60" a="1"/>
  <c r="S22" i="60" s="1"/>
  <c r="G9" i="2" a="1"/>
  <c r="G9" i="2" s="1"/>
  <c r="G8" i="2" a="1"/>
  <c r="G8" i="2" s="1"/>
  <c r="G7" i="2" a="1"/>
  <c r="G7" i="2" s="1"/>
  <c r="G6" i="2" a="1"/>
  <c r="G6" i="2" s="1"/>
  <c r="G1" i="2"/>
  <c r="H1" i="2" s="1"/>
  <c r="I1" i="2" s="1"/>
  <c r="J1" i="2" s="1"/>
  <c r="F7" i="30" a="1"/>
  <c r="F7" i="30" s="1"/>
  <c r="F6" i="30" a="1"/>
  <c r="F6" i="30" s="1"/>
  <c r="F5" i="30" a="1"/>
  <c r="F5" i="30" s="1"/>
  <c r="F4" i="30" a="1"/>
  <c r="F4" i="30" s="1"/>
  <c r="F3" i="30" a="1"/>
  <c r="F3" i="30" s="1"/>
  <c r="C1" i="30"/>
  <c r="D1" i="30" s="1"/>
  <c r="E1" i="30" s="1"/>
  <c r="B2" i="11"/>
  <c r="C2" i="11" s="1"/>
  <c r="D2" i="11" s="1"/>
  <c r="E2" i="11" s="1"/>
  <c r="L14" i="37" a="1"/>
  <c r="L14" i="37" s="1"/>
  <c r="L13" i="37" a="1"/>
  <c r="L13" i="37" s="1"/>
  <c r="L12" i="37" a="1"/>
  <c r="L12" i="37" s="1"/>
  <c r="L11" i="37" a="1"/>
  <c r="L11" i="37" s="1"/>
  <c r="L10" i="37" a="1"/>
  <c r="L10" i="37" s="1"/>
  <c r="L8" i="37" a="1"/>
  <c r="L8" i="37" s="1"/>
  <c r="L7" i="37" a="1"/>
  <c r="L7" i="37" s="1"/>
  <c r="L6" i="37" a="1"/>
  <c r="L6" i="37" s="1"/>
  <c r="L5" i="37" a="1"/>
  <c r="L5" i="37" s="1"/>
  <c r="L4" i="37" a="1"/>
  <c r="L4" i="37" s="1"/>
  <c r="L3" i="37" a="1"/>
  <c r="L3" i="37" s="1"/>
  <c r="H1" i="37"/>
  <c r="I1" i="37" s="1"/>
  <c r="J1" i="37" s="1"/>
  <c r="K1" i="37" s="1"/>
  <c r="L1" i="37" s="1"/>
  <c r="M1" i="37" s="1"/>
  <c r="N1" i="37" s="1"/>
  <c r="O1" i="37" s="1"/>
  <c r="P1" i="37" s="1"/>
  <c r="Q1" i="37" s="1"/>
  <c r="R1" i="37" s="1"/>
  <c r="S1" i="37" s="1"/>
  <c r="T1" i="37" s="1"/>
  <c r="U1" i="37" s="1"/>
  <c r="V1" i="37" s="1"/>
  <c r="W1" i="37" s="1"/>
  <c r="X1" i="37" s="1"/>
  <c r="H6" i="55" a="1"/>
  <c r="H6" i="55" s="1"/>
  <c r="S1" i="55"/>
  <c r="T1" i="55" s="1"/>
  <c r="U1" i="55" s="1"/>
  <c r="V1" i="55" s="1"/>
  <c r="W1" i="55" s="1"/>
  <c r="X1" i="55" s="1"/>
  <c r="Y1" i="55" s="1"/>
  <c r="Z1" i="55" s="1"/>
  <c r="H1" i="55"/>
  <c r="I1" i="55" s="1"/>
  <c r="J1" i="55" s="1"/>
  <c r="B1" i="55"/>
  <c r="C1" i="55" s="1"/>
  <c r="D1" i="55" s="1"/>
  <c r="E1" i="55" s="1"/>
  <c r="B3" i="8"/>
  <c r="C3" i="8" s="1"/>
  <c r="D3" i="8" s="1"/>
  <c r="E3" i="8" s="1"/>
  <c r="B3" i="38"/>
  <c r="C3" i="38" s="1"/>
  <c r="D3" i="38" s="1"/>
  <c r="E3" i="38" s="1"/>
  <c r="F3" i="38" s="1"/>
  <c r="G3" i="38" s="1"/>
  <c r="H3" i="38" s="1"/>
  <c r="I3" i="38" s="1"/>
  <c r="J3" i="38" s="1"/>
  <c r="K3" i="38" s="1"/>
  <c r="L3" i="38" s="1"/>
  <c r="B3" i="62"/>
  <c r="C3" i="62" s="1"/>
  <c r="D3" i="62" s="1"/>
  <c r="E3" i="62" s="1"/>
  <c r="F3" i="62" s="1"/>
  <c r="G3" i="62" s="1"/>
  <c r="H3" i="62" s="1"/>
  <c r="I3" i="62" s="1"/>
  <c r="J3" i="62" s="1"/>
  <c r="E4" i="45"/>
  <c r="E5" i="45" s="1"/>
  <c r="E6" i="45" s="1"/>
  <c r="E7" i="45" s="1"/>
  <c r="E8" i="45" s="1"/>
  <c r="E9" i="45" s="1"/>
  <c r="E10" i="45" s="1"/>
  <c r="E11" i="45" s="1"/>
  <c r="E12" i="45" s="1"/>
  <c r="C1" i="45"/>
  <c r="D1" i="45" s="1"/>
  <c r="E1" i="45" s="1"/>
  <c r="F1" i="45" s="1"/>
  <c r="G1" i="45" s="1"/>
  <c r="H1" i="45" s="1"/>
  <c r="I1" i="45" s="1"/>
  <c r="J1" i="45" s="1"/>
  <c r="K1" i="45" s="1"/>
  <c r="F56" i="32" a="1"/>
  <c r="F56" i="32" s="1"/>
  <c r="L46" i="7"/>
  <c r="P27" i="32" s="1" a="1"/>
  <c r="P27" i="32" s="1"/>
  <c r="C46" i="7"/>
  <c r="P27" i="7" a="1"/>
  <c r="P27" i="7" s="1"/>
  <c r="K27" i="7"/>
  <c r="L27" i="7" s="1"/>
  <c r="M27" i="7" s="1"/>
  <c r="C27" i="7"/>
  <c r="G26" i="7"/>
  <c r="H26" i="7" s="1" a="1"/>
  <c r="H26" i="7" s="1"/>
  <c r="H25" i="7" a="1"/>
  <c r="H25" i="7" s="1"/>
  <c r="G24" i="7"/>
  <c r="H24" i="7" s="1" a="1"/>
  <c r="H24" i="7" s="1"/>
  <c r="G23" i="7"/>
  <c r="H23" i="7" s="1" a="1"/>
  <c r="H23" i="7" s="1"/>
  <c r="G22" i="7"/>
  <c r="H22" i="7" s="1" a="1"/>
  <c r="H22" i="7" s="1"/>
  <c r="G21" i="7"/>
  <c r="H21" i="7" s="1" a="1"/>
  <c r="H21" i="7" s="1"/>
  <c r="G20" i="7"/>
  <c r="H20" i="7" s="1" a="1"/>
  <c r="H20" i="7" s="1"/>
  <c r="G19" i="7"/>
  <c r="H19" i="7" s="1" a="1"/>
  <c r="H19" i="7" s="1"/>
  <c r="G18" i="7"/>
  <c r="H18" i="7" s="1" a="1"/>
  <c r="H18" i="7" s="1"/>
  <c r="G17" i="7"/>
  <c r="H17" i="7" s="1" a="1"/>
  <c r="H17" i="7" s="1"/>
  <c r="G16" i="7"/>
  <c r="H16" i="7" s="1" a="1"/>
  <c r="H16" i="7" s="1"/>
  <c r="G15" i="7"/>
  <c r="H15" i="7" s="1" a="1"/>
  <c r="H15" i="7" s="1"/>
  <c r="H14" i="7" a="1"/>
  <c r="H14" i="7" s="1"/>
  <c r="C1" i="7"/>
  <c r="D1" i="7" s="1"/>
  <c r="E1" i="7" s="1"/>
  <c r="F1" i="7" s="1"/>
  <c r="G1" i="7" s="1"/>
  <c r="H1" i="7" s="1"/>
  <c r="I1" i="7" s="1"/>
  <c r="J1" i="7" s="1"/>
  <c r="K1" i="7" s="1"/>
  <c r="L1" i="7" s="1"/>
  <c r="M1" i="7" s="1"/>
  <c r="M3" i="39"/>
  <c r="N3" i="39" s="1"/>
  <c r="B3" i="39"/>
  <c r="Z22" i="35"/>
  <c r="N22" i="35"/>
  <c r="M22" i="35"/>
  <c r="AD20" i="35" a="1"/>
  <c r="AD20" i="35" s="1"/>
  <c r="Y20" i="35"/>
  <c r="Z20" i="35" s="1"/>
  <c r="N20" i="35"/>
  <c r="M20" i="35"/>
  <c r="B20" i="35"/>
  <c r="G2" i="35"/>
  <c r="N1" i="35"/>
  <c r="O1" i="35" s="1"/>
  <c r="P1" i="35" s="1"/>
  <c r="Q1" i="35" s="1"/>
  <c r="R1" i="35" s="1"/>
  <c r="S1" i="35" s="1"/>
  <c r="T1" i="35" s="1"/>
  <c r="U1" i="35" s="1"/>
  <c r="V1" i="35" s="1"/>
  <c r="W1" i="35" s="1"/>
  <c r="X1" i="35" s="1"/>
  <c r="Y1" i="35" s="1"/>
  <c r="AB1" i="35" s="1"/>
  <c r="Y46" i="13"/>
  <c r="W46" i="13"/>
  <c r="N46" i="13"/>
  <c r="Y44" i="13"/>
  <c r="W44" i="13"/>
  <c r="N44" i="13"/>
  <c r="U43" i="13"/>
  <c r="Y43" i="13" s="1"/>
  <c r="Q43" i="13"/>
  <c r="O43" i="13"/>
  <c r="N42" i="13"/>
  <c r="O42" i="13" s="1"/>
  <c r="P42" i="13" s="1"/>
  <c r="Q42" i="13" s="1"/>
  <c r="R42" i="13" s="1"/>
  <c r="S42" i="13" s="1"/>
  <c r="T42" i="13" s="1"/>
  <c r="U42" i="13" s="1"/>
  <c r="V42" i="13" s="1"/>
  <c r="W42" i="13" s="1"/>
  <c r="X42" i="13" s="1"/>
  <c r="Y42" i="13" s="1"/>
  <c r="H39" i="13"/>
  <c r="T35" i="81"/>
  <c r="J29" i="13" a="1"/>
  <c r="J29" i="13" s="1"/>
  <c r="I29" i="13"/>
  <c r="W32" i="81" s="1"/>
  <c r="H29" i="13" a="1"/>
  <c r="H29" i="13" s="1"/>
  <c r="F29" i="13" a="1"/>
  <c r="F29" i="13" s="1"/>
  <c r="E29" i="13"/>
  <c r="S32" i="81" s="1"/>
  <c r="B29" i="13"/>
  <c r="J28" i="13" a="1"/>
  <c r="J28" i="13" s="1"/>
  <c r="I28" i="13"/>
  <c r="W31" i="81" s="1"/>
  <c r="H28" i="13" a="1"/>
  <c r="H28" i="13" s="1"/>
  <c r="F28" i="13" a="1"/>
  <c r="F28" i="13" s="1"/>
  <c r="E28" i="13"/>
  <c r="S31" i="81" s="1"/>
  <c r="B28" i="13"/>
  <c r="J27" i="13" a="1"/>
  <c r="J27" i="13" s="1"/>
  <c r="I27" i="13"/>
  <c r="W30" i="81" s="1"/>
  <c r="H27" i="13" a="1"/>
  <c r="H27" i="13" s="1"/>
  <c r="F27" i="13" a="1"/>
  <c r="F27" i="13" s="1"/>
  <c r="E27" i="13"/>
  <c r="S30" i="81" s="1"/>
  <c r="B27" i="13"/>
  <c r="J26" i="13" a="1"/>
  <c r="J26" i="13" s="1"/>
  <c r="I26" i="13"/>
  <c r="W29" i="81" s="1"/>
  <c r="H26" i="13" a="1"/>
  <c r="H26" i="13" s="1"/>
  <c r="F26" i="13" a="1"/>
  <c r="F26" i="13" s="1"/>
  <c r="E26" i="13"/>
  <c r="S29" i="81" s="1"/>
  <c r="B26" i="13"/>
  <c r="J25" i="13" a="1"/>
  <c r="J25" i="13" s="1"/>
  <c r="I25" i="13"/>
  <c r="W28" i="81" s="1"/>
  <c r="H25" i="13" a="1"/>
  <c r="H25" i="13" s="1"/>
  <c r="F25" i="13" a="1"/>
  <c r="F25" i="13" s="1"/>
  <c r="E25" i="13"/>
  <c r="S28" i="81" s="1"/>
  <c r="B25" i="13"/>
  <c r="J24" i="13" a="1"/>
  <c r="J24" i="13" s="1"/>
  <c r="I24" i="13"/>
  <c r="W27" i="81" s="1"/>
  <c r="H24" i="13" a="1"/>
  <c r="H24" i="13" s="1"/>
  <c r="F24" i="13" a="1"/>
  <c r="F24" i="13" s="1"/>
  <c r="E24" i="13"/>
  <c r="S27" i="81" s="1"/>
  <c r="B24" i="13"/>
  <c r="J23" i="13" a="1"/>
  <c r="J23" i="13" s="1"/>
  <c r="I23" i="13"/>
  <c r="W26" i="81" s="1"/>
  <c r="H23" i="13" a="1"/>
  <c r="H23" i="13" s="1"/>
  <c r="F23" i="13" a="1"/>
  <c r="F23" i="13" s="1"/>
  <c r="E23" i="13"/>
  <c r="S26" i="81" s="1"/>
  <c r="B23" i="13"/>
  <c r="J22" i="13" a="1"/>
  <c r="J22" i="13" s="1"/>
  <c r="I22" i="13"/>
  <c r="W25" i="81" s="1"/>
  <c r="H22" i="13" a="1"/>
  <c r="H22" i="13" s="1"/>
  <c r="F22" i="13" a="1"/>
  <c r="F22" i="13" s="1"/>
  <c r="E22" i="13"/>
  <c r="S25" i="81" s="1"/>
  <c r="B22" i="13"/>
  <c r="J21" i="13" a="1"/>
  <c r="J21" i="13" s="1"/>
  <c r="I21" i="13"/>
  <c r="W24" i="81" s="1"/>
  <c r="H21" i="13" a="1"/>
  <c r="H21" i="13" s="1"/>
  <c r="F21" i="13" a="1"/>
  <c r="F21" i="13" s="1"/>
  <c r="E21" i="13"/>
  <c r="S24" i="81" s="1"/>
  <c r="B21" i="13"/>
  <c r="J20" i="13" a="1"/>
  <c r="J20" i="13" s="1"/>
  <c r="I20" i="13"/>
  <c r="W23" i="81" s="1"/>
  <c r="H20" i="13" a="1"/>
  <c r="H20" i="13" s="1"/>
  <c r="F20" i="13" a="1"/>
  <c r="F20" i="13" s="1"/>
  <c r="E20" i="13"/>
  <c r="S23" i="81" s="1"/>
  <c r="B20" i="13"/>
  <c r="J19" i="13" a="1"/>
  <c r="J19" i="13" s="1"/>
  <c r="I19" i="13"/>
  <c r="W22" i="81" s="1"/>
  <c r="H19" i="13" a="1"/>
  <c r="H19" i="13" s="1"/>
  <c r="F19" i="13" a="1"/>
  <c r="F19" i="13" s="1"/>
  <c r="E19" i="13"/>
  <c r="S22" i="81" s="1"/>
  <c r="B19" i="13"/>
  <c r="J18" i="13" a="1"/>
  <c r="J18" i="13" s="1"/>
  <c r="I18" i="13"/>
  <c r="W21" i="81" s="1"/>
  <c r="H18" i="13" a="1"/>
  <c r="H18" i="13" s="1"/>
  <c r="F18" i="13" a="1"/>
  <c r="F18" i="13" s="1"/>
  <c r="E18" i="13"/>
  <c r="S21" i="81" s="1"/>
  <c r="B18" i="13"/>
  <c r="L17" i="13" a="1"/>
  <c r="L17" i="13" s="1"/>
  <c r="L16" i="13" a="1"/>
  <c r="L16" i="13" s="1"/>
  <c r="F14" i="13"/>
  <c r="T19" i="81" s="1"/>
  <c r="F13" i="13"/>
  <c r="T18" i="81" s="1"/>
  <c r="F12" i="13"/>
  <c r="T17" i="81" s="1"/>
  <c r="B8" i="13"/>
  <c r="H7" i="13"/>
  <c r="E7" i="13"/>
  <c r="D7" i="13"/>
  <c r="B7" i="13"/>
  <c r="E6" i="13"/>
  <c r="D6" i="13"/>
  <c r="B6" i="13"/>
  <c r="S15" i="81" s="1"/>
  <c r="E5" i="13"/>
  <c r="D5" i="13"/>
  <c r="B5" i="13"/>
  <c r="H4" i="13"/>
  <c r="E4" i="13"/>
  <c r="D4" i="13"/>
  <c r="B4" i="13"/>
  <c r="S14" i="81" s="1"/>
  <c r="B1" i="13"/>
  <c r="AN46" i="6" a="1"/>
  <c r="AN46" i="6" s="1"/>
  <c r="U46" i="6"/>
  <c r="AD45" i="6"/>
  <c r="AA45" i="6" a="1"/>
  <c r="AA45" i="6" s="1"/>
  <c r="Y45" i="6"/>
  <c r="X45" i="6"/>
  <c r="W45" i="6"/>
  <c r="V45" i="6"/>
  <c r="U44" i="6"/>
  <c r="V44" i="6" s="1"/>
  <c r="W44" i="6" s="1"/>
  <c r="X44" i="6" s="1"/>
  <c r="O40" i="6"/>
  <c r="L33" i="6"/>
  <c r="K33" i="6"/>
  <c r="J33" i="6"/>
  <c r="I33" i="6"/>
  <c r="P30" i="6" a="1"/>
  <c r="P30" i="6" s="1"/>
  <c r="N34" i="81" s="1"/>
  <c r="R28" i="6"/>
  <c r="Q28" i="6"/>
  <c r="P28" i="6"/>
  <c r="Q32" i="81" s="1"/>
  <c r="O28" i="6"/>
  <c r="L28" i="6"/>
  <c r="K28" i="6"/>
  <c r="J28" i="6"/>
  <c r="I28" i="6"/>
  <c r="F28" i="6"/>
  <c r="D28" i="6"/>
  <c r="M32" i="81" s="1"/>
  <c r="B28" i="6"/>
  <c r="R27" i="6"/>
  <c r="Q27" i="6"/>
  <c r="P27" i="6"/>
  <c r="Q31" i="81" s="1"/>
  <c r="O27" i="6"/>
  <c r="L27" i="6"/>
  <c r="K27" i="6"/>
  <c r="J27" i="6"/>
  <c r="I27" i="6"/>
  <c r="F27" i="6"/>
  <c r="D27" i="6"/>
  <c r="M31" i="81" s="1"/>
  <c r="B27" i="6"/>
  <c r="R26" i="6"/>
  <c r="Q26" i="6"/>
  <c r="O26" i="6"/>
  <c r="L26" i="6"/>
  <c r="K26" i="6"/>
  <c r="J26" i="6"/>
  <c r="I26" i="6"/>
  <c r="F26" i="6"/>
  <c r="D26" i="6"/>
  <c r="M30" i="81" s="1"/>
  <c r="B26" i="6"/>
  <c r="R25" i="6"/>
  <c r="Q25" i="6"/>
  <c r="P25" i="6"/>
  <c r="Q29" i="81" s="1"/>
  <c r="O25" i="6"/>
  <c r="L25" i="6"/>
  <c r="K25" i="6"/>
  <c r="J25" i="6"/>
  <c r="I25" i="6"/>
  <c r="F25" i="6"/>
  <c r="D25" i="6"/>
  <c r="M29" i="81" s="1"/>
  <c r="B25" i="6"/>
  <c r="R24" i="6"/>
  <c r="Q24" i="6"/>
  <c r="P24" i="6"/>
  <c r="Q28" i="81" s="1"/>
  <c r="O24" i="6"/>
  <c r="L24" i="6"/>
  <c r="K24" i="6"/>
  <c r="J24" i="6"/>
  <c r="I24" i="6"/>
  <c r="F24" i="6"/>
  <c r="D24" i="6"/>
  <c r="M28" i="81" s="1"/>
  <c r="B24" i="6"/>
  <c r="R23" i="6"/>
  <c r="Q23" i="6"/>
  <c r="P23" i="6"/>
  <c r="Q27" i="81" s="1"/>
  <c r="O23" i="6"/>
  <c r="L23" i="6"/>
  <c r="K23" i="6"/>
  <c r="J23" i="6"/>
  <c r="I23" i="6"/>
  <c r="F23" i="6"/>
  <c r="D23" i="6"/>
  <c r="M27" i="81" s="1"/>
  <c r="B23" i="6"/>
  <c r="R22" i="6"/>
  <c r="Q22" i="6"/>
  <c r="P22" i="6"/>
  <c r="Q26" i="81" s="1"/>
  <c r="O22" i="6"/>
  <c r="L22" i="6"/>
  <c r="K22" i="6"/>
  <c r="J22" i="6"/>
  <c r="I22" i="6"/>
  <c r="F22" i="6"/>
  <c r="D22" i="6"/>
  <c r="M26" i="81" s="1"/>
  <c r="B22" i="6"/>
  <c r="R21" i="6"/>
  <c r="Q21" i="6"/>
  <c r="P21" i="6"/>
  <c r="Q25" i="81" s="1"/>
  <c r="O21" i="6"/>
  <c r="L21" i="6"/>
  <c r="K21" i="6"/>
  <c r="J21" i="6"/>
  <c r="I21" i="6"/>
  <c r="F21" i="6"/>
  <c r="D21" i="6"/>
  <c r="M25" i="81" s="1"/>
  <c r="B21" i="6"/>
  <c r="R20" i="6"/>
  <c r="Q20" i="6"/>
  <c r="P20" i="6"/>
  <c r="Q24" i="81" s="1"/>
  <c r="O20" i="6"/>
  <c r="L20" i="6"/>
  <c r="K20" i="6"/>
  <c r="J20" i="6"/>
  <c r="I20" i="6"/>
  <c r="F20" i="6"/>
  <c r="D20" i="6"/>
  <c r="M24" i="81" s="1"/>
  <c r="B20" i="6"/>
  <c r="R19" i="6"/>
  <c r="Q19" i="6"/>
  <c r="P19" i="6"/>
  <c r="Q23" i="81" s="1"/>
  <c r="O19" i="6"/>
  <c r="L19" i="6"/>
  <c r="K19" i="6"/>
  <c r="J19" i="6"/>
  <c r="I19" i="6"/>
  <c r="F19" i="6"/>
  <c r="D19" i="6"/>
  <c r="M23" i="81" s="1"/>
  <c r="B19" i="6"/>
  <c r="R18" i="6"/>
  <c r="Q18" i="6"/>
  <c r="P18" i="6"/>
  <c r="Q22" i="81" s="1"/>
  <c r="O18" i="6"/>
  <c r="L18" i="6"/>
  <c r="K18" i="6"/>
  <c r="J18" i="6"/>
  <c r="I18" i="6"/>
  <c r="F18" i="6"/>
  <c r="D18" i="6"/>
  <c r="M22" i="81" s="1"/>
  <c r="B18" i="6"/>
  <c r="R17" i="6"/>
  <c r="Q17" i="6"/>
  <c r="P17" i="6"/>
  <c r="Q21" i="81" s="1"/>
  <c r="O17" i="6"/>
  <c r="L17" i="6"/>
  <c r="K17" i="6"/>
  <c r="J17" i="6"/>
  <c r="I17" i="6"/>
  <c r="F17" i="6"/>
  <c r="D17" i="6"/>
  <c r="M21" i="81" s="1"/>
  <c r="B17" i="6"/>
  <c r="E13" i="6"/>
  <c r="N19" i="81" s="1"/>
  <c r="E12" i="6"/>
  <c r="N18" i="81" s="1"/>
  <c r="E11" i="6"/>
  <c r="N17" i="81" s="1"/>
  <c r="B8" i="6"/>
  <c r="B7" i="6"/>
  <c r="D6" i="6"/>
  <c r="C6" i="6"/>
  <c r="B6" i="6"/>
  <c r="M15" i="81" s="1"/>
  <c r="D5" i="6"/>
  <c r="C5" i="6"/>
  <c r="B5" i="6"/>
  <c r="P4" i="6"/>
  <c r="D4" i="6"/>
  <c r="C4" i="6"/>
  <c r="B4" i="6"/>
  <c r="M14" i="81" s="1"/>
  <c r="B1" i="6"/>
  <c r="M13" i="81" s="1"/>
  <c r="M44" i="10"/>
  <c r="T43" i="10"/>
  <c r="S43" i="10"/>
  <c r="P43" i="10"/>
  <c r="O43" i="10"/>
  <c r="N43" i="10"/>
  <c r="M42" i="10"/>
  <c r="N42" i="10" s="1"/>
  <c r="O42" i="10" s="1"/>
  <c r="P42" i="10" s="1"/>
  <c r="Q42" i="10" s="1"/>
  <c r="R42" i="10" s="1"/>
  <c r="S42" i="10" s="1"/>
  <c r="T42" i="10" s="1"/>
  <c r="U42" i="10" s="1"/>
  <c r="V42" i="10" s="1"/>
  <c r="W42" i="10" s="1"/>
  <c r="G38" i="10"/>
  <c r="J18" i="10"/>
  <c r="I18" i="10"/>
  <c r="H18" i="10"/>
  <c r="E18" i="10"/>
  <c r="F14" i="10"/>
  <c r="F13" i="10"/>
  <c r="F12" i="10"/>
  <c r="B7" i="10"/>
  <c r="G6" i="10"/>
  <c r="E6" i="10"/>
  <c r="C6" i="10"/>
  <c r="B6" i="10"/>
  <c r="E5" i="10"/>
  <c r="C5" i="10"/>
  <c r="B5" i="10"/>
  <c r="G4" i="10"/>
  <c r="M43" i="10" s="1"/>
  <c r="E4" i="10"/>
  <c r="C4" i="10"/>
  <c r="B4" i="10"/>
  <c r="B1" i="10"/>
  <c r="G36" i="10" s="1"/>
  <c r="AL81" i="29"/>
  <c r="AA81" i="29"/>
  <c r="AD81" i="29" s="1"/>
  <c r="AL3" i="29"/>
  <c r="AA3" i="29"/>
  <c r="AD3" i="29" s="1"/>
  <c r="W3" i="29"/>
  <c r="B13" i="54"/>
  <c r="B4" i="65"/>
  <c r="F4" i="65" s="1" a="1"/>
  <c r="F4" i="65" s="1"/>
  <c r="D5" i="53"/>
  <c r="C130" i="40" s="1" a="1"/>
  <c r="C130" i="40" s="1"/>
  <c r="B5" i="53" a="1"/>
  <c r="B5" i="53" s="1"/>
  <c r="C5" i="53" s="1"/>
  <c r="W3" i="53" a="1"/>
  <c r="W3" i="53" s="1"/>
  <c r="P3" i="53" a="1"/>
  <c r="P3" i="53" s="1"/>
  <c r="D3" i="53"/>
  <c r="C3" i="53"/>
  <c r="R11" i="61"/>
  <c r="R10" i="61"/>
  <c r="R9" i="61"/>
  <c r="R8" i="61"/>
  <c r="H8" i="61"/>
  <c r="H5" i="61" s="1"/>
  <c r="R7" i="61"/>
  <c r="R6" i="61"/>
  <c r="S5" i="61" a="1"/>
  <c r="S5" i="61" s="1"/>
  <c r="R5" i="61"/>
  <c r="G5" i="61"/>
  <c r="F5" i="61"/>
  <c r="S3" i="61" a="1"/>
  <c r="S3" i="61" s="1"/>
  <c r="R3" i="61"/>
  <c r="AC2" i="61"/>
  <c r="AD1" i="61"/>
  <c r="BF22" i="34" a="1"/>
  <c r="BF22" i="34" s="1"/>
  <c r="BH22" i="34" s="1"/>
  <c r="AU22" i="34"/>
  <c r="V1" i="60" a="1"/>
  <c r="V1" i="60" s="1"/>
  <c r="V2" i="60" s="1" a="1"/>
  <c r="V2" i="60" s="1"/>
  <c r="V22" i="60" s="1" a="1"/>
  <c r="V22" i="60" s="1"/>
  <c r="W22" i="60" s="1"/>
  <c r="AP22" i="59"/>
  <c r="O3" i="58"/>
  <c r="AG28" i="49"/>
  <c r="V21" i="49" a="1"/>
  <c r="V21" i="49" s="1"/>
  <c r="I5" i="52"/>
  <c r="F117" i="32" a="1"/>
  <c r="F117" i="32" s="1"/>
  <c r="E117" i="32" a="1"/>
  <c r="E117" i="32" s="1"/>
  <c r="D116" i="32"/>
  <c r="D115" i="32" s="1"/>
  <c r="P104" i="32"/>
  <c r="E104" i="32"/>
  <c r="P103" i="32"/>
  <c r="E103" i="32"/>
  <c r="D91" i="32"/>
  <c r="D86" i="32"/>
  <c r="D80" i="32"/>
  <c r="F73" i="32" a="1"/>
  <c r="F73" i="32" s="1"/>
  <c r="E73" i="32" a="1"/>
  <c r="E73" i="32" s="1"/>
  <c r="F72" i="32" a="1"/>
  <c r="F72" i="32" s="1"/>
  <c r="E72" i="32" a="1"/>
  <c r="E72" i="32" s="1"/>
  <c r="F71" i="32" a="1"/>
  <c r="F71" i="32" s="1"/>
  <c r="E71" i="32" a="1"/>
  <c r="E71" i="32" s="1"/>
  <c r="F70" i="32" a="1"/>
  <c r="F70" i="32" s="1"/>
  <c r="E70" i="32" a="1"/>
  <c r="E70" i="32" s="1"/>
  <c r="F68" i="32" a="1"/>
  <c r="F68" i="32" s="1"/>
  <c r="E68" i="32" a="1"/>
  <c r="E68" i="32" s="1"/>
  <c r="F67" i="32" a="1"/>
  <c r="F67" i="32" s="1"/>
  <c r="E67" i="32" a="1"/>
  <c r="E67" i="32" s="1"/>
  <c r="F66" i="32" a="1"/>
  <c r="F66" i="32" s="1"/>
  <c r="E66" i="32" a="1"/>
  <c r="E66" i="32" s="1"/>
  <c r="F65" i="32" a="1"/>
  <c r="F65" i="32" s="1"/>
  <c r="E65" i="32" a="1"/>
  <c r="E65" i="32" s="1"/>
  <c r="F63" i="32" a="1"/>
  <c r="F63" i="32" s="1"/>
  <c r="E63" i="32" a="1"/>
  <c r="E63" i="32" s="1"/>
  <c r="F62" i="32" a="1"/>
  <c r="F62" i="32" s="1"/>
  <c r="E62" i="32" a="1"/>
  <c r="E62" i="32" s="1"/>
  <c r="E39" i="32" a="1"/>
  <c r="E39" i="32" s="1"/>
  <c r="E38" i="32" a="1"/>
  <c r="E38" i="32" s="1"/>
  <c r="E36" i="32" a="1"/>
  <c r="E36" i="32" s="1"/>
  <c r="E35" i="32" a="1"/>
  <c r="E35" i="32" s="1"/>
  <c r="E31" i="32" a="1"/>
  <c r="E31" i="32" s="1"/>
  <c r="E29" i="32" a="1"/>
  <c r="E29" i="32" s="1"/>
  <c r="E28" i="32" a="1"/>
  <c r="E28" i="32" s="1"/>
  <c r="F25" i="32" a="1"/>
  <c r="F25" i="32" s="1"/>
  <c r="E25" i="32" a="1"/>
  <c r="E25" i="32" s="1"/>
  <c r="E19" i="32" a="1"/>
  <c r="E19" i="32" s="1"/>
  <c r="E17" i="32" a="1"/>
  <c r="E17" i="32" s="1"/>
  <c r="F9" i="32" a="1"/>
  <c r="F9" i="32" s="1"/>
  <c r="E9" i="32" a="1"/>
  <c r="E9" i="32" s="1"/>
  <c r="F4" i="32"/>
  <c r="E4" i="32"/>
  <c r="A4" i="32"/>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C50" i="68" a="1"/>
  <c r="C50" i="68" s="1"/>
  <c r="C46" i="68" a="1"/>
  <c r="C46" i="68" s="1"/>
  <c r="C45" i="68" a="1"/>
  <c r="C45" i="68" s="1"/>
  <c r="P2" i="68"/>
  <c r="O2" i="68"/>
  <c r="O53" i="68" s="1"/>
  <c r="N2" i="68"/>
  <c r="N53" i="68" s="1"/>
  <c r="M2" i="68"/>
  <c r="M53" i="68" s="1"/>
  <c r="L2" i="68"/>
  <c r="L53" i="68" s="1"/>
  <c r="K2" i="68"/>
  <c r="K53" i="68" s="1"/>
  <c r="J2" i="68"/>
  <c r="J53" i="68" s="1"/>
  <c r="I2" i="68"/>
  <c r="I53" i="68" s="1"/>
  <c r="H2" i="68"/>
  <c r="H53" i="68" s="1"/>
  <c r="G2" i="68"/>
  <c r="G53" i="68" s="1"/>
  <c r="F2" i="68"/>
  <c r="F53" i="68" s="1"/>
  <c r="E2" i="68"/>
  <c r="E53" i="68" s="1"/>
  <c r="D2" i="68"/>
  <c r="D53" i="68" s="1"/>
  <c r="C122" i="40" a="1"/>
  <c r="C122" i="40" s="1"/>
  <c r="C116" i="40" a="1"/>
  <c r="C116" i="40" s="1"/>
  <c r="C117" i="40" s="1"/>
  <c r="O78" i="40"/>
  <c r="O79" i="40" s="1"/>
  <c r="O15" i="40" s="1"/>
  <c r="N78" i="40"/>
  <c r="N79" i="40" s="1"/>
  <c r="N15" i="40" s="1"/>
  <c r="M78" i="40"/>
  <c r="M79" i="40" s="1"/>
  <c r="M15" i="40" s="1"/>
  <c r="L78" i="40"/>
  <c r="L79" i="40" s="1"/>
  <c r="L15" i="40" s="1"/>
  <c r="K78" i="40"/>
  <c r="K79" i="40" s="1"/>
  <c r="K15" i="40" s="1"/>
  <c r="J78" i="40"/>
  <c r="J79" i="40" s="1"/>
  <c r="J15" i="40" s="1"/>
  <c r="I78" i="40"/>
  <c r="I79" i="40" s="1"/>
  <c r="I15" i="40" s="1"/>
  <c r="H78" i="40"/>
  <c r="H79" i="40" s="1"/>
  <c r="H15" i="40" s="1"/>
  <c r="G78" i="40"/>
  <c r="G79" i="40" s="1"/>
  <c r="G15" i="40" s="1"/>
  <c r="F78" i="40"/>
  <c r="F79" i="40" s="1"/>
  <c r="F15" i="40" s="1"/>
  <c r="E78" i="40"/>
  <c r="E79" i="40" s="1"/>
  <c r="E15" i="40" s="1"/>
  <c r="O64" i="40"/>
  <c r="N64" i="40"/>
  <c r="M64" i="40"/>
  <c r="L64" i="40"/>
  <c r="K64" i="40"/>
  <c r="J64" i="40"/>
  <c r="I64" i="40"/>
  <c r="H64" i="40"/>
  <c r="G64" i="40"/>
  <c r="F64" i="40"/>
  <c r="E64" i="40"/>
  <c r="O56" i="40"/>
  <c r="O7" i="40" s="1"/>
  <c r="N56" i="40"/>
  <c r="N7" i="40" s="1"/>
  <c r="M56" i="40"/>
  <c r="M7" i="40" s="1"/>
  <c r="L56" i="40"/>
  <c r="L7" i="40" s="1"/>
  <c r="K56" i="40"/>
  <c r="K7" i="40" s="1"/>
  <c r="J56" i="40"/>
  <c r="J7" i="40" s="1"/>
  <c r="I56" i="40"/>
  <c r="I7" i="40" s="1"/>
  <c r="H56" i="40"/>
  <c r="H7" i="40" s="1"/>
  <c r="G56" i="40"/>
  <c r="G7" i="40" s="1"/>
  <c r="F56" i="40"/>
  <c r="F7" i="40" s="1"/>
  <c r="E56" i="40"/>
  <c r="E7" i="40" s="1"/>
  <c r="C46" i="40"/>
  <c r="C45" i="40"/>
  <c r="C44" i="40"/>
  <c r="C41" i="40"/>
  <c r="C40" i="40"/>
  <c r="C32" i="40"/>
  <c r="O2" i="40"/>
  <c r="N2" i="40"/>
  <c r="M2" i="40"/>
  <c r="L2" i="40"/>
  <c r="K2" i="40"/>
  <c r="J2" i="40"/>
  <c r="I2" i="40"/>
  <c r="H2" i="40"/>
  <c r="G2" i="40"/>
  <c r="F2" i="40"/>
  <c r="E2" i="40"/>
  <c r="D2" i="40"/>
  <c r="E1" i="40"/>
  <c r="CY33" i="71"/>
  <c r="CV11" i="71" a="1"/>
  <c r="CV11" i="71" s="1"/>
  <c r="B6" i="71"/>
  <c r="I9" i="13" a="1"/>
  <c r="Q9" i="6" a="1"/>
  <c r="C147" i="40" l="1" a="1"/>
  <c r="C147" i="40" s="1"/>
  <c r="C148" i="40" a="1"/>
  <c r="C148" i="40" s="1"/>
  <c r="C140" i="40" a="1"/>
  <c r="C140" i="40" s="1"/>
  <c r="C141" i="40" a="1"/>
  <c r="C141" i="40" s="1"/>
  <c r="C142" i="40" a="1"/>
  <c r="C142" i="40" s="1"/>
  <c r="A109" i="32"/>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C93" i="40" a="1"/>
  <c r="C93" i="40" s="1"/>
  <c r="C95" i="40" s="1"/>
  <c r="C94" i="40" a="1"/>
  <c r="C94" i="40" s="1"/>
  <c r="AC21" i="49" a="1"/>
  <c r="AC21" i="49" s="1"/>
  <c r="AD4" i="61"/>
  <c r="AD5" i="61"/>
  <c r="AH17" i="29"/>
  <c r="AH22" i="29"/>
  <c r="AH6" i="29"/>
  <c r="AH16" i="29"/>
  <c r="AH23" i="29"/>
  <c r="AH18" i="29"/>
  <c r="AA56" i="29"/>
  <c r="AA22" i="29"/>
  <c r="AA6" i="29"/>
  <c r="AA16" i="29"/>
  <c r="AA30" i="29"/>
  <c r="AA47" i="29"/>
  <c r="AA31" i="29"/>
  <c r="AA42" i="29"/>
  <c r="AA50" i="29"/>
  <c r="AA23" i="29"/>
  <c r="AA18" i="29"/>
  <c r="AA24" i="29"/>
  <c r="AA55" i="29"/>
  <c r="H24" i="46"/>
  <c r="H25" i="46"/>
  <c r="H26" i="46"/>
  <c r="Y44" i="6"/>
  <c r="AH50" i="29"/>
  <c r="AH43" i="29"/>
  <c r="AH33" i="29"/>
  <c r="AH42" i="29"/>
  <c r="AH27" i="29"/>
  <c r="AH30" i="29"/>
  <c r="AH47" i="29"/>
  <c r="AH64" i="29"/>
  <c r="AH61" i="29"/>
  <c r="AH31" i="29"/>
  <c r="AH63" i="29"/>
  <c r="AH44" i="29"/>
  <c r="AH58" i="29"/>
  <c r="AH48" i="29"/>
  <c r="AH70" i="29"/>
  <c r="AH55" i="29"/>
  <c r="AH24" i="29"/>
  <c r="AH56" i="29"/>
  <c r="AH39" i="29"/>
  <c r="J24" i="58"/>
  <c r="J25" i="58"/>
  <c r="AZ31" i="34"/>
  <c r="AZ35" i="34"/>
  <c r="AZ36" i="34"/>
  <c r="AZ25" i="34"/>
  <c r="AZ26" i="34"/>
  <c r="AZ30" i="34"/>
  <c r="BO29" i="34" a="1"/>
  <c r="BO29" i="34" s="1"/>
  <c r="BN29" i="34" s="1"/>
  <c r="BO34" i="34" a="1"/>
  <c r="BO34" i="34" s="1"/>
  <c r="BN34" i="34" s="1"/>
  <c r="BO24" i="34" a="1"/>
  <c r="BO24" i="34" s="1"/>
  <c r="BN24" i="34" s="1"/>
  <c r="BO28" i="34" a="1"/>
  <c r="BO28" i="34" s="1"/>
  <c r="BN28" i="34" s="1"/>
  <c r="BO33" i="34" a="1"/>
  <c r="BO33" i="34" s="1"/>
  <c r="BN33" i="34" s="1"/>
  <c r="BO27" i="34" a="1"/>
  <c r="BO27" i="34" s="1"/>
  <c r="BN27" i="34" s="1"/>
  <c r="BO32" i="34" a="1"/>
  <c r="BO32" i="34" s="1"/>
  <c r="BN32" i="34" s="1"/>
  <c r="BO23" i="34" a="1"/>
  <c r="BO23" i="34" s="1"/>
  <c r="BN23" i="34" s="1"/>
  <c r="N5" i="29"/>
  <c r="N11" i="29"/>
  <c r="D130" i="40"/>
  <c r="D131" i="40" s="1"/>
  <c r="D24" i="40" s="1"/>
  <c r="O130" i="40"/>
  <c r="O131" i="40" s="1"/>
  <c r="O24" i="40" s="1"/>
  <c r="M130" i="40"/>
  <c r="M131" i="40" s="1"/>
  <c r="M24" i="40" s="1"/>
  <c r="L130" i="40"/>
  <c r="L131" i="40" s="1"/>
  <c r="L24" i="40" s="1"/>
  <c r="K130" i="40"/>
  <c r="K131" i="40" s="1"/>
  <c r="K24" i="40" s="1"/>
  <c r="J130" i="40"/>
  <c r="J131" i="40" s="1"/>
  <c r="J24" i="40" s="1"/>
  <c r="I130" i="40"/>
  <c r="I131" i="40" s="1"/>
  <c r="I24" i="40" s="1"/>
  <c r="H130" i="40"/>
  <c r="H131" i="40" s="1"/>
  <c r="H24" i="40" s="1"/>
  <c r="G130" i="40"/>
  <c r="G131" i="40" s="1"/>
  <c r="G24" i="40" s="1"/>
  <c r="F130" i="40"/>
  <c r="F131" i="40" s="1"/>
  <c r="F24" i="40" s="1"/>
  <c r="E130" i="40"/>
  <c r="E131" i="40" s="1"/>
  <c r="E24" i="40" s="1"/>
  <c r="N130" i="40"/>
  <c r="N131" i="40" s="1"/>
  <c r="N24" i="40" s="1"/>
  <c r="BI22" i="34" a="1"/>
  <c r="BI22" i="34" s="1"/>
  <c r="F1" i="40"/>
  <c r="E185" i="40" a="1"/>
  <c r="E185" i="40" s="1"/>
  <c r="E186" i="40" s="1"/>
  <c r="E43" i="40" s="1"/>
  <c r="P31" i="6" a="1"/>
  <c r="P31" i="6" s="1"/>
  <c r="P34" i="6" s="1"/>
  <c r="N35" i="81" s="1"/>
  <c r="AB45" i="6" a="1"/>
  <c r="AB45" i="6" s="1"/>
  <c r="Z6" i="71" a="1"/>
  <c r="Z6" i="71" s="1"/>
  <c r="Y6" i="71" a="1"/>
  <c r="Y6" i="71" s="1"/>
  <c r="AA6" i="71" a="1"/>
  <c r="AA6" i="71" s="1"/>
  <c r="W6" i="71" a="1"/>
  <c r="W6" i="71" s="1"/>
  <c r="C149" i="40"/>
  <c r="C143" i="40"/>
  <c r="AC6" i="71" a="1"/>
  <c r="AC6" i="71" s="1"/>
  <c r="AB6" i="71" a="1"/>
  <c r="AB6" i="71" s="1"/>
  <c r="C88" i="40" a="1"/>
  <c r="C88" i="40" s="1"/>
  <c r="C89" i="40" s="1"/>
  <c r="V26" i="68" a="1"/>
  <c r="V26" i="68" s="1"/>
  <c r="X6" i="71" a="1"/>
  <c r="X6" i="71" s="1"/>
  <c r="M6" i="71" a="1"/>
  <c r="M6" i="71" s="1"/>
  <c r="I103" i="40"/>
  <c r="K103" i="40"/>
  <c r="O103" i="40"/>
  <c r="J103" i="40"/>
  <c r="L103" i="40"/>
  <c r="N103" i="40"/>
  <c r="E103" i="40"/>
  <c r="BN6" i="76" a="1"/>
  <c r="BN6" i="76" s="1"/>
  <c r="BI6" i="76" a="1"/>
  <c r="BI6" i="76" s="1"/>
  <c r="BO7" i="76" a="1"/>
  <c r="BO7" i="76" s="1"/>
  <c r="BO6" i="76" a="1"/>
  <c r="BO6" i="76" s="1"/>
  <c r="BN7" i="76" a="1"/>
  <c r="BN7" i="76" s="1"/>
  <c r="BJ6" i="76" a="1"/>
  <c r="BJ6" i="76" s="1"/>
  <c r="BE7" i="57" a="1"/>
  <c r="BE7" i="57" s="1"/>
  <c r="BE8" i="57" a="1"/>
  <c r="BE8" i="57" s="1"/>
  <c r="AZ7" i="57" a="1"/>
  <c r="AZ7" i="57" s="1"/>
  <c r="AZ8" i="57" a="1"/>
  <c r="AZ8" i="57" s="1"/>
  <c r="AZ12" i="57" a="1"/>
  <c r="AZ12" i="57" s="1"/>
  <c r="AZ9" i="57" a="1"/>
  <c r="AZ9" i="57" s="1"/>
  <c r="AZ10" i="57" a="1"/>
  <c r="AZ10" i="57" s="1"/>
  <c r="AZ11" i="57" a="1"/>
  <c r="AZ11" i="57" s="1"/>
  <c r="BC6" i="76" a="1"/>
  <c r="BC6" i="76" s="1"/>
  <c r="AT10" i="76" a="1"/>
  <c r="AT10" i="76" s="1"/>
  <c r="BC7" i="76" a="1"/>
  <c r="BC7" i="76" s="1"/>
  <c r="BC8" i="76" a="1"/>
  <c r="BC8" i="76" s="1"/>
  <c r="BC9" i="76" a="1"/>
  <c r="BC9" i="76" s="1"/>
  <c r="AT6" i="76" a="1"/>
  <c r="AT6" i="76" s="1"/>
  <c r="AT7" i="76" a="1"/>
  <c r="AT7" i="76" s="1"/>
  <c r="AT8" i="76" a="1"/>
  <c r="AT8" i="76" s="1"/>
  <c r="AT9" i="76" a="1"/>
  <c r="AT9" i="76" s="1"/>
  <c r="BK9" i="73" a="1"/>
  <c r="BK9" i="73" s="1"/>
  <c r="F1" i="30"/>
  <c r="D1" i="14"/>
  <c r="E1" i="14" s="1"/>
  <c r="AA46" i="13" a="1"/>
  <c r="AA46" i="13" s="1"/>
  <c r="BP22" i="34" a="1"/>
  <c r="BP22" i="34" s="1"/>
  <c r="BQ22" i="34" s="1" a="1"/>
  <c r="BQ22" i="34" s="1"/>
  <c r="P22" i="60" a="1"/>
  <c r="P22" i="60" s="1"/>
  <c r="AX6" i="71" a="1"/>
  <c r="AX6" i="71" s="1"/>
  <c r="C3" i="74"/>
  <c r="C2" i="74"/>
  <c r="V27" i="68" a="1"/>
  <c r="V27" i="68" s="1"/>
  <c r="E27" i="68" a="1"/>
  <c r="E27" i="68" s="1"/>
  <c r="D27" i="68" a="1"/>
  <c r="D27" i="68" s="1"/>
  <c r="N27" i="68" a="1"/>
  <c r="N27" i="68" s="1"/>
  <c r="M27" i="68" a="1"/>
  <c r="M27" i="68" s="1"/>
  <c r="L27" i="68" a="1"/>
  <c r="L27" i="68" s="1"/>
  <c r="K27" i="68" a="1"/>
  <c r="K27" i="68" s="1"/>
  <c r="P37" i="32" a="1"/>
  <c r="P37" i="32" s="1"/>
  <c r="F37" i="32" a="1"/>
  <c r="F37" i="32" s="1"/>
  <c r="J27" i="68" a="1"/>
  <c r="J27" i="68" s="1"/>
  <c r="O37" i="32" a="1"/>
  <c r="O37" i="32" s="1"/>
  <c r="O18" i="32" a="1"/>
  <c r="O18" i="32" s="1"/>
  <c r="I27" i="68" a="1"/>
  <c r="I27" i="68" s="1"/>
  <c r="P30" i="32" a="1"/>
  <c r="P30" i="32" s="1"/>
  <c r="F30" i="32" a="1"/>
  <c r="F30" i="32" s="1"/>
  <c r="H27" i="68" a="1"/>
  <c r="H27" i="68" s="1"/>
  <c r="O30" i="32" a="1"/>
  <c r="O30" i="32" s="1"/>
  <c r="F27" i="68" a="1"/>
  <c r="F27" i="68" s="1"/>
  <c r="G27" i="68" a="1"/>
  <c r="G27" i="68" s="1"/>
  <c r="P18" i="32" a="1"/>
  <c r="P18" i="32" s="1"/>
  <c r="F18" i="32" a="1"/>
  <c r="F18" i="32" s="1"/>
  <c r="I9" i="13"/>
  <c r="Q9" i="6"/>
  <c r="H21" i="6"/>
  <c r="H25" i="6"/>
  <c r="H20" i="6"/>
  <c r="H24" i="6"/>
  <c r="H33" i="6"/>
  <c r="H23" i="6"/>
  <c r="H22" i="6"/>
  <c r="H19" i="6"/>
  <c r="H18" i="6"/>
  <c r="H17" i="6"/>
  <c r="H28" i="6"/>
  <c r="H27" i="6"/>
  <c r="H26" i="6"/>
  <c r="H37" i="13"/>
  <c r="S13" i="81"/>
  <c r="N43" i="13"/>
  <c r="V14" i="81"/>
  <c r="P14" i="81"/>
  <c r="O38" i="6"/>
  <c r="U45" i="6"/>
  <c r="J16" i="68" a="1"/>
  <c r="J16" i="68" s="1"/>
  <c r="I16" i="68" a="1"/>
  <c r="I16" i="68" s="1"/>
  <c r="V16" i="68" a="1"/>
  <c r="V16" i="68" s="1"/>
  <c r="G16" i="68" a="1"/>
  <c r="G16" i="68" s="1"/>
  <c r="F16" i="68" a="1"/>
  <c r="F16" i="68" s="1"/>
  <c r="O16" i="68" a="1"/>
  <c r="O16" i="68" s="1"/>
  <c r="N16" i="68" a="1"/>
  <c r="N16" i="68" s="1"/>
  <c r="E16" i="68" a="1"/>
  <c r="E16" i="68" s="1"/>
  <c r="M16" i="68" a="1"/>
  <c r="M16" i="68" s="1"/>
  <c r="D16" i="68" a="1"/>
  <c r="D16" i="68" s="1"/>
  <c r="L16" i="68" a="1"/>
  <c r="L16" i="68" s="1"/>
  <c r="H16" i="68" a="1"/>
  <c r="H16" i="68" s="1"/>
  <c r="K16" i="68" a="1"/>
  <c r="K16" i="68" s="1"/>
  <c r="I26" i="68" a="1"/>
  <c r="I26" i="68" s="1"/>
  <c r="I45" i="68" a="1"/>
  <c r="I45" i="68" s="1"/>
  <c r="H26" i="68" a="1"/>
  <c r="H26" i="68" s="1"/>
  <c r="H45" i="68" a="1"/>
  <c r="H45" i="68" s="1"/>
  <c r="L45" i="68" a="1"/>
  <c r="L45" i="68" s="1"/>
  <c r="L26" i="68" a="1"/>
  <c r="L26" i="68" s="1"/>
  <c r="M45" i="68" a="1"/>
  <c r="M45" i="68" s="1"/>
  <c r="M26" i="68" a="1"/>
  <c r="M26" i="68" s="1"/>
  <c r="F38" i="68" a="1"/>
  <c r="F38" i="68" s="1"/>
  <c r="F45" i="68" a="1"/>
  <c r="F45" i="68" s="1"/>
  <c r="F26" i="68" a="1"/>
  <c r="F26" i="68" s="1"/>
  <c r="J26" i="68" a="1"/>
  <c r="J26" i="68" s="1"/>
  <c r="J45" i="68" a="1"/>
  <c r="J45" i="68" s="1"/>
  <c r="K26" i="68" a="1"/>
  <c r="K26" i="68" s="1"/>
  <c r="K45" i="68" a="1"/>
  <c r="K45" i="68" s="1"/>
  <c r="O23" i="32" a="1"/>
  <c r="O23" i="32" s="1"/>
  <c r="N45" i="68" a="1"/>
  <c r="N45" i="68" s="1"/>
  <c r="N26" i="68" a="1"/>
  <c r="N26" i="68" s="1"/>
  <c r="D28" i="68" a="1"/>
  <c r="D28" i="68" s="1"/>
  <c r="V28" i="68" a="1"/>
  <c r="V28" i="68" s="1"/>
  <c r="O45" i="68" a="1"/>
  <c r="O45" i="68" s="1"/>
  <c r="O26" i="68" a="1"/>
  <c r="O26" i="68" s="1"/>
  <c r="G45" i="68" a="1"/>
  <c r="G45" i="68" s="1"/>
  <c r="G26" i="68" a="1"/>
  <c r="G26" i="68" s="1"/>
  <c r="C51" i="68" a="1"/>
  <c r="C51" i="68" s="1"/>
  <c r="D26" i="68" a="1"/>
  <c r="D26" i="68" s="1"/>
  <c r="E26" i="68" a="1"/>
  <c r="E26" i="68" s="1"/>
  <c r="E45" i="68" a="1"/>
  <c r="E45" i="68" s="1"/>
  <c r="H30" i="68" a="1"/>
  <c r="H30" i="68" s="1"/>
  <c r="L29" i="68" a="1"/>
  <c r="L29" i="68" s="1"/>
  <c r="G25" i="68" a="1"/>
  <c r="G25" i="68" s="1"/>
  <c r="J14" i="68" a="1"/>
  <c r="J14" i="68" s="1"/>
  <c r="G30" i="68" a="1"/>
  <c r="G30" i="68" s="1"/>
  <c r="K29" i="68" a="1"/>
  <c r="K29" i="68" s="1"/>
  <c r="V25" i="68" a="1"/>
  <c r="V25" i="68" s="1"/>
  <c r="F25" i="68" a="1"/>
  <c r="F25" i="68" s="1"/>
  <c r="K24" i="68" a="1"/>
  <c r="K24" i="68" s="1"/>
  <c r="I14" i="68" a="1"/>
  <c r="I14" i="68" s="1"/>
  <c r="O16" i="32" a="1"/>
  <c r="O16" i="32" s="1"/>
  <c r="H14" i="68" a="1"/>
  <c r="H14" i="68" s="1"/>
  <c r="V30" i="68" a="1"/>
  <c r="V30" i="68" s="1"/>
  <c r="O25" i="68" a="1"/>
  <c r="O25" i="68" s="1"/>
  <c r="I24" i="68" a="1"/>
  <c r="I24" i="68" s="1"/>
  <c r="O14" i="68" a="1"/>
  <c r="O14" i="68" s="1"/>
  <c r="P16" i="32" a="1"/>
  <c r="P16" i="32" s="1"/>
  <c r="F30" i="68" a="1"/>
  <c r="F30" i="68" s="1"/>
  <c r="J29" i="68" a="1"/>
  <c r="J29" i="68" s="1"/>
  <c r="E14" i="68" a="1"/>
  <c r="E14" i="68" s="1"/>
  <c r="O30" i="68" a="1"/>
  <c r="O30" i="68" s="1"/>
  <c r="E30" i="68" a="1"/>
  <c r="E30" i="68" s="1"/>
  <c r="H29" i="68" a="1"/>
  <c r="H29" i="68" s="1"/>
  <c r="N25" i="68" a="1"/>
  <c r="N25" i="68" s="1"/>
  <c r="D25" i="68" a="1"/>
  <c r="D25" i="68" s="1"/>
  <c r="H24" i="68" a="1"/>
  <c r="H24" i="68" s="1"/>
  <c r="F14" i="68" a="1"/>
  <c r="F14" i="68" s="1"/>
  <c r="N30" i="68" a="1"/>
  <c r="N30" i="68" s="1"/>
  <c r="D30" i="68" a="1"/>
  <c r="D30" i="68" s="1"/>
  <c r="G29" i="68" a="1"/>
  <c r="G29" i="68" s="1"/>
  <c r="M25" i="68" a="1"/>
  <c r="M25" i="68" s="1"/>
  <c r="G24" i="68" a="1"/>
  <c r="G24" i="68" s="1"/>
  <c r="P35" i="32" a="1"/>
  <c r="P35" i="32" s="1"/>
  <c r="M30" i="68" a="1"/>
  <c r="M30" i="68" s="1"/>
  <c r="F29" i="68" a="1"/>
  <c r="F29" i="68" s="1"/>
  <c r="L25" i="68" a="1"/>
  <c r="L25" i="68" s="1"/>
  <c r="F24" i="68" a="1"/>
  <c r="F24" i="68" s="1"/>
  <c r="L30" i="68" a="1"/>
  <c r="L30" i="68" s="1"/>
  <c r="E29" i="68" a="1"/>
  <c r="E29" i="68" s="1"/>
  <c r="V24" i="68" a="1"/>
  <c r="V24" i="68" s="1"/>
  <c r="N14" i="68" a="1"/>
  <c r="N14" i="68" s="1"/>
  <c r="D14" i="68" a="1"/>
  <c r="D14" i="68" s="1"/>
  <c r="E25" i="68" a="1"/>
  <c r="E25" i="68" s="1"/>
  <c r="G14" i="68" a="1"/>
  <c r="G14" i="68" s="1"/>
  <c r="V29" i="68" a="1"/>
  <c r="V29" i="68" s="1"/>
  <c r="D29" i="68" a="1"/>
  <c r="D29" i="68" s="1"/>
  <c r="K25" i="68" a="1"/>
  <c r="K25" i="68" s="1"/>
  <c r="O24" i="68" a="1"/>
  <c r="O24" i="68" s="1"/>
  <c r="E24" i="68" a="1"/>
  <c r="E24" i="68" s="1"/>
  <c r="M14" i="68" a="1"/>
  <c r="M14" i="68" s="1"/>
  <c r="V14" i="68" a="1"/>
  <c r="V14" i="68" s="1"/>
  <c r="K30" i="68" a="1"/>
  <c r="K30" i="68" s="1"/>
  <c r="O29" i="68" a="1"/>
  <c r="O29" i="68" s="1"/>
  <c r="J25" i="68" a="1"/>
  <c r="J25" i="68" s="1"/>
  <c r="N24" i="68" a="1"/>
  <c r="N24" i="68" s="1"/>
  <c r="D24" i="68" a="1"/>
  <c r="D24" i="68" s="1"/>
  <c r="L14" i="68" a="1"/>
  <c r="L14" i="68" s="1"/>
  <c r="J30" i="68" a="1"/>
  <c r="J30" i="68" s="1"/>
  <c r="N29" i="68" a="1"/>
  <c r="N29" i="68" s="1"/>
  <c r="I25" i="68" a="1"/>
  <c r="I25" i="68" s="1"/>
  <c r="M24" i="68" a="1"/>
  <c r="M24" i="68" s="1"/>
  <c r="J24" i="68" a="1"/>
  <c r="J24" i="68" s="1"/>
  <c r="O35" i="32" a="1"/>
  <c r="O35" i="32" s="1"/>
  <c r="I29" i="68" a="1"/>
  <c r="I29" i="68" s="1"/>
  <c r="I30" i="68" a="1"/>
  <c r="I30" i="68" s="1"/>
  <c r="M29" i="68" a="1"/>
  <c r="M29" i="68" s="1"/>
  <c r="H25" i="68" a="1"/>
  <c r="H25" i="68" s="1"/>
  <c r="L24" i="68" a="1"/>
  <c r="L24" i="68" s="1"/>
  <c r="K14" i="68" a="1"/>
  <c r="K14" i="68" s="1"/>
  <c r="O27" i="32" a="1"/>
  <c r="O27" i="32" s="1"/>
  <c r="V17" i="68" a="1"/>
  <c r="V17" i="68" s="1"/>
  <c r="AE45" i="6"/>
  <c r="O85" i="32" a="1"/>
  <c r="O85" i="32" s="1"/>
  <c r="J85" i="32" a="1"/>
  <c r="J85" i="32" s="1"/>
  <c r="O88" i="32" a="1"/>
  <c r="O88" i="32" s="1"/>
  <c r="O87" i="32" a="1"/>
  <c r="O87" i="32" s="1"/>
  <c r="J88" i="32" a="1"/>
  <c r="J88" i="32" s="1"/>
  <c r="K118" i="32" a="1"/>
  <c r="K118" i="32" s="1"/>
  <c r="J118" i="32" a="1"/>
  <c r="J118" i="32" s="1"/>
  <c r="O42" i="32" a="1"/>
  <c r="O42" i="32" s="1"/>
  <c r="J49" i="32" a="1"/>
  <c r="J49" i="32" s="1"/>
  <c r="O49" i="32" a="1"/>
  <c r="O49" i="32" s="1"/>
  <c r="O39" i="32" a="1"/>
  <c r="O39" i="32" s="1"/>
  <c r="O38" i="32" a="1"/>
  <c r="O38" i="32" s="1"/>
  <c r="O36" i="32" a="1"/>
  <c r="O36" i="32" s="1"/>
  <c r="O19" i="32" a="1"/>
  <c r="O19" i="32" s="1"/>
  <c r="O17" i="32" a="1"/>
  <c r="O17" i="32" s="1"/>
  <c r="O29" i="32" a="1"/>
  <c r="O29" i="32" s="1"/>
  <c r="O31" i="32" a="1"/>
  <c r="O31" i="32" s="1"/>
  <c r="O28" i="32" a="1"/>
  <c r="O28" i="32" s="1"/>
  <c r="O118" i="32" a="1"/>
  <c r="O118" i="32" s="1"/>
  <c r="O47" i="32" a="1"/>
  <c r="O47" i="32" s="1"/>
  <c r="O84" i="32" a="1"/>
  <c r="O84" i="32" s="1"/>
  <c r="O43" i="32" a="1"/>
  <c r="O43" i="32" s="1"/>
  <c r="O44" i="32" a="1"/>
  <c r="O44" i="32" s="1"/>
  <c r="O46" i="32" a="1"/>
  <c r="O46" i="32" s="1"/>
  <c r="O45" i="32" a="1"/>
  <c r="O45" i="32" s="1"/>
  <c r="AZ6" i="57" a="1"/>
  <c r="AZ6" i="57" s="1"/>
  <c r="P23" i="32" a="1"/>
  <c r="P23" i="32" s="1"/>
  <c r="K47" i="32" a="1"/>
  <c r="K47" i="32" s="1"/>
  <c r="E120" i="32" a="1"/>
  <c r="E120" i="32" s="1"/>
  <c r="F120" i="32" a="1"/>
  <c r="F120" i="32" s="1"/>
  <c r="CM5" i="76" a="1"/>
  <c r="CM5" i="76" s="1"/>
  <c r="AD24" i="61" a="1"/>
  <c r="AD24" i="61" s="1"/>
  <c r="AD29" i="61" a="1"/>
  <c r="AD29" i="61" s="1"/>
  <c r="P85" i="32" a="1"/>
  <c r="P85" i="32" s="1"/>
  <c r="K85" i="32" a="1"/>
  <c r="K85" i="32" s="1"/>
  <c r="K88" i="32" a="1"/>
  <c r="K88" i="32" s="1"/>
  <c r="P88" i="32" a="1"/>
  <c r="P88" i="32" s="1"/>
  <c r="P87" i="32" a="1"/>
  <c r="P87" i="32" s="1"/>
  <c r="P45" i="32" a="1"/>
  <c r="P45" i="32" s="1"/>
  <c r="P5" i="39"/>
  <c r="P44" i="32" a="1"/>
  <c r="P44" i="32" s="1"/>
  <c r="P118" i="32" a="1"/>
  <c r="P118" i="32" s="1"/>
  <c r="P46" i="32" a="1"/>
  <c r="P46" i="32" s="1"/>
  <c r="F118" i="32" a="1"/>
  <c r="F118" i="32" s="1"/>
  <c r="BW11" i="76" a="1"/>
  <c r="BW11" i="76" s="1"/>
  <c r="BW16" i="76" a="1"/>
  <c r="BW16" i="76" s="1"/>
  <c r="BW10" i="76" a="1"/>
  <c r="BW10" i="76" s="1"/>
  <c r="BW13" i="76" a="1"/>
  <c r="BW13" i="76" s="1"/>
  <c r="BW9" i="76" a="1"/>
  <c r="BW9" i="76" s="1"/>
  <c r="BW8" i="76" a="1"/>
  <c r="BW8" i="76" s="1"/>
  <c r="BW15" i="76" a="1"/>
  <c r="BW15" i="76" s="1"/>
  <c r="BW7" i="76" a="1"/>
  <c r="BW7" i="76" s="1"/>
  <c r="BW6" i="76" a="1"/>
  <c r="BW6" i="76" s="1"/>
  <c r="BW5" i="76" a="1"/>
  <c r="BW5" i="76" s="1"/>
  <c r="BW14" i="76" a="1"/>
  <c r="BW14" i="76" s="1"/>
  <c r="BW12" i="76" a="1"/>
  <c r="BW12" i="76" s="1"/>
  <c r="P42" i="32" a="1"/>
  <c r="P42" i="32" s="1"/>
  <c r="G4" i="65" a="1"/>
  <c r="G4" i="65" s="1"/>
  <c r="P43" i="32" a="1"/>
  <c r="P43" i="32" s="1"/>
  <c r="K49" i="32" a="1"/>
  <c r="K49" i="32" s="1"/>
  <c r="F105" i="32" a="1"/>
  <c r="F105" i="32" s="1"/>
  <c r="P49" i="32" a="1"/>
  <c r="P49" i="32" s="1"/>
  <c r="AB22" i="35" a="1"/>
  <c r="AB22" i="35" s="1"/>
  <c r="P31" i="32" a="1"/>
  <c r="P31" i="32" s="1"/>
  <c r="P38" i="32" a="1"/>
  <c r="P38" i="32" s="1"/>
  <c r="P28" i="32" a="1"/>
  <c r="P28" i="32" s="1"/>
  <c r="P36" i="32" a="1"/>
  <c r="P36" i="32" s="1"/>
  <c r="P17" i="32" a="1"/>
  <c r="P17" i="32" s="1"/>
  <c r="P19" i="32" a="1"/>
  <c r="P19" i="32" s="1"/>
  <c r="P29" i="32" a="1"/>
  <c r="P29" i="32" s="1"/>
  <c r="P39" i="32" a="1"/>
  <c r="P39" i="32" s="1"/>
  <c r="P47" i="32" a="1"/>
  <c r="P47" i="32" s="1"/>
  <c r="AD54" i="61" a="1"/>
  <c r="AD54" i="61" s="1"/>
  <c r="AD51" i="61" a="1"/>
  <c r="AD51" i="61" s="1"/>
  <c r="AD27" i="61" a="1"/>
  <c r="AD27" i="61" s="1"/>
  <c r="AD47" i="61" a="1"/>
  <c r="AD47" i="61" s="1"/>
  <c r="AD44" i="61" a="1"/>
  <c r="AD44" i="61" s="1"/>
  <c r="AD32" i="61" a="1"/>
  <c r="AD32" i="61" s="1"/>
  <c r="AD55" i="61" a="1"/>
  <c r="AD55" i="61" s="1"/>
  <c r="AD37" i="61" a="1"/>
  <c r="AD37" i="61" s="1"/>
  <c r="AD52" i="61" a="1"/>
  <c r="AD52" i="61" s="1"/>
  <c r="AD48" i="61" a="1"/>
  <c r="AD48" i="61" s="1"/>
  <c r="AD30" i="61" a="1"/>
  <c r="AD30" i="61" s="1"/>
  <c r="AD35" i="61" a="1"/>
  <c r="AD35" i="61" s="1"/>
  <c r="AD56" i="61" a="1"/>
  <c r="AD56" i="61" s="1"/>
  <c r="AD45" i="61" a="1"/>
  <c r="AD45" i="61" s="1"/>
  <c r="AD28" i="61" a="1"/>
  <c r="AD28" i="61" s="1"/>
  <c r="AD53" i="61" a="1"/>
  <c r="AD53" i="61" s="1"/>
  <c r="AD49" i="61" a="1"/>
  <c r="AD49" i="61" s="1"/>
  <c r="AD33" i="61" a="1"/>
  <c r="AD33" i="61" s="1"/>
  <c r="AD46" i="61" a="1"/>
  <c r="AD46" i="61" s="1"/>
  <c r="AD31" i="61" a="1"/>
  <c r="AD31" i="61" s="1"/>
  <c r="AD57" i="61" a="1"/>
  <c r="AD57" i="61" s="1"/>
  <c r="AD50" i="61" a="1"/>
  <c r="AD50" i="61" s="1"/>
  <c r="AD41" i="61" a="1"/>
  <c r="AD41" i="61" s="1"/>
  <c r="AD36" i="61" a="1"/>
  <c r="AD36" i="61" s="1"/>
  <c r="AD13" i="61" a="1"/>
  <c r="AD13" i="61" s="1"/>
  <c r="AD40" i="61" a="1"/>
  <c r="AD40" i="61" s="1"/>
  <c r="AD22" i="61" a="1"/>
  <c r="AD22" i="61" s="1"/>
  <c r="AD19" i="61" a="1"/>
  <c r="AD19" i="61" s="1"/>
  <c r="AD25" i="61" a="1"/>
  <c r="AD25" i="61" s="1"/>
  <c r="AD20" i="61" a="1"/>
  <c r="AD20" i="61" s="1"/>
  <c r="AD12" i="61" a="1"/>
  <c r="AD12" i="61" s="1"/>
  <c r="AD42" i="61" a="1"/>
  <c r="AD42" i="61" s="1"/>
  <c r="AD15" i="61" a="1"/>
  <c r="AD15" i="61" s="1"/>
  <c r="AD34" i="61" a="1"/>
  <c r="AD34" i="61" s="1"/>
  <c r="AD23" i="61" a="1"/>
  <c r="AD23" i="61" s="1"/>
  <c r="AD11" i="61" a="1"/>
  <c r="AD11" i="61" s="1"/>
  <c r="AD38" i="61" a="1"/>
  <c r="AD38" i="61" s="1"/>
  <c r="AD21" i="61" a="1"/>
  <c r="AD21" i="61" s="1"/>
  <c r="AD43" i="61" a="1"/>
  <c r="AD43" i="61" s="1"/>
  <c r="AD39" i="61" a="1"/>
  <c r="AD39" i="61" s="1"/>
  <c r="AD14" i="61" a="1"/>
  <c r="AD14" i="61" s="1"/>
  <c r="AD9" i="61" a="1"/>
  <c r="AD9" i="61" s="1"/>
  <c r="AD18" i="61" a="1"/>
  <c r="AD18" i="61" s="1"/>
  <c r="AD26" i="61" a="1"/>
  <c r="AD26" i="61" s="1"/>
  <c r="AD17" i="61" a="1"/>
  <c r="AD17" i="61" s="1"/>
  <c r="AD16" i="61" a="1"/>
  <c r="AD16" i="61" s="1"/>
  <c r="AD10" i="61" a="1"/>
  <c r="AD10" i="61" s="1"/>
  <c r="N81" i="29"/>
  <c r="F88" i="32" a="1"/>
  <c r="F88" i="32" s="1"/>
  <c r="E88" i="32" a="1"/>
  <c r="E88" i="32" s="1"/>
  <c r="F85" i="32" a="1"/>
  <c r="F85" i="32" s="1"/>
  <c r="E85" i="32" a="1"/>
  <c r="E85" i="32" s="1"/>
  <c r="E118" i="32" a="1"/>
  <c r="E118" i="32" s="1"/>
  <c r="E84" i="32" a="1"/>
  <c r="E84" i="32" s="1"/>
  <c r="M46" i="7"/>
  <c r="F13" i="54" a="1"/>
  <c r="F13" i="54" s="1"/>
  <c r="BE22" i="34" a="1"/>
  <c r="BE22" i="34" s="1"/>
  <c r="F87" i="32" a="1"/>
  <c r="F87" i="32" s="1"/>
  <c r="E87" i="32" a="1"/>
  <c r="E87" i="32" s="1"/>
  <c r="O28" i="68" a="1"/>
  <c r="O28" i="68" s="1"/>
  <c r="N28" i="68" a="1"/>
  <c r="N28" i="68" s="1"/>
  <c r="M28" i="68" a="1"/>
  <c r="M28" i="68" s="1"/>
  <c r="E28" i="68" a="1"/>
  <c r="E28" i="68" s="1"/>
  <c r="L28" i="68" a="1"/>
  <c r="L28" i="68" s="1"/>
  <c r="K28" i="68" a="1"/>
  <c r="K28" i="68" s="1"/>
  <c r="J28" i="68" a="1"/>
  <c r="J28" i="68" s="1"/>
  <c r="I28" i="68" a="1"/>
  <c r="I28" i="68" s="1"/>
  <c r="H28" i="68" a="1"/>
  <c r="H28" i="68" s="1"/>
  <c r="G28" i="68" a="1"/>
  <c r="G28" i="68" s="1"/>
  <c r="F28" i="68" a="1"/>
  <c r="F28" i="68" s="1"/>
  <c r="E46" i="32" a="1"/>
  <c r="E46" i="32" s="1"/>
  <c r="AA46" i="6" a="1"/>
  <c r="AA46" i="6" s="1"/>
  <c r="P106" i="32"/>
  <c r="E45" i="32" a="1"/>
  <c r="E45" i="32" s="1"/>
  <c r="BC5" i="76" a="1"/>
  <c r="BC5" i="76" s="1"/>
  <c r="AT5" i="76" a="1"/>
  <c r="AT5" i="76" s="1"/>
  <c r="BE6" i="57" a="1"/>
  <c r="BE6" i="57" s="1"/>
  <c r="BN24" i="57"/>
  <c r="BP24" i="57" s="1"/>
  <c r="BO5" i="76" a="1"/>
  <c r="BO5" i="76" s="1"/>
  <c r="BJ24" i="57" a="1"/>
  <c r="BJ24" i="57" s="1"/>
  <c r="BJ25" i="57" a="1"/>
  <c r="BJ25" i="57" s="1"/>
  <c r="BK25" i="57" a="1"/>
  <c r="BK25" i="57" s="1"/>
  <c r="BK21" i="57" s="1"/>
  <c r="BL21" i="57" s="1"/>
  <c r="BO25" i="57" a="1"/>
  <c r="BO25" i="57" s="1"/>
  <c r="BO22" i="57" s="1"/>
  <c r="BL24" i="57" a="1"/>
  <c r="BL24" i="57" s="1"/>
  <c r="BI25" i="57" a="1"/>
  <c r="BI25" i="57" s="1"/>
  <c r="BI24" i="57" a="1"/>
  <c r="BI24" i="57" s="1"/>
  <c r="BN25" i="57" a="1"/>
  <c r="BI5" i="76" a="1"/>
  <c r="BI5" i="76" s="1"/>
  <c r="BJ5" i="76" a="1"/>
  <c r="BJ5" i="76" s="1"/>
  <c r="BN5" i="76" a="1"/>
  <c r="BN5" i="76" s="1"/>
  <c r="BT21" i="76"/>
  <c r="BX21" i="76" s="1"/>
  <c r="BY21" i="76" s="1"/>
  <c r="BW29" i="76"/>
  <c r="BZ29" i="76" s="1"/>
  <c r="BW26" i="76"/>
  <c r="BZ26" i="76" s="1"/>
  <c r="BW24" i="76"/>
  <c r="BZ24" i="76" s="1"/>
  <c r="BW23" i="76"/>
  <c r="BZ23" i="76" s="1"/>
  <c r="BW27" i="76"/>
  <c r="BZ27" i="76" s="1"/>
  <c r="BW28" i="76"/>
  <c r="BZ28" i="76" s="1"/>
  <c r="BW25" i="76"/>
  <c r="BZ25" i="76" s="1"/>
  <c r="BW22" i="76"/>
  <c r="BZ22" i="76" s="1"/>
  <c r="BW21" i="76"/>
  <c r="BZ21" i="76" s="1"/>
  <c r="CA21" i="76" s="1"/>
  <c r="BW33" i="76"/>
  <c r="BZ33" i="76" s="1"/>
  <c r="BW31" i="76"/>
  <c r="BZ31" i="76" s="1"/>
  <c r="BW30" i="76"/>
  <c r="BZ30" i="76" s="1"/>
  <c r="BW32" i="76"/>
  <c r="BZ32" i="76" s="1"/>
  <c r="BT30" i="76"/>
  <c r="BX30" i="76" s="1"/>
  <c r="BT27" i="76"/>
  <c r="BX27" i="76" s="1"/>
  <c r="BT25" i="76"/>
  <c r="BX25" i="76" s="1"/>
  <c r="BT31" i="76"/>
  <c r="BX31" i="76" s="1"/>
  <c r="BT23" i="76"/>
  <c r="BX23" i="76" s="1"/>
  <c r="BT28" i="76"/>
  <c r="BX28" i="76" s="1"/>
  <c r="BT26" i="76"/>
  <c r="BX26" i="76" s="1"/>
  <c r="BT24" i="76"/>
  <c r="BX24" i="76" s="1"/>
  <c r="BT22" i="76"/>
  <c r="BX22" i="76" s="1"/>
  <c r="BT32" i="76"/>
  <c r="BX32" i="76" s="1"/>
  <c r="BT29" i="76"/>
  <c r="BX29" i="76" s="1"/>
  <c r="BT33" i="76"/>
  <c r="BX33" i="76" s="1"/>
  <c r="F29" i="32" a="1"/>
  <c r="F29" i="32" s="1"/>
  <c r="C108" i="40" a="1"/>
  <c r="C108" i="40" s="1"/>
  <c r="C135" i="40" a="1"/>
  <c r="C135" i="40" s="1"/>
  <c r="C136" i="40" s="1"/>
  <c r="E16" i="32" a="1"/>
  <c r="E16" i="32" s="1"/>
  <c r="BK8" i="73" a="1"/>
  <c r="BK8" i="73" s="1"/>
  <c r="BE3" i="73" a="1"/>
  <c r="BE3" i="73" s="1"/>
  <c r="E47" i="32" a="1"/>
  <c r="E47" i="32" s="1"/>
  <c r="F28" i="32" a="1"/>
  <c r="F28" i="32" s="1"/>
  <c r="F16" i="32" a="1"/>
  <c r="F16" i="32" s="1"/>
  <c r="F38" i="32" a="1"/>
  <c r="F38" i="32" s="1"/>
  <c r="AQ1" i="73" a="1"/>
  <c r="AQ1" i="73" s="1"/>
  <c r="BO26" i="73" a="1"/>
  <c r="BO26" i="73" s="1"/>
  <c r="BP26" i="73" s="1"/>
  <c r="BO15" i="73" a="1"/>
  <c r="BO15" i="73" s="1"/>
  <c r="BP15" i="73" s="1"/>
  <c r="BO25" i="73" a="1"/>
  <c r="BO25" i="73" s="1"/>
  <c r="BP25" i="73" s="1"/>
  <c r="BO21" i="73" a="1"/>
  <c r="BO21" i="73" s="1"/>
  <c r="BP21" i="73" s="1"/>
  <c r="BO20" i="73" a="1"/>
  <c r="BO20" i="73" s="1"/>
  <c r="BQ20" i="73" s="1"/>
  <c r="BR20" i="73" s="1"/>
  <c r="BO19" i="73" a="1"/>
  <c r="BO19" i="73" s="1"/>
  <c r="BP19" i="73" s="1"/>
  <c r="BO24" i="73" a="1"/>
  <c r="BO24" i="73" s="1"/>
  <c r="BP24" i="73" s="1"/>
  <c r="BO23" i="73" a="1"/>
  <c r="BO23" i="73" s="1"/>
  <c r="BP23" i="73" s="1"/>
  <c r="BO22" i="73" a="1"/>
  <c r="BO22" i="73" s="1"/>
  <c r="BP22" i="73" s="1"/>
  <c r="BO18" i="73" a="1"/>
  <c r="BO18" i="73" s="1"/>
  <c r="BQ18" i="73" s="1"/>
  <c r="BR18" i="73" s="1"/>
  <c r="BO17" i="73" a="1"/>
  <c r="BO17" i="73" s="1"/>
  <c r="BP17" i="73" s="1"/>
  <c r="CM31" i="73" a="1"/>
  <c r="CM31" i="73" s="1"/>
  <c r="BO16" i="73" a="1"/>
  <c r="BO16" i="73" s="1"/>
  <c r="BQ16" i="73" s="1"/>
  <c r="BR16" i="73" s="1"/>
  <c r="BP10" i="73"/>
  <c r="CC31" i="73" a="1"/>
  <c r="CC31" i="73" s="1"/>
  <c r="BO31" i="73" a="1"/>
  <c r="BO31" i="73" s="1"/>
  <c r="BP31" i="73" a="1"/>
  <c r="BP31" i="73" s="1"/>
  <c r="BR31" i="73" a="1"/>
  <c r="BR31" i="73" s="1"/>
  <c r="BS31" i="73" a="1"/>
  <c r="BS31" i="73" s="1"/>
  <c r="AI81" i="29"/>
  <c r="CX31" i="72" a="1"/>
  <c r="CX31" i="72" s="1"/>
  <c r="CY31" i="72" a="1"/>
  <c r="CC31" i="72" a="1"/>
  <c r="CC31" i="72" s="1"/>
  <c r="AQ1" i="72" a="1"/>
  <c r="F19" i="32" a="1"/>
  <c r="F19" i="32" s="1"/>
  <c r="F35" i="32" a="1"/>
  <c r="F35" i="32" s="1"/>
  <c r="F45" i="32" a="1"/>
  <c r="F45" i="32" s="1"/>
  <c r="F36" i="32" a="1"/>
  <c r="F36" i="32" s="1"/>
  <c r="F46" i="32" a="1"/>
  <c r="F46" i="32" s="1"/>
  <c r="F17" i="32" a="1"/>
  <c r="F17" i="32" s="1"/>
  <c r="F39" i="32" a="1"/>
  <c r="F39" i="32" s="1"/>
  <c r="F31" i="32" a="1"/>
  <c r="F31" i="32" s="1"/>
  <c r="Z46" i="6" a="1"/>
  <c r="Z46" i="6" s="1"/>
  <c r="AF46" i="6" s="1"/>
  <c r="AL6" i="71" a="1"/>
  <c r="AL6" i="71" s="1"/>
  <c r="AQ6" i="71" a="1"/>
  <c r="AQ6" i="71" s="1"/>
  <c r="S6" i="61" a="1"/>
  <c r="S6" i="61" s="1"/>
  <c r="AN45" i="6" a="1"/>
  <c r="AN45" i="6" s="1"/>
  <c r="K1" i="2"/>
  <c r="BV31" i="72" a="1"/>
  <c r="BP16" i="72" a="1"/>
  <c r="BP16" i="72" s="1"/>
  <c r="BR15" i="72" a="1"/>
  <c r="BR15" i="72" s="1"/>
  <c r="BR26" i="72" a="1"/>
  <c r="BR26" i="72" s="1"/>
  <c r="BR25" i="72" a="1"/>
  <c r="BR25" i="72" s="1"/>
  <c r="BR24" i="72" a="1"/>
  <c r="BR24" i="72" s="1"/>
  <c r="BR23" i="72" a="1"/>
  <c r="BR23" i="72" s="1"/>
  <c r="BR22" i="72" a="1"/>
  <c r="BR22" i="72" s="1"/>
  <c r="BR21" i="72" a="1"/>
  <c r="BR21" i="72" s="1"/>
  <c r="BR20" i="72" a="1"/>
  <c r="BR20" i="72" s="1"/>
  <c r="BR19" i="72" a="1"/>
  <c r="BR19" i="72" s="1"/>
  <c r="BR18" i="72" a="1"/>
  <c r="BR18" i="72" s="1"/>
  <c r="BR17" i="72" a="1"/>
  <c r="BR17" i="72" s="1"/>
  <c r="BR16" i="72" a="1"/>
  <c r="BR16" i="72" s="1"/>
  <c r="BP15" i="72" a="1"/>
  <c r="BP15" i="72" s="1"/>
  <c r="BP26" i="72" a="1"/>
  <c r="BP26" i="72" s="1"/>
  <c r="BP25" i="72" a="1"/>
  <c r="BP25" i="72" s="1"/>
  <c r="BP24" i="72" a="1"/>
  <c r="BP24" i="72" s="1"/>
  <c r="BP23" i="72" a="1"/>
  <c r="BP23" i="72" s="1"/>
  <c r="BP22" i="72" a="1"/>
  <c r="BP22" i="72" s="1"/>
  <c r="BP21" i="72" a="1"/>
  <c r="BP21" i="72" s="1"/>
  <c r="BP20" i="72" a="1"/>
  <c r="BP20" i="72" s="1"/>
  <c r="BP19" i="72" a="1"/>
  <c r="BP19" i="72" s="1"/>
  <c r="BP18" i="72" a="1"/>
  <c r="BP18" i="72" s="1"/>
  <c r="BP17" i="72" a="1"/>
  <c r="BP17" i="72" s="1"/>
  <c r="BP6" i="72" a="1"/>
  <c r="BP6" i="72" s="1"/>
  <c r="D77" i="32"/>
  <c r="K44" i="68" a="1"/>
  <c r="K44" i="68" s="1"/>
  <c r="N46" i="68" a="1"/>
  <c r="N46" i="68" s="1"/>
  <c r="N18" i="68" a="1"/>
  <c r="N18" i="68" s="1"/>
  <c r="N50" i="68" a="1"/>
  <c r="N50" i="68" s="1"/>
  <c r="BD22" i="34" a="1"/>
  <c r="BD22" i="34" s="1"/>
  <c r="C27" i="40"/>
  <c r="D46" i="68" a="1"/>
  <c r="D46" i="68" s="1"/>
  <c r="S11" i="61" a="1"/>
  <c r="S11" i="61" s="1"/>
  <c r="O18" i="68" a="1"/>
  <c r="O18" i="68" s="1"/>
  <c r="AY6" i="71" a="1"/>
  <c r="AY6" i="71" s="1"/>
  <c r="O51" i="68" a="1"/>
  <c r="O51" i="68" s="1"/>
  <c r="BB6" i="71" a="1"/>
  <c r="BB6" i="71" s="1"/>
  <c r="H46" i="68" a="1"/>
  <c r="H46" i="68" s="1"/>
  <c r="K52" i="68" a="1"/>
  <c r="K52" i="68" s="1"/>
  <c r="N52" i="68" a="1"/>
  <c r="N52" i="68" s="1"/>
  <c r="AR6" i="71" a="1"/>
  <c r="AR6" i="71" s="1"/>
  <c r="E69" i="32"/>
  <c r="O6" i="71" a="1"/>
  <c r="O6" i="71" s="1"/>
  <c r="AS6" i="71" a="1"/>
  <c r="AS6" i="71" s="1"/>
  <c r="Q6" i="71" a="1"/>
  <c r="Q6" i="71" s="1"/>
  <c r="AW6" i="71" a="1"/>
  <c r="AW6" i="71" s="1"/>
  <c r="H18" i="68" a="1"/>
  <c r="H18" i="68" s="1"/>
  <c r="J3" i="29"/>
  <c r="AD2" i="61"/>
  <c r="AI3" i="29"/>
  <c r="S8" i="61" a="1"/>
  <c r="S8" i="61" s="1"/>
  <c r="J81" i="29"/>
  <c r="W43" i="13"/>
  <c r="X43" i="13" s="1"/>
  <c r="R43" i="10"/>
  <c r="H30" i="10"/>
  <c r="H34" i="10" s="1"/>
  <c r="W43" i="10" s="1"/>
  <c r="X44" i="13"/>
  <c r="O38" i="68" a="1"/>
  <c r="O38" i="68" s="1"/>
  <c r="N42" i="68" a="1"/>
  <c r="N42" i="68" s="1"/>
  <c r="CG31" i="72" a="1"/>
  <c r="CG31" i="72" s="1"/>
  <c r="CE31" i="72" s="1" a="1"/>
  <c r="CE31" i="72" s="1"/>
  <c r="BW31" i="72" a="1"/>
  <c r="BW31" i="72" s="1"/>
  <c r="BR31" i="72" s="1" a="1"/>
  <c r="BS31" i="72" a="1"/>
  <c r="BS31" i="72" s="1"/>
  <c r="BY31" i="72" s="1" a="1"/>
  <c r="BY31" i="72" s="1"/>
  <c r="H1" i="3"/>
  <c r="I1" i="3" s="1"/>
  <c r="K1" i="3" s="1"/>
  <c r="BQ31" i="72" a="1"/>
  <c r="BQ31" i="72" s="1"/>
  <c r="BP31" i="72" a="1"/>
  <c r="BP31" i="72" s="1"/>
  <c r="BP9" i="72" a="1"/>
  <c r="BP9" i="72" s="1"/>
  <c r="BP7" i="72" a="1"/>
  <c r="BP7" i="72" s="1"/>
  <c r="BQ7" i="72" s="1"/>
  <c r="F59" i="32" a="1"/>
  <c r="F59" i="32" s="1"/>
  <c r="I38" i="68" a="1"/>
  <c r="I38" i="68" s="1"/>
  <c r="N38" i="68" a="1"/>
  <c r="N38" i="68" s="1"/>
  <c r="F60" i="32" a="1"/>
  <c r="F60" i="32" s="1"/>
  <c r="O40" i="68" a="1"/>
  <c r="O40" i="68" s="1"/>
  <c r="I39" i="68" a="1"/>
  <c r="I39" i="68" s="1"/>
  <c r="O42" i="68" a="1"/>
  <c r="O42" i="68" s="1"/>
  <c r="F57" i="32" a="1"/>
  <c r="F57" i="32" s="1"/>
  <c r="H42" i="68" a="1"/>
  <c r="H42" i="68" s="1"/>
  <c r="N39" i="68" a="1"/>
  <c r="N39" i="68" s="1"/>
  <c r="C39" i="68" a="1"/>
  <c r="C39" i="68" s="1"/>
  <c r="D39" i="68" a="1"/>
  <c r="D39" i="68" s="1"/>
  <c r="H103" i="40"/>
  <c r="E57" i="32" a="1"/>
  <c r="E57" i="32" s="1"/>
  <c r="AO6" i="71" a="1"/>
  <c r="AO6" i="71" s="1"/>
  <c r="E59" i="32" a="1"/>
  <c r="E59" i="32" s="1"/>
  <c r="H40" i="68" a="1"/>
  <c r="H40" i="68" s="1"/>
  <c r="F61" i="32" a="1"/>
  <c r="F61" i="32" s="1"/>
  <c r="F58" i="32" a="1"/>
  <c r="F58" i="32" s="1"/>
  <c r="N40" i="68" a="1"/>
  <c r="N40" i="68" s="1"/>
  <c r="G65" i="40"/>
  <c r="G11" i="40" s="1"/>
  <c r="G35" i="40" s="1"/>
  <c r="G103" i="40"/>
  <c r="E65" i="40"/>
  <c r="E11" i="40" s="1"/>
  <c r="E35" i="40" s="1"/>
  <c r="E61" i="32" a="1"/>
  <c r="E61" i="32" s="1"/>
  <c r="C40" i="68" a="1"/>
  <c r="C40" i="68" s="1"/>
  <c r="C38" i="68" a="1"/>
  <c r="C38" i="68" s="1"/>
  <c r="E56" i="32" a="1"/>
  <c r="E56" i="32" s="1"/>
  <c r="J38" i="68" a="1"/>
  <c r="J38" i="68" s="1"/>
  <c r="F42" i="68" a="1"/>
  <c r="F42" i="68" s="1"/>
  <c r="F103" i="32"/>
  <c r="F47" i="32" a="1"/>
  <c r="F47" i="32" s="1"/>
  <c r="F91" i="32"/>
  <c r="AM6" i="71" a="1"/>
  <c r="AM6" i="71" s="1"/>
  <c r="J65" i="40"/>
  <c r="J11" i="40" s="1"/>
  <c r="M103" i="40"/>
  <c r="M65" i="40"/>
  <c r="M11" i="40" s="1"/>
  <c r="K65" i="40"/>
  <c r="K11" i="40" s="1"/>
  <c r="C25" i="40"/>
  <c r="O65" i="40"/>
  <c r="O11" i="40" s="1"/>
  <c r="E46" i="68" a="1"/>
  <c r="E46" i="68" s="1"/>
  <c r="E40" i="68" a="1"/>
  <c r="E40" i="68" s="1"/>
  <c r="E51" i="68" a="1"/>
  <c r="E51" i="68" s="1"/>
  <c r="E44" i="68" a="1"/>
  <c r="E44" i="68" s="1"/>
  <c r="E52" i="68" a="1"/>
  <c r="E52" i="68" s="1"/>
  <c r="E55" i="68" a="1"/>
  <c r="E55" i="68" s="1"/>
  <c r="E50" i="68" a="1"/>
  <c r="E50" i="68" s="1"/>
  <c r="E39" i="68" a="1"/>
  <c r="E39" i="68" s="1"/>
  <c r="D55" i="68" a="1"/>
  <c r="D55" i="68" s="1"/>
  <c r="E18" i="68" a="1"/>
  <c r="E18" i="68" s="1"/>
  <c r="E42" i="68" a="1"/>
  <c r="E42" i="68" s="1"/>
  <c r="E38" i="68" a="1"/>
  <c r="E38" i="68" s="1"/>
  <c r="N65" i="40"/>
  <c r="N11" i="40" s="1"/>
  <c r="G51" i="68" a="1"/>
  <c r="G51" i="68" s="1"/>
  <c r="G44" i="68" a="1"/>
  <c r="G44" i="68" s="1"/>
  <c r="G55" i="68" a="1"/>
  <c r="G55" i="68" s="1"/>
  <c r="G42" i="68" a="1"/>
  <c r="G42" i="68" s="1"/>
  <c r="G52" i="68" a="1"/>
  <c r="G52" i="68" s="1"/>
  <c r="G38" i="68" a="1"/>
  <c r="G38" i="68" s="1"/>
  <c r="G50" i="68" a="1"/>
  <c r="G50" i="68" s="1"/>
  <c r="G39" i="68" a="1"/>
  <c r="G39" i="68" s="1"/>
  <c r="G18" i="68" a="1"/>
  <c r="G18" i="68" s="1"/>
  <c r="G46" i="68" a="1"/>
  <c r="G46" i="68" s="1"/>
  <c r="G40" i="68" a="1"/>
  <c r="G40" i="68" s="1"/>
  <c r="F65" i="40"/>
  <c r="F11" i="40" s="1"/>
  <c r="F35" i="40" s="1"/>
  <c r="F103" i="40"/>
  <c r="I65" i="40"/>
  <c r="I11" i="40" s="1"/>
  <c r="M52" i="68" a="1"/>
  <c r="M52" i="68" s="1"/>
  <c r="M38" i="68" a="1"/>
  <c r="M38" i="68" s="1"/>
  <c r="M51" i="68" a="1"/>
  <c r="M51" i="68" s="1"/>
  <c r="M46" i="68" a="1"/>
  <c r="M46" i="68" s="1"/>
  <c r="M39" i="68" a="1"/>
  <c r="M39" i="68" s="1"/>
  <c r="M42" i="68" a="1"/>
  <c r="M42" i="68" s="1"/>
  <c r="M40" i="68" a="1"/>
  <c r="M40" i="68" s="1"/>
  <c r="M44" i="68" a="1"/>
  <c r="M44" i="68" s="1"/>
  <c r="M18" i="68" a="1"/>
  <c r="M18" i="68" s="1"/>
  <c r="L51" i="68" a="1"/>
  <c r="L51" i="68" s="1"/>
  <c r="M55" i="68" a="1"/>
  <c r="M55" i="68" s="1"/>
  <c r="M50" i="68" a="1"/>
  <c r="M50" i="68" s="1"/>
  <c r="C18" i="68" a="1"/>
  <c r="C18" i="68" s="1"/>
  <c r="J18" i="68" a="1"/>
  <c r="J18" i="68" s="1"/>
  <c r="D38" i="68" a="1"/>
  <c r="D38" i="68" s="1"/>
  <c r="F40" i="68" a="1"/>
  <c r="F40" i="68" s="1"/>
  <c r="I51" i="68" a="1"/>
  <c r="I51" i="68" s="1"/>
  <c r="H52" i="68" a="1"/>
  <c r="H52" i="68" s="1"/>
  <c r="K55" i="68" a="1"/>
  <c r="K55" i="68" s="1"/>
  <c r="F69" i="32"/>
  <c r="L55" i="68" a="1"/>
  <c r="L55" i="68" s="1"/>
  <c r="C18" i="40"/>
  <c r="H65" i="40"/>
  <c r="H11" i="40" s="1"/>
  <c r="H35" i="40" s="1"/>
  <c r="C44" i="68" a="1"/>
  <c r="C44" i="68" s="1"/>
  <c r="C43" i="68" s="1"/>
  <c r="D40" i="68" a="1"/>
  <c r="D40" i="68" s="1"/>
  <c r="C55" i="68" a="1"/>
  <c r="C55" i="68" s="1"/>
  <c r="S33" i="68"/>
  <c r="S47" i="68" s="1"/>
  <c r="D52" i="68" a="1"/>
  <c r="D52" i="68" s="1"/>
  <c r="V43" i="68"/>
  <c r="S43" i="68"/>
  <c r="D45" i="68" a="1"/>
  <c r="D45" i="68" s="1"/>
  <c r="D44" i="68" a="1"/>
  <c r="D44" i="68" s="1"/>
  <c r="D17" i="68" a="1"/>
  <c r="D17" i="68" s="1"/>
  <c r="D18" i="68" a="1"/>
  <c r="D18" i="68" s="1"/>
  <c r="K18" i="68" a="1"/>
  <c r="K18" i="68" s="1"/>
  <c r="K39" i="68" a="1"/>
  <c r="K39" i="68" s="1"/>
  <c r="J44" i="68" a="1"/>
  <c r="J44" i="68" s="1"/>
  <c r="F64" i="32"/>
  <c r="F39" i="68" a="1"/>
  <c r="F39" i="68" s="1"/>
  <c r="F46" i="68" a="1"/>
  <c r="F46" i="68" s="1"/>
  <c r="F18" i="68" a="1"/>
  <c r="F18" i="68" s="1"/>
  <c r="F52" i="68" a="1"/>
  <c r="F52" i="68" s="1"/>
  <c r="F50" i="68" a="1"/>
  <c r="F50" i="68" s="1"/>
  <c r="F55" i="68" a="1"/>
  <c r="F55" i="68" s="1"/>
  <c r="L52" i="68" a="1"/>
  <c r="L52" i="68" s="1"/>
  <c r="O55" i="68" a="1"/>
  <c r="O55" i="68" s="1"/>
  <c r="I46" i="68" a="1"/>
  <c r="I46" i="68" s="1"/>
  <c r="C28" i="40"/>
  <c r="L65" i="40"/>
  <c r="L11" i="40" s="1"/>
  <c r="L35" i="40" s="1"/>
  <c r="H38" i="68" a="1"/>
  <c r="H38" i="68" s="1"/>
  <c r="H50" i="68" a="1"/>
  <c r="H50" i="68" s="1"/>
  <c r="H51" i="68" a="1"/>
  <c r="H51" i="68" s="1"/>
  <c r="H44" i="68" a="1"/>
  <c r="H44" i="68" s="1"/>
  <c r="K42" i="68" a="1"/>
  <c r="K42" i="68" s="1"/>
  <c r="D50" i="68" a="1"/>
  <c r="D50" i="68" s="1"/>
  <c r="E64" i="32"/>
  <c r="I44" i="68" a="1"/>
  <c r="I44" i="68" s="1"/>
  <c r="I55" i="68" a="1"/>
  <c r="I55" i="68" s="1"/>
  <c r="I42" i="68" a="1"/>
  <c r="I42" i="68" s="1"/>
  <c r="I40" i="68" a="1"/>
  <c r="I40" i="68" s="1"/>
  <c r="I52" i="68" a="1"/>
  <c r="I52" i="68" s="1"/>
  <c r="O52" i="68" a="1"/>
  <c r="O52" i="68" s="1"/>
  <c r="J40" i="68" a="1"/>
  <c r="J40" i="68" s="1"/>
  <c r="J46" i="68" a="1"/>
  <c r="J46" i="68" s="1"/>
  <c r="J39" i="68" a="1"/>
  <c r="J39" i="68" s="1"/>
  <c r="J52" i="68" a="1"/>
  <c r="J52" i="68" s="1"/>
  <c r="J51" i="68" a="1"/>
  <c r="J51" i="68" s="1"/>
  <c r="J55" i="68" a="1"/>
  <c r="J55" i="68" s="1"/>
  <c r="J42" i="68" a="1"/>
  <c r="J42" i="68" s="1"/>
  <c r="D51" i="68" a="1"/>
  <c r="D51" i="68" s="1"/>
  <c r="K46" i="68" a="1"/>
  <c r="K46" i="68" s="1"/>
  <c r="K40" i="68" a="1"/>
  <c r="K40" i="68" s="1"/>
  <c r="K38" i="68" a="1"/>
  <c r="K38" i="68" s="1"/>
  <c r="K51" i="68" a="1"/>
  <c r="K51" i="68" s="1"/>
  <c r="K50" i="68" a="1"/>
  <c r="K50" i="68" s="1"/>
  <c r="H55" i="68" a="1"/>
  <c r="H55" i="68" s="1"/>
  <c r="F104" i="32"/>
  <c r="L18" i="68" a="1"/>
  <c r="L18" i="68" s="1"/>
  <c r="L46" i="68" a="1"/>
  <c r="L46" i="68" s="1"/>
  <c r="L44" i="68" a="1"/>
  <c r="L44" i="68" s="1"/>
  <c r="L50" i="68" a="1"/>
  <c r="L50" i="68" s="1"/>
  <c r="L42" i="68" a="1"/>
  <c r="L42" i="68" s="1"/>
  <c r="L40" i="68" a="1"/>
  <c r="L40" i="68" s="1"/>
  <c r="I17" i="68" a="1"/>
  <c r="I17" i="68" s="1"/>
  <c r="I18" i="68" a="1"/>
  <c r="I18" i="68" s="1"/>
  <c r="L38" i="68" a="1"/>
  <c r="L38" i="68" s="1"/>
  <c r="H39" i="68" a="1"/>
  <c r="H39" i="68" s="1"/>
  <c r="F44" i="68" a="1"/>
  <c r="F44" i="68" s="1"/>
  <c r="I50" i="68" a="1"/>
  <c r="I50" i="68" s="1"/>
  <c r="F51" i="68" a="1"/>
  <c r="F51" i="68" s="1"/>
  <c r="J50" i="68" a="1"/>
  <c r="J50" i="68" s="1"/>
  <c r="E91" i="32"/>
  <c r="O44" i="68" a="1"/>
  <c r="O44" i="68" s="1"/>
  <c r="O50" i="68" a="1"/>
  <c r="O50" i="68" s="1"/>
  <c r="O39" i="68" a="1"/>
  <c r="O39" i="68" s="1"/>
  <c r="O46" i="68" a="1"/>
  <c r="O46" i="68" s="1"/>
  <c r="BC22" i="34" a="1"/>
  <c r="BC22" i="34" s="1"/>
  <c r="BR20" i="34" a="1"/>
  <c r="BR20" i="34" s="1"/>
  <c r="N55" i="68" a="1"/>
  <c r="N55" i="68" s="1"/>
  <c r="N44" i="68" a="1"/>
  <c r="N44" i="68" s="1"/>
  <c r="N51" i="68" a="1"/>
  <c r="N51" i="68" s="1"/>
  <c r="P5" i="53" a="1"/>
  <c r="P5" i="53" s="1"/>
  <c r="S10" i="61" a="1"/>
  <c r="S10" i="61" s="1"/>
  <c r="S7" i="61" a="1"/>
  <c r="S7" i="61" s="1"/>
  <c r="S9" i="61" a="1"/>
  <c r="S9" i="61" s="1"/>
  <c r="AE1" i="61"/>
  <c r="I81" i="29"/>
  <c r="U81" i="29" s="1"/>
  <c r="I33" i="13" a="1"/>
  <c r="I33" i="13" s="1"/>
  <c r="W34" i="81" s="1"/>
  <c r="I34" i="13" a="1"/>
  <c r="I34" i="13" s="1"/>
  <c r="W35" i="81" s="1"/>
  <c r="R44" i="10" a="1"/>
  <c r="R44" i="10" s="1"/>
  <c r="Q44" i="10" a="1"/>
  <c r="Q44" i="10" s="1"/>
  <c r="W44" i="10" s="1"/>
  <c r="Z45" i="6"/>
  <c r="AF45" i="6" s="1"/>
  <c r="X46" i="13"/>
  <c r="I31" i="13"/>
  <c r="T34" i="81" s="1"/>
  <c r="Z1" i="35"/>
  <c r="K1" i="55"/>
  <c r="I3" i="48"/>
  <c r="S56" i="68" l="1" a="1"/>
  <c r="S56" i="68" s="1"/>
  <c r="AD6" i="29"/>
  <c r="AE6" i="29" s="1"/>
  <c r="AD22" i="29"/>
  <c r="AE22" i="29" s="1"/>
  <c r="AD55" i="29"/>
  <c r="AE55" i="29" s="1"/>
  <c r="AD56" i="29"/>
  <c r="AE56" i="29" s="1"/>
  <c r="AD24" i="29"/>
  <c r="AE24" i="29" s="1"/>
  <c r="AD18" i="29"/>
  <c r="AE18" i="29" s="1"/>
  <c r="AD50" i="29"/>
  <c r="AE50" i="29" s="1"/>
  <c r="AD42" i="29"/>
  <c r="AE42" i="29" s="1"/>
  <c r="AD23" i="29"/>
  <c r="AE23" i="29" s="1"/>
  <c r="AD31" i="29"/>
  <c r="AE31" i="29" s="1"/>
  <c r="AE47" i="29"/>
  <c r="AI47" i="29" s="1"/>
  <c r="AD47" i="29"/>
  <c r="AD30" i="29"/>
  <c r="AE30" i="29" s="1"/>
  <c r="AD16" i="29"/>
  <c r="AE16" i="29" s="1"/>
  <c r="M43" i="29"/>
  <c r="N43" i="29"/>
  <c r="M48" i="29"/>
  <c r="N48" i="29"/>
  <c r="M69" i="29"/>
  <c r="N69" i="29"/>
  <c r="M38" i="29"/>
  <c r="N38" i="29"/>
  <c r="M49" i="29"/>
  <c r="N49" i="29"/>
  <c r="M17" i="29"/>
  <c r="N17" i="29"/>
  <c r="M50" i="29"/>
  <c r="N50" i="29"/>
  <c r="M70" i="29"/>
  <c r="N70" i="29"/>
  <c r="M18" i="29"/>
  <c r="N18" i="29"/>
  <c r="M34" i="29"/>
  <c r="N34" i="29"/>
  <c r="M7" i="29"/>
  <c r="N7" i="29"/>
  <c r="M76" i="29"/>
  <c r="N76" i="29"/>
  <c r="M60" i="29"/>
  <c r="N60" i="29"/>
  <c r="M19" i="29"/>
  <c r="N19" i="29"/>
  <c r="M41" i="29"/>
  <c r="N41" i="29"/>
  <c r="M39" i="29"/>
  <c r="N39" i="29"/>
  <c r="M64" i="29"/>
  <c r="N64" i="29"/>
  <c r="M21" i="29"/>
  <c r="N21" i="29"/>
  <c r="M71" i="29"/>
  <c r="N71" i="29"/>
  <c r="M28" i="29"/>
  <c r="N28" i="29"/>
  <c r="M27" i="29"/>
  <c r="N27" i="29"/>
  <c r="M73" i="29"/>
  <c r="N73" i="29"/>
  <c r="M74" i="29"/>
  <c r="N74" i="29"/>
  <c r="M75" i="29"/>
  <c r="N75" i="29"/>
  <c r="M65" i="29"/>
  <c r="N65" i="29"/>
  <c r="M51" i="29"/>
  <c r="N51" i="29"/>
  <c r="M45" i="29"/>
  <c r="N45" i="29"/>
  <c r="M33" i="29"/>
  <c r="N33" i="29"/>
  <c r="M56" i="29"/>
  <c r="N56" i="29"/>
  <c r="M66" i="29"/>
  <c r="N66" i="29"/>
  <c r="M55" i="29"/>
  <c r="N55" i="29"/>
  <c r="M36" i="29"/>
  <c r="N36" i="29"/>
  <c r="M79" i="29"/>
  <c r="N79" i="29"/>
  <c r="M61" i="29"/>
  <c r="N61" i="29"/>
  <c r="M68" i="29"/>
  <c r="N68" i="29"/>
  <c r="M77" i="29"/>
  <c r="N77" i="29"/>
  <c r="M12" i="29"/>
  <c r="N12" i="29"/>
  <c r="M20" i="29"/>
  <c r="N20" i="29"/>
  <c r="M22" i="29"/>
  <c r="N22" i="29"/>
  <c r="M31" i="29"/>
  <c r="N31" i="29"/>
  <c r="M26" i="29"/>
  <c r="N26" i="29"/>
  <c r="M80" i="29"/>
  <c r="N80" i="29"/>
  <c r="M9" i="29"/>
  <c r="N9" i="29"/>
  <c r="M57" i="29"/>
  <c r="N57" i="29"/>
  <c r="M52" i="29"/>
  <c r="N52" i="29"/>
  <c r="M6" i="29"/>
  <c r="N6" i="29"/>
  <c r="M40" i="29"/>
  <c r="N40" i="29"/>
  <c r="M25" i="29"/>
  <c r="N25" i="29"/>
  <c r="M58" i="29"/>
  <c r="N58" i="29"/>
  <c r="M59" i="29"/>
  <c r="N59" i="29"/>
  <c r="M35" i="29"/>
  <c r="N35" i="29"/>
  <c r="M23" i="29"/>
  <c r="N23" i="29"/>
  <c r="M67" i="29"/>
  <c r="N67" i="29"/>
  <c r="M72" i="29"/>
  <c r="N72" i="29"/>
  <c r="M24" i="29"/>
  <c r="N24" i="29"/>
  <c r="M62" i="29"/>
  <c r="N62" i="29"/>
  <c r="M29" i="29"/>
  <c r="N29" i="29"/>
  <c r="M14" i="29"/>
  <c r="N14" i="29"/>
  <c r="M13" i="29"/>
  <c r="N13" i="29"/>
  <c r="M8" i="29"/>
  <c r="N8" i="29"/>
  <c r="M53" i="29"/>
  <c r="N53" i="29"/>
  <c r="M44" i="29"/>
  <c r="N44" i="29"/>
  <c r="M16" i="29"/>
  <c r="N16" i="29"/>
  <c r="M42" i="29"/>
  <c r="N42" i="29"/>
  <c r="M78" i="29"/>
  <c r="N78" i="29"/>
  <c r="M63" i="29"/>
  <c r="N63" i="29"/>
  <c r="M37" i="29"/>
  <c r="N37" i="29"/>
  <c r="M3" i="29"/>
  <c r="N3" i="29"/>
  <c r="M10" i="29"/>
  <c r="N10" i="29"/>
  <c r="M30" i="29"/>
  <c r="N30" i="29"/>
  <c r="M47" i="29"/>
  <c r="N47" i="29"/>
  <c r="M46" i="29"/>
  <c r="N46" i="29"/>
  <c r="M32" i="29"/>
  <c r="N32" i="29"/>
  <c r="M15" i="29"/>
  <c r="N15" i="29"/>
  <c r="M54" i="29"/>
  <c r="N54" i="29"/>
  <c r="AE4" i="61"/>
  <c r="AE5" i="61"/>
  <c r="AK18" i="29"/>
  <c r="AK17" i="29"/>
  <c r="AK6" i="29"/>
  <c r="AK22" i="29"/>
  <c r="AK16" i="29"/>
  <c r="AK23" i="29"/>
  <c r="AA61" i="29"/>
  <c r="AA58" i="29"/>
  <c r="G1" i="30"/>
  <c r="W29" i="29" s="1"/>
  <c r="R53" i="10" s="1"/>
  <c r="U53" i="10" s="1"/>
  <c r="V53" i="10" s="1"/>
  <c r="X25" i="59"/>
  <c r="X26" i="59"/>
  <c r="AI23" i="59"/>
  <c r="X23" i="59"/>
  <c r="X22" i="59"/>
  <c r="AI22" i="59"/>
  <c r="AA33" i="29"/>
  <c r="AA43" i="29"/>
  <c r="AA64" i="29"/>
  <c r="AA17" i="29"/>
  <c r="AA63" i="29"/>
  <c r="AA48" i="29"/>
  <c r="AA70" i="29"/>
  <c r="AA39" i="29"/>
  <c r="AA44" i="29"/>
  <c r="AA27" i="29"/>
  <c r="V34" i="68" a="1"/>
  <c r="V34" i="68" s="1"/>
  <c r="V33" i="68" s="1"/>
  <c r="V47" i="68" s="1"/>
  <c r="V48" i="68" s="1"/>
  <c r="O54" i="32" a="1"/>
  <c r="O54" i="32" s="1"/>
  <c r="O53" i="32" s="1"/>
  <c r="P54" i="32" a="1"/>
  <c r="P54" i="32" s="1"/>
  <c r="P53" i="32" s="1"/>
  <c r="P141" i="32" s="1"/>
  <c r="J78" i="32" a="1"/>
  <c r="J78" i="32" s="1"/>
  <c r="P78" i="32" a="1"/>
  <c r="P78" i="32" s="1"/>
  <c r="O78" i="32" a="1"/>
  <c r="O78" i="32" s="1"/>
  <c r="K78" i="32" a="1"/>
  <c r="K78" i="32" s="1"/>
  <c r="M5" i="29"/>
  <c r="Z44" i="6"/>
  <c r="AA44" i="6" s="1"/>
  <c r="AB44" i="6" s="1"/>
  <c r="AC44" i="6" s="1"/>
  <c r="AD44" i="6" s="1"/>
  <c r="AE44" i="6" s="1"/>
  <c r="AF44" i="6" s="1"/>
  <c r="AG44" i="6" s="1"/>
  <c r="AH44" i="6" s="1"/>
  <c r="AI44" i="6" s="1"/>
  <c r="AJ44" i="6" s="1"/>
  <c r="AK44" i="6" s="1"/>
  <c r="AL44" i="6" s="1"/>
  <c r="AM44" i="6" s="1"/>
  <c r="AN44" i="6" s="1"/>
  <c r="AK61" i="29"/>
  <c r="AK31" i="29"/>
  <c r="AK44" i="29"/>
  <c r="AK58" i="29"/>
  <c r="AK43" i="29"/>
  <c r="AK48" i="29"/>
  <c r="AK70" i="29"/>
  <c r="AK55" i="29"/>
  <c r="AK42" i="29"/>
  <c r="AK56" i="29"/>
  <c r="AK39" i="29"/>
  <c r="AK50" i="29"/>
  <c r="AK63" i="29"/>
  <c r="AK33" i="29"/>
  <c r="AK27" i="29"/>
  <c r="AK30" i="29"/>
  <c r="AK47" i="29"/>
  <c r="AK24" i="29"/>
  <c r="AK64" i="29"/>
  <c r="AT24" i="59" a="1"/>
  <c r="AT24" i="59" s="1"/>
  <c r="AU24" i="59" s="1"/>
  <c r="AT23" i="59" a="1"/>
  <c r="AT23" i="59" s="1"/>
  <c r="AU23" i="59" s="1"/>
  <c r="M1" i="2"/>
  <c r="W41" i="29"/>
  <c r="R57" i="10" s="1"/>
  <c r="U57" i="10" s="1"/>
  <c r="V57" i="10" s="1"/>
  <c r="W11" i="29"/>
  <c r="R47" i="10" s="1"/>
  <c r="U47" i="10" s="1"/>
  <c r="V47" i="10" s="1"/>
  <c r="W67" i="29"/>
  <c r="R60" i="10" s="1"/>
  <c r="U60" i="10" s="1"/>
  <c r="V60" i="10" s="1"/>
  <c r="W13" i="29"/>
  <c r="R48" i="10" s="1"/>
  <c r="U48" i="10" s="1"/>
  <c r="V48" i="10" s="1"/>
  <c r="W25" i="29"/>
  <c r="R52" i="10" s="1"/>
  <c r="U52" i="10" s="1"/>
  <c r="V52" i="10" s="1"/>
  <c r="W78" i="29"/>
  <c r="M11" i="29"/>
  <c r="M24" i="58"/>
  <c r="G24" i="58"/>
  <c r="L24" i="58"/>
  <c r="H24" i="58"/>
  <c r="G25" i="58"/>
  <c r="H25" i="58"/>
  <c r="L25" i="58"/>
  <c r="O23" i="68" a="1"/>
  <c r="O23" i="68" s="1"/>
  <c r="L23" i="68" a="1"/>
  <c r="L23" i="68" s="1"/>
  <c r="E23" i="68" a="1"/>
  <c r="E23" i="68" s="1"/>
  <c r="F13" i="68" a="1"/>
  <c r="F13" i="68" s="1"/>
  <c r="V23" i="68" a="1"/>
  <c r="V23" i="68" s="1"/>
  <c r="F23" i="68" a="1"/>
  <c r="F23" i="68" s="1"/>
  <c r="E13" i="68" a="1"/>
  <c r="E13" i="68" s="1"/>
  <c r="I23" i="68" a="1"/>
  <c r="I23" i="68" s="1"/>
  <c r="J13" i="68" a="1"/>
  <c r="J13" i="68" s="1"/>
  <c r="J24" i="32" a="1"/>
  <c r="J24" i="32" s="1"/>
  <c r="C23" i="68" a="1"/>
  <c r="C23" i="68" s="1"/>
  <c r="S23" i="68" a="1"/>
  <c r="S23" i="68" s="1"/>
  <c r="O13" i="32" a="1"/>
  <c r="O13" i="32" s="1"/>
  <c r="K24" i="32" a="1"/>
  <c r="K24" i="32" s="1"/>
  <c r="O15" i="32" a="1"/>
  <c r="O15" i="32" s="1"/>
  <c r="O34" i="32" a="1"/>
  <c r="O34" i="32" s="1"/>
  <c r="G23" i="68" a="1"/>
  <c r="G23" i="68" s="1"/>
  <c r="P15" i="32" a="1"/>
  <c r="P15" i="32" s="1"/>
  <c r="P34" i="32" a="1"/>
  <c r="P34" i="32" s="1"/>
  <c r="V13" i="68" a="1"/>
  <c r="V13" i="68" s="1"/>
  <c r="G13" i="68" a="1"/>
  <c r="G13" i="68" s="1"/>
  <c r="K13" i="68" a="1"/>
  <c r="K13" i="68" s="1"/>
  <c r="J23" i="68" a="1"/>
  <c r="J23" i="68" s="1"/>
  <c r="O24" i="32" a="1"/>
  <c r="O24" i="32" s="1"/>
  <c r="D13" i="68" a="1"/>
  <c r="D13" i="68" s="1"/>
  <c r="I13" i="68" a="1"/>
  <c r="I13" i="68" s="1"/>
  <c r="L6" i="71" a="1"/>
  <c r="L6" i="71" s="1"/>
  <c r="K15" i="32" a="1"/>
  <c r="K15" i="32" s="1"/>
  <c r="N23" i="68" a="1"/>
  <c r="N23" i="68" s="1"/>
  <c r="M23" i="68" a="1"/>
  <c r="M23" i="68" s="1"/>
  <c r="V6" i="71" a="1"/>
  <c r="V6" i="71" s="1"/>
  <c r="K34" i="32" a="1"/>
  <c r="K34" i="32" s="1"/>
  <c r="N13" i="68" a="1"/>
  <c r="N13" i="68" s="1"/>
  <c r="H13" i="68" a="1"/>
  <c r="H13" i="68" s="1"/>
  <c r="M13" i="68" a="1"/>
  <c r="M13" i="68" s="1"/>
  <c r="K23" i="68" a="1"/>
  <c r="K23" i="68" s="1"/>
  <c r="P13" i="32" a="1"/>
  <c r="P13" i="32" s="1"/>
  <c r="J15" i="32" a="1"/>
  <c r="J15" i="32" s="1"/>
  <c r="H23" i="68" a="1"/>
  <c r="H23" i="68" s="1"/>
  <c r="D23" i="68" a="1"/>
  <c r="D23" i="68" s="1"/>
  <c r="P24" i="32" a="1"/>
  <c r="P24" i="32" s="1"/>
  <c r="J34" i="32" a="1"/>
  <c r="J34" i="32" s="1"/>
  <c r="L13" i="68" a="1"/>
  <c r="L13" i="68" s="1"/>
  <c r="BJ35" i="34" a="1"/>
  <c r="BJ35" i="34" s="1"/>
  <c r="BL36" i="34" a="1"/>
  <c r="BL36" i="34" s="1"/>
  <c r="BO36" i="34" s="1" a="1"/>
  <c r="BO36" i="34" s="1"/>
  <c r="BN36" i="34" s="1"/>
  <c r="BL35" i="34" a="1"/>
  <c r="BL35" i="34" s="1"/>
  <c r="BO35" i="34" s="1" a="1"/>
  <c r="BO35" i="34" s="1"/>
  <c r="BN35" i="34" s="1"/>
  <c r="BJ30" i="34" a="1"/>
  <c r="BJ30" i="34" s="1"/>
  <c r="BJ36" i="34" a="1"/>
  <c r="BJ36" i="34" s="1"/>
  <c r="BJ31" i="34" a="1"/>
  <c r="BJ31" i="34" s="1"/>
  <c r="BQ30" i="34" a="1"/>
  <c r="BQ30" i="34" s="1"/>
  <c r="BQ31" i="34" a="1"/>
  <c r="BQ31" i="34" s="1"/>
  <c r="BL30" i="34" a="1"/>
  <c r="BL30" i="34" s="1"/>
  <c r="BL31" i="34" a="1"/>
  <c r="BL31" i="34" s="1"/>
  <c r="BQ36" i="34" a="1"/>
  <c r="BQ36" i="34" s="1"/>
  <c r="BQ35" i="34" a="1"/>
  <c r="BQ35" i="34" s="1"/>
  <c r="BL26" i="34" a="1"/>
  <c r="BL26" i="34" s="1"/>
  <c r="BJ26" i="34" a="1"/>
  <c r="BJ26" i="34" s="1"/>
  <c r="BQ26" i="34" a="1"/>
  <c r="BQ26" i="34" s="1"/>
  <c r="N6" i="71" a="1"/>
  <c r="N6" i="71" s="1"/>
  <c r="BJ22" i="34" a="1"/>
  <c r="BJ22" i="34" s="1"/>
  <c r="J26" i="58" s="1"/>
  <c r="H26" i="58" s="1"/>
  <c r="BL25" i="34" a="1"/>
  <c r="BL25" i="34" s="1"/>
  <c r="BJ25" i="34" a="1"/>
  <c r="BJ25" i="34" s="1"/>
  <c r="BQ25" i="34" a="1"/>
  <c r="BQ25" i="34" s="1"/>
  <c r="BZ31" i="73" a="1"/>
  <c r="BZ31" i="73" s="1"/>
  <c r="C171" i="40" a="1"/>
  <c r="C171" i="40" s="1"/>
  <c r="F185" i="40" a="1"/>
  <c r="F185" i="40" s="1"/>
  <c r="F186" i="40" s="1"/>
  <c r="F43" i="40" s="1"/>
  <c r="G1" i="40"/>
  <c r="H1" i="40" s="1"/>
  <c r="K104" i="40"/>
  <c r="K17" i="40" s="1"/>
  <c r="O104" i="40"/>
  <c r="O17" i="40" s="1"/>
  <c r="I104" i="40"/>
  <c r="I17" i="40" s="1"/>
  <c r="F104" i="40"/>
  <c r="F17" i="40" s="1"/>
  <c r="H104" i="40"/>
  <c r="H17" i="40" s="1"/>
  <c r="E104" i="40"/>
  <c r="E17" i="40" s="1"/>
  <c r="N104" i="40"/>
  <c r="N17" i="40" s="1"/>
  <c r="M104" i="40"/>
  <c r="M17" i="40" s="1"/>
  <c r="G104" i="40"/>
  <c r="G17" i="40" s="1"/>
  <c r="L104" i="40"/>
  <c r="L17" i="40" s="1"/>
  <c r="J104" i="40"/>
  <c r="J17" i="40" s="1"/>
  <c r="P35" i="6" a="1"/>
  <c r="P35" i="6" s="1"/>
  <c r="Q34" i="81" s="1"/>
  <c r="S54" i="68" a="1"/>
  <c r="S54" i="68" s="1"/>
  <c r="H6" i="71" a="1"/>
  <c r="H6" i="71" s="1"/>
  <c r="K6" i="71" a="1"/>
  <c r="K6" i="71" s="1"/>
  <c r="C103" i="40" a="1"/>
  <c r="C103" i="40" s="1"/>
  <c r="C104" i="40" s="1"/>
  <c r="C55" i="40" a="1"/>
  <c r="C55" i="40" s="1"/>
  <c r="C64" i="40" a="1"/>
  <c r="C64" i="40" s="1"/>
  <c r="C70" i="40" a="1"/>
  <c r="C70" i="40" s="1"/>
  <c r="C60" i="40" a="1"/>
  <c r="C60" i="40" s="1"/>
  <c r="U6" i="71" a="1"/>
  <c r="U6" i="71" s="1"/>
  <c r="F42" i="32" a="1"/>
  <c r="F42" i="32" s="1"/>
  <c r="BL9" i="73"/>
  <c r="BF7" i="57"/>
  <c r="BF8" i="57"/>
  <c r="BA12" i="57"/>
  <c r="BA11" i="57"/>
  <c r="BA10" i="57"/>
  <c r="BA9" i="57"/>
  <c r="BA8" i="57"/>
  <c r="BA7" i="57"/>
  <c r="AQ7" i="57"/>
  <c r="AQ8" i="57"/>
  <c r="AQ9" i="57"/>
  <c r="CN31" i="73" a="1"/>
  <c r="CN31" i="73" s="1"/>
  <c r="BG9" i="73"/>
  <c r="BG10" i="73"/>
  <c r="BG11" i="73"/>
  <c r="BG14" i="73"/>
  <c r="BG13" i="73"/>
  <c r="BG12" i="73"/>
  <c r="CD31" i="73" a="1"/>
  <c r="CD31" i="73" s="1"/>
  <c r="CE31" i="73" s="1" a="1"/>
  <c r="CE31" i="73" s="1"/>
  <c r="AS10" i="73"/>
  <c r="AS9" i="73"/>
  <c r="F1" i="14"/>
  <c r="G1" i="14" s="1"/>
  <c r="H1" i="14" s="1"/>
  <c r="I1" i="14" s="1"/>
  <c r="H4" i="46"/>
  <c r="H2" i="46"/>
  <c r="P1" i="60"/>
  <c r="E42" i="32" a="1"/>
  <c r="E42" i="32" s="1"/>
  <c r="K42" i="32" a="1"/>
  <c r="K42" i="32" s="1"/>
  <c r="J42" i="32" a="1"/>
  <c r="J42" i="32" s="1"/>
  <c r="K18" i="32" a="1"/>
  <c r="K18" i="32" s="1"/>
  <c r="O27" i="68" a="1"/>
  <c r="O27" i="68" s="1"/>
  <c r="J18" i="32" a="1"/>
  <c r="J18" i="32" s="1"/>
  <c r="E18" i="32" a="1"/>
  <c r="E18" i="32" s="1"/>
  <c r="J30" i="32" a="1"/>
  <c r="J30" i="32" s="1"/>
  <c r="K30" i="32" a="1"/>
  <c r="K30" i="32" s="1"/>
  <c r="E30" i="32" a="1"/>
  <c r="E30" i="32" s="1"/>
  <c r="J37" i="32" a="1"/>
  <c r="J37" i="32" s="1"/>
  <c r="E37" i="32" a="1"/>
  <c r="E37" i="32" s="1"/>
  <c r="K37" i="32" a="1"/>
  <c r="K37" i="32" s="1"/>
  <c r="M22" i="68" a="1"/>
  <c r="M22" i="68" s="1"/>
  <c r="C15" i="68" a="1"/>
  <c r="C15" i="68" s="1"/>
  <c r="D15" i="68" a="1"/>
  <c r="D15" i="68" s="1"/>
  <c r="H15" i="68" a="1"/>
  <c r="H15" i="68" s="1"/>
  <c r="O15" i="68" a="1"/>
  <c r="O15" i="68" s="1"/>
  <c r="I15" i="68" a="1"/>
  <c r="I15" i="68" s="1"/>
  <c r="N15" i="68" a="1"/>
  <c r="N15" i="68" s="1"/>
  <c r="K15" i="68" a="1"/>
  <c r="K15" i="68" s="1"/>
  <c r="E15" i="68" a="1"/>
  <c r="E15" i="68" s="1"/>
  <c r="M15" i="68" a="1"/>
  <c r="M15" i="68" s="1"/>
  <c r="L15" i="68" a="1"/>
  <c r="L15" i="68" s="1"/>
  <c r="F15" i="68" a="1"/>
  <c r="F15" i="68" s="1"/>
  <c r="J15" i="68" a="1"/>
  <c r="J15" i="68" s="1"/>
  <c r="G15" i="68" a="1"/>
  <c r="G15" i="68" s="1"/>
  <c r="V22" i="68" a="1"/>
  <c r="V22" i="68" s="1"/>
  <c r="J22" i="68" a="1"/>
  <c r="J22" i="68" s="1"/>
  <c r="I22" i="68" a="1"/>
  <c r="I22" i="68" s="1"/>
  <c r="H22" i="68" a="1"/>
  <c r="H22" i="68" s="1"/>
  <c r="F22" i="68" a="1"/>
  <c r="F22" i="68" s="1"/>
  <c r="G22" i="68" a="1"/>
  <c r="G22" i="68" s="1"/>
  <c r="S15" i="68" a="1"/>
  <c r="S15" i="68" s="1"/>
  <c r="V15" i="68" a="1"/>
  <c r="V15" i="68" s="1"/>
  <c r="S22" i="68" a="1"/>
  <c r="S22" i="68" s="1"/>
  <c r="K22" i="68" a="1"/>
  <c r="K22" i="68" s="1"/>
  <c r="L22" i="68" a="1"/>
  <c r="L22" i="68" s="1"/>
  <c r="C22" i="68" a="1"/>
  <c r="C22" i="68" s="1"/>
  <c r="D22" i="68" a="1"/>
  <c r="D22" i="68" s="1"/>
  <c r="E22" i="68" a="1"/>
  <c r="E22" i="68" s="1"/>
  <c r="O22" i="68" a="1"/>
  <c r="O22" i="68" s="1"/>
  <c r="N22" i="68" a="1"/>
  <c r="N22" i="68" s="1"/>
  <c r="J43" i="32" a="1"/>
  <c r="J43" i="32" s="1"/>
  <c r="K43" i="32" a="1"/>
  <c r="K43" i="32" s="1"/>
  <c r="H4" i="65"/>
  <c r="K4" i="65" s="1" a="1"/>
  <c r="K4" i="65" s="1"/>
  <c r="O80" i="32"/>
  <c r="O108" i="32" a="1"/>
  <c r="O108" i="32" s="1"/>
  <c r="K8" i="32" a="1"/>
  <c r="K8" i="32" s="1"/>
  <c r="K10" i="32" s="1"/>
  <c r="J8" i="32" a="1"/>
  <c r="J8" i="32" s="1"/>
  <c r="J10" i="32" s="1"/>
  <c r="P108" i="32" a="1"/>
  <c r="P108" i="32" s="1"/>
  <c r="K108" i="32" a="1"/>
  <c r="K108" i="32" s="1"/>
  <c r="J108" i="32" a="1"/>
  <c r="J108" i="32" s="1"/>
  <c r="J160" i="32" s="1"/>
  <c r="O86" i="32"/>
  <c r="S28" i="68" a="1"/>
  <c r="S28" i="68" s="1"/>
  <c r="C28" i="68" a="1"/>
  <c r="C28" i="68" s="1"/>
  <c r="S49" i="68" a="1"/>
  <c r="S49" i="68" s="1"/>
  <c r="M12" i="68" a="1"/>
  <c r="M12" i="68" s="1"/>
  <c r="L12" i="68" a="1"/>
  <c r="L12" i="68" s="1"/>
  <c r="K12" i="68" a="1"/>
  <c r="K12" i="68" s="1"/>
  <c r="J12" i="68" a="1"/>
  <c r="J12" i="68" s="1"/>
  <c r="I12" i="68" a="1"/>
  <c r="I12" i="68" s="1"/>
  <c r="H12" i="68" a="1"/>
  <c r="H12" i="68" s="1"/>
  <c r="G12" i="68" a="1"/>
  <c r="G12" i="68" s="1"/>
  <c r="F12" i="68" a="1"/>
  <c r="F12" i="68" s="1"/>
  <c r="S12" i="68" a="1"/>
  <c r="S12" i="68" s="1"/>
  <c r="E12" i="68" a="1"/>
  <c r="E12" i="68" s="1"/>
  <c r="D12" i="68" a="1"/>
  <c r="D12" i="68" s="1"/>
  <c r="O12" i="68" a="1"/>
  <c r="O12" i="68" s="1"/>
  <c r="C12" i="68" a="1"/>
  <c r="C12" i="68" s="1"/>
  <c r="N12" i="68" a="1"/>
  <c r="N12" i="68" s="1"/>
  <c r="N9" i="68" a="1"/>
  <c r="N9" i="68" s="1"/>
  <c r="D9" i="68" a="1"/>
  <c r="D9" i="68" s="1"/>
  <c r="M9" i="68" a="1"/>
  <c r="M9" i="68" s="1"/>
  <c r="C9" i="68" a="1"/>
  <c r="C9" i="68" s="1"/>
  <c r="L9" i="68" a="1"/>
  <c r="L9" i="68" s="1"/>
  <c r="H9" i="68" a="1"/>
  <c r="H9" i="68" s="1"/>
  <c r="G9" i="68" a="1"/>
  <c r="G9" i="68" s="1"/>
  <c r="F9" i="68" a="1"/>
  <c r="F9" i="68" s="1"/>
  <c r="S9" i="68" a="1"/>
  <c r="S9" i="68" s="1"/>
  <c r="O9" i="68" a="1"/>
  <c r="O9" i="68" s="1"/>
  <c r="E9" i="68" a="1"/>
  <c r="E9" i="68" s="1"/>
  <c r="K9" i="68" a="1"/>
  <c r="K9" i="68" s="1"/>
  <c r="J9" i="68" a="1"/>
  <c r="J9" i="68" s="1"/>
  <c r="I9" i="68" a="1"/>
  <c r="I9" i="68" s="1"/>
  <c r="V9" i="68" a="1"/>
  <c r="V9" i="68" s="1"/>
  <c r="V5" i="68" a="1"/>
  <c r="V5" i="68" s="1"/>
  <c r="S5" i="68" a="1"/>
  <c r="S5" i="68" s="1"/>
  <c r="E108" i="32" a="1"/>
  <c r="E108" i="32" s="1"/>
  <c r="P84" i="32" a="1"/>
  <c r="P84" i="32" s="1"/>
  <c r="J84" i="32" a="1"/>
  <c r="J84" i="32" s="1"/>
  <c r="K84" i="32" a="1"/>
  <c r="K84" i="32" s="1"/>
  <c r="CO5" i="76" a="1"/>
  <c r="CO5" i="76" s="1"/>
  <c r="I5" i="68" a="1"/>
  <c r="I5" i="68" s="1"/>
  <c r="O26" i="32" a="1"/>
  <c r="O26" i="32" s="1"/>
  <c r="O7" i="32" a="1"/>
  <c r="O7" i="32" s="1"/>
  <c r="O6" i="32" a="1"/>
  <c r="O6" i="32" s="1"/>
  <c r="O162" i="32" s="1"/>
  <c r="J26" i="32" a="1"/>
  <c r="J26" i="32" s="1"/>
  <c r="J7" i="32" a="1"/>
  <c r="J7" i="32" s="1"/>
  <c r="J6" i="32" a="1"/>
  <c r="J6" i="32" s="1"/>
  <c r="J162" i="32" s="1"/>
  <c r="O9" i="32" a="1"/>
  <c r="O9" i="32" s="1"/>
  <c r="O41" i="32"/>
  <c r="F108" i="32" a="1"/>
  <c r="F108" i="32" s="1"/>
  <c r="F84" i="32" a="1"/>
  <c r="F84" i="32" s="1"/>
  <c r="AE29" i="61" a="1"/>
  <c r="AE29" i="61" s="1"/>
  <c r="AE24" i="61" a="1"/>
  <c r="AE24" i="61" s="1"/>
  <c r="P86" i="32"/>
  <c r="M81" i="29"/>
  <c r="K26" i="32" a="1"/>
  <c r="K26" i="32" s="1"/>
  <c r="BR11" i="76" a="1"/>
  <c r="BR11" i="76" s="1"/>
  <c r="F26" i="32" a="1"/>
  <c r="F26" i="32" s="1"/>
  <c r="E8" i="32" a="1"/>
  <c r="E8" i="32" s="1"/>
  <c r="P9" i="32" a="1"/>
  <c r="P9" i="32" s="1"/>
  <c r="BR7" i="76" a="1"/>
  <c r="BR7" i="76" s="1"/>
  <c r="E26" i="32" a="1"/>
  <c r="E26" i="32" s="1"/>
  <c r="P7" i="32" a="1"/>
  <c r="P7" i="32" s="1"/>
  <c r="BR12" i="76" a="1"/>
  <c r="BR12" i="76" s="1"/>
  <c r="K7" i="32" a="1"/>
  <c r="K7" i="32" s="1"/>
  <c r="BR13" i="76" a="1"/>
  <c r="BR13" i="76" s="1"/>
  <c r="BR5" i="76" a="1"/>
  <c r="BR5" i="76" s="1"/>
  <c r="BR9" i="76" a="1"/>
  <c r="BR9" i="76" s="1"/>
  <c r="P6" i="32" a="1"/>
  <c r="P6" i="32" s="1"/>
  <c r="P162" i="32" s="1"/>
  <c r="BR14" i="76" a="1"/>
  <c r="BR14" i="76" s="1"/>
  <c r="BR6" i="76" a="1"/>
  <c r="BR6" i="76" s="1"/>
  <c r="K6" i="32" a="1"/>
  <c r="K6" i="32" s="1"/>
  <c r="K162" i="32" s="1"/>
  <c r="BR15" i="76" a="1"/>
  <c r="BR15" i="76" s="1"/>
  <c r="BR16" i="76" a="1"/>
  <c r="BR16" i="76" s="1"/>
  <c r="BR8" i="76" a="1"/>
  <c r="BR8" i="76" s="1"/>
  <c r="P26" i="32" a="1"/>
  <c r="P26" i="32" s="1"/>
  <c r="F8" i="32" a="1"/>
  <c r="F8" i="32" s="1"/>
  <c r="BR10" i="76" a="1"/>
  <c r="BR10" i="76" s="1"/>
  <c r="Z5" i="61"/>
  <c r="I4" i="65"/>
  <c r="BI22" i="57"/>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C23" i="49" a="1"/>
  <c r="AC23" i="49" s="1"/>
  <c r="AD23" i="49" s="1" a="1"/>
  <c r="AD23" i="49" s="1"/>
  <c r="D97" i="32" a="1"/>
  <c r="D97" i="32" s="1"/>
  <c r="D95" i="32" s="1"/>
  <c r="D90" i="32" s="1"/>
  <c r="M153" i="40" a="1"/>
  <c r="M153" i="40" s="1"/>
  <c r="M29" i="40" s="1"/>
  <c r="G153" i="40" a="1"/>
  <c r="G153" i="40" s="1"/>
  <c r="G29" i="40" s="1"/>
  <c r="O153" i="40" a="1"/>
  <c r="O153" i="40" s="1"/>
  <c r="O29" i="40" s="1"/>
  <c r="D153" i="40" a="1"/>
  <c r="D153" i="40" s="1"/>
  <c r="D29" i="40" s="1"/>
  <c r="L153" i="40" a="1"/>
  <c r="L153" i="40" s="1"/>
  <c r="L29" i="40" s="1"/>
  <c r="E153" i="40" a="1"/>
  <c r="E153" i="40" s="1"/>
  <c r="E29" i="40" s="1"/>
  <c r="H153" i="40" a="1"/>
  <c r="H153" i="40" s="1"/>
  <c r="H29" i="40" s="1"/>
  <c r="F153" i="40" a="1"/>
  <c r="F153" i="40" s="1"/>
  <c r="F29" i="40" s="1"/>
  <c r="N153" i="40" a="1"/>
  <c r="N153" i="40" s="1"/>
  <c r="N29" i="40" s="1"/>
  <c r="K153" i="40" a="1"/>
  <c r="K153" i="40" s="1"/>
  <c r="K29" i="40" s="1"/>
  <c r="J153" i="40" a="1"/>
  <c r="J153" i="40" s="1"/>
  <c r="J29" i="40" s="1"/>
  <c r="AG46" i="6"/>
  <c r="AJ46" i="6" s="1"/>
  <c r="AH46" i="6" s="1"/>
  <c r="AI46" i="6" s="1"/>
  <c r="E97" i="32" a="1"/>
  <c r="E97" i="32" s="1"/>
  <c r="I153" i="40" a="1"/>
  <c r="I153" i="40" s="1"/>
  <c r="I29" i="40" s="1"/>
  <c r="P95" i="32"/>
  <c r="P90" i="32" s="1"/>
  <c r="E6" i="32" a="1"/>
  <c r="E6" i="32" s="1"/>
  <c r="E162" i="32" s="1"/>
  <c r="D102" i="32"/>
  <c r="D109" i="32"/>
  <c r="CD31" i="72" a="1"/>
  <c r="CD31" i="72" s="1"/>
  <c r="BB3" i="72" s="1"/>
  <c r="BC3" i="72" s="1"/>
  <c r="AT22" i="59" a="1"/>
  <c r="AT22" i="59" s="1"/>
  <c r="O37" i="68"/>
  <c r="I37" i="68"/>
  <c r="Q43" i="10"/>
  <c r="U43" i="10" s="1"/>
  <c r="H33" i="10" s="1"/>
  <c r="G17" i="68" a="1"/>
  <c r="G17" i="68" s="1"/>
  <c r="N17" i="68" a="1"/>
  <c r="N17" i="68" s="1"/>
  <c r="E17" i="68" a="1"/>
  <c r="E17" i="68" s="1"/>
  <c r="BF6" i="57"/>
  <c r="BA6" i="57"/>
  <c r="BS24" i="57"/>
  <c r="BM24" i="57"/>
  <c r="AQ6" i="57"/>
  <c r="BQ24" i="57"/>
  <c r="BN25" i="57"/>
  <c r="BN22" i="57" s="1"/>
  <c r="K17" i="68" a="1"/>
  <c r="K17" i="68" s="1"/>
  <c r="L17" i="68" a="1"/>
  <c r="L17" i="68" s="1"/>
  <c r="CA28" i="76"/>
  <c r="BY28" i="76"/>
  <c r="CA26" i="76"/>
  <c r="BY26" i="76"/>
  <c r="CA23" i="76"/>
  <c r="BY23" i="76"/>
  <c r="CA31" i="76"/>
  <c r="BY31" i="76"/>
  <c r="CA25" i="76"/>
  <c r="BY25" i="76"/>
  <c r="CA27" i="76"/>
  <c r="BY27" i="76"/>
  <c r="CA30" i="76"/>
  <c r="BY30" i="76"/>
  <c r="CA33" i="76"/>
  <c r="BY33" i="76"/>
  <c r="CA29" i="76"/>
  <c r="BY29" i="76"/>
  <c r="CA32" i="76"/>
  <c r="BY32" i="76"/>
  <c r="CA22" i="76"/>
  <c r="BY22" i="76"/>
  <c r="CA24" i="76"/>
  <c r="BY24" i="76"/>
  <c r="H17" i="68" a="1"/>
  <c r="H17" i="68" s="1"/>
  <c r="F17" i="68" a="1"/>
  <c r="F17" i="68" s="1"/>
  <c r="M17" i="68" a="1"/>
  <c r="M17" i="68" s="1"/>
  <c r="F27" i="32" a="1"/>
  <c r="F27" i="32" s="1"/>
  <c r="J17" i="68" a="1"/>
  <c r="J17" i="68" s="1"/>
  <c r="P5" i="52"/>
  <c r="Q5" i="52" s="1" a="1"/>
  <c r="Q5" i="52" s="1"/>
  <c r="AP6" i="71"/>
  <c r="BL8" i="73"/>
  <c r="BQ25" i="73"/>
  <c r="BR25" i="73" s="1"/>
  <c r="BQ26" i="73"/>
  <c r="BR26" i="73" s="1"/>
  <c r="BQ19" i="73"/>
  <c r="BR19" i="73" s="1"/>
  <c r="BQ15" i="73"/>
  <c r="BR15" i="73" s="1"/>
  <c r="BP20" i="73"/>
  <c r="BQ21" i="73"/>
  <c r="BR21" i="73" s="1"/>
  <c r="BP18" i="73"/>
  <c r="BO6" i="73" a="1"/>
  <c r="BO6" i="73" s="1"/>
  <c r="BT9" i="72" a="1"/>
  <c r="BT9" i="72" s="1"/>
  <c r="BQ9" i="72"/>
  <c r="BW31" i="73" a="1"/>
  <c r="BW31" i="73" s="1"/>
  <c r="BX31" i="73" s="1" a="1"/>
  <c r="BX31" i="73" s="1"/>
  <c r="BP16" i="73"/>
  <c r="BQ31" i="73" a="1"/>
  <c r="BQ31" i="73" s="1"/>
  <c r="BU31" i="73" s="1" a="1"/>
  <c r="BU31" i="73" s="1"/>
  <c r="BQ24" i="73"/>
  <c r="BR24" i="73" s="1"/>
  <c r="BR6" i="72" a="1"/>
  <c r="BR6" i="72" s="1"/>
  <c r="BS6" i="72" s="1"/>
  <c r="BQ6" i="72"/>
  <c r="BQ17" i="73"/>
  <c r="BR17" i="73" s="1"/>
  <c r="BQ22" i="73"/>
  <c r="BR22" i="73" s="1"/>
  <c r="BQ23" i="73"/>
  <c r="BR23" i="73" s="1"/>
  <c r="AS8" i="73"/>
  <c r="CY31" i="72"/>
  <c r="AQ1" i="72"/>
  <c r="K43" i="68"/>
  <c r="I43" i="68"/>
  <c r="P6" i="71" a="1"/>
  <c r="P6" i="71" s="1"/>
  <c r="BR31" i="72"/>
  <c r="BV31" i="72"/>
  <c r="F54" i="32" a="1"/>
  <c r="F54" i="32" s="1"/>
  <c r="W81" i="29"/>
  <c r="CW49" i="71" a="1"/>
  <c r="CW49" i="71" s="1"/>
  <c r="CY49" i="71" s="1" a="1"/>
  <c r="CY49" i="71" s="1"/>
  <c r="I35" i="13"/>
  <c r="T36" i="81" s="1"/>
  <c r="CW45" i="71" a="1"/>
  <c r="CW45" i="71" s="1"/>
  <c r="CY45" i="71" s="1" a="1"/>
  <c r="CY45" i="71" s="1"/>
  <c r="DA45" i="71" s="1"/>
  <c r="CW46" i="71" a="1"/>
  <c r="CW46" i="71" s="1"/>
  <c r="CY46" i="71" s="1" a="1"/>
  <c r="CY46" i="71" s="1"/>
  <c r="DA46" i="71" s="1"/>
  <c r="M43" i="68"/>
  <c r="CW50" i="71" a="1"/>
  <c r="CW50" i="71" s="1"/>
  <c r="CY50" i="71" s="1" a="1"/>
  <c r="CY50" i="71" s="1"/>
  <c r="DA50" i="71" s="1"/>
  <c r="F43" i="68"/>
  <c r="L43" i="68"/>
  <c r="CW36" i="71" a="1"/>
  <c r="CW36" i="71" s="1"/>
  <c r="CY36" i="71" s="1" a="1"/>
  <c r="CY36" i="71" s="1"/>
  <c r="DA36" i="71" s="1"/>
  <c r="D43" i="68"/>
  <c r="CW44" i="71" a="1"/>
  <c r="CW44" i="71" s="1"/>
  <c r="CY44" i="71" s="1" a="1"/>
  <c r="CY44" i="71" s="1"/>
  <c r="F43" i="32" a="1"/>
  <c r="F43" i="32" s="1"/>
  <c r="E43" i="68"/>
  <c r="N43" i="68"/>
  <c r="CW41" i="71" a="1"/>
  <c r="CW41" i="71" s="1"/>
  <c r="CY41" i="71" s="1" a="1"/>
  <c r="CY41" i="71" s="1"/>
  <c r="DA41" i="71" s="1"/>
  <c r="G43" i="68"/>
  <c r="BU31" i="72" a="1"/>
  <c r="BU31" i="72" s="1"/>
  <c r="BT31" i="72" a="1"/>
  <c r="BT31" i="72" s="1"/>
  <c r="CJ31" i="72" a="1"/>
  <c r="CJ31" i="72" s="1"/>
  <c r="BR9" i="72" a="1"/>
  <c r="BR9" i="72" s="1"/>
  <c r="BS9" i="72" s="1"/>
  <c r="BT7" i="72" a="1"/>
  <c r="BT7" i="72" s="1"/>
  <c r="BR7" i="72" a="1"/>
  <c r="BR7" i="72" s="1"/>
  <c r="BS7" i="72" s="1"/>
  <c r="BT6" i="72" a="1"/>
  <c r="BT6" i="72" s="1"/>
  <c r="L39" i="68" a="1"/>
  <c r="L39" i="68" s="1"/>
  <c r="L37" i="68" s="1"/>
  <c r="G116" i="40"/>
  <c r="G117" i="40" s="1"/>
  <c r="G19" i="40" s="1"/>
  <c r="G122" i="40"/>
  <c r="G20" i="40" s="1"/>
  <c r="E116" i="40"/>
  <c r="E117" i="40" s="1"/>
  <c r="E19" i="40" s="1"/>
  <c r="E122" i="40"/>
  <c r="E20" i="40" s="1"/>
  <c r="E58" i="32" a="1"/>
  <c r="E58" i="32" s="1"/>
  <c r="J37" i="68"/>
  <c r="F55" i="32"/>
  <c r="C37" i="68"/>
  <c r="N37" i="68"/>
  <c r="M37" i="68"/>
  <c r="AK6" i="71" a="1"/>
  <c r="AK6" i="71" s="1"/>
  <c r="AJ6" i="71" s="1"/>
  <c r="D42" i="68" a="1"/>
  <c r="D42" i="68" s="1"/>
  <c r="E60" i="32" a="1"/>
  <c r="E60" i="32" s="1"/>
  <c r="C42" i="68" a="1"/>
  <c r="C42" i="68" s="1"/>
  <c r="E78" i="32" a="1"/>
  <c r="E78" i="32" s="1"/>
  <c r="G37" i="68"/>
  <c r="F78" i="32" a="1"/>
  <c r="F78" i="32" s="1"/>
  <c r="F37" i="68"/>
  <c r="E27" i="32" a="1"/>
  <c r="E27" i="32" s="1"/>
  <c r="O17" i="68" a="1"/>
  <c r="O17" i="68" s="1"/>
  <c r="L5" i="68" a="1"/>
  <c r="L5" i="68" s="1"/>
  <c r="F122" i="40"/>
  <c r="F20" i="40" s="1"/>
  <c r="F116" i="40"/>
  <c r="F117" i="40" s="1"/>
  <c r="F19" i="40" s="1"/>
  <c r="M122" i="40"/>
  <c r="M20" i="40" s="1"/>
  <c r="M116" i="40"/>
  <c r="M117" i="40" s="1"/>
  <c r="M19" i="40" s="1"/>
  <c r="J116" i="40"/>
  <c r="J117" i="40" s="1"/>
  <c r="J19" i="40" s="1"/>
  <c r="J122" i="40"/>
  <c r="J20" i="40" s="1"/>
  <c r="F7" i="32" a="1"/>
  <c r="F7" i="32" s="1"/>
  <c r="C51" i="40" a="1"/>
  <c r="C51" i="40" s="1"/>
  <c r="F6" i="32" a="1"/>
  <c r="F6" i="32" s="1"/>
  <c r="F162" i="32" s="1"/>
  <c r="O5" i="68" a="1"/>
  <c r="O5" i="68" s="1"/>
  <c r="K5" i="68" a="1"/>
  <c r="K5" i="68" s="1"/>
  <c r="J5" i="68" a="1"/>
  <c r="J5" i="68" s="1"/>
  <c r="C5" i="68" a="1"/>
  <c r="C5" i="68" s="1"/>
  <c r="E6" i="71" a="1"/>
  <c r="E6" i="71" s="1"/>
  <c r="D37" i="68"/>
  <c r="E5" i="68" a="1"/>
  <c r="E5" i="68" s="1"/>
  <c r="O116" i="40"/>
  <c r="O117" i="40" s="1"/>
  <c r="O19" i="40" s="1"/>
  <c r="O122" i="40"/>
  <c r="O20" i="40" s="1"/>
  <c r="I35" i="40"/>
  <c r="AE2" i="61"/>
  <c r="AF1" i="61"/>
  <c r="H43" i="68"/>
  <c r="L122" i="40"/>
  <c r="L20" i="40" s="1"/>
  <c r="L116" i="40"/>
  <c r="L117" i="40" s="1"/>
  <c r="L19" i="40" s="1"/>
  <c r="M35" i="40"/>
  <c r="K37" i="68"/>
  <c r="E37" i="68"/>
  <c r="O35" i="40"/>
  <c r="O5" i="53" a="1"/>
  <c r="O5" i="53" s="1"/>
  <c r="N5" i="68" a="1"/>
  <c r="N5" i="68" s="1"/>
  <c r="J43" i="68"/>
  <c r="H116" i="40"/>
  <c r="H117" i="40" s="1"/>
  <c r="H19" i="40" s="1"/>
  <c r="H122" i="40"/>
  <c r="H20" i="40" s="1"/>
  <c r="N122" i="40"/>
  <c r="N20" i="40" s="1"/>
  <c r="N116" i="40"/>
  <c r="N117" i="40" s="1"/>
  <c r="N19" i="40" s="1"/>
  <c r="J35" i="40"/>
  <c r="N35" i="40"/>
  <c r="O43" i="68"/>
  <c r="O3" i="53" a="1"/>
  <c r="O3" i="53" s="1"/>
  <c r="U44" i="10"/>
  <c r="V44" i="10" s="1"/>
  <c r="D5" i="68" a="1"/>
  <c r="D5" i="68" s="1"/>
  <c r="M5" i="68" a="1"/>
  <c r="M5" i="68" s="1"/>
  <c r="I122" i="40"/>
  <c r="I20" i="40" s="1"/>
  <c r="I116" i="40"/>
  <c r="I117" i="40" s="1"/>
  <c r="I19" i="40" s="1"/>
  <c r="G5" i="68" a="1"/>
  <c r="G5" i="68" s="1"/>
  <c r="E43" i="32" a="1"/>
  <c r="E43" i="32" s="1"/>
  <c r="H5" i="68" a="1"/>
  <c r="H5" i="68" s="1"/>
  <c r="C17" i="68" a="1"/>
  <c r="C17" i="68" s="1"/>
  <c r="K35" i="40"/>
  <c r="F5" i="68" a="1"/>
  <c r="F5" i="68" s="1"/>
  <c r="H37" i="68"/>
  <c r="K116" i="40"/>
  <c r="K117" i="40" s="1"/>
  <c r="K19" i="40" s="1"/>
  <c r="K122" i="40"/>
  <c r="K20" i="40" s="1"/>
  <c r="AL47" i="29" l="1"/>
  <c r="K160" i="32"/>
  <c r="AL24" i="29"/>
  <c r="Z56" i="6"/>
  <c r="AF56" i="6" s="1"/>
  <c r="AH56" i="6" s="1"/>
  <c r="AI56" i="6" s="1"/>
  <c r="AF31" i="29"/>
  <c r="AA56" i="6" s="1"/>
  <c r="AG56" i="6" s="1"/>
  <c r="AJ56" i="6" s="1"/>
  <c r="AI31" i="29"/>
  <c r="AF23" i="29"/>
  <c r="AI23" i="29"/>
  <c r="Z59" i="6"/>
  <c r="AF59" i="6" s="1"/>
  <c r="AH59" i="6" s="1"/>
  <c r="AI59" i="6" s="1"/>
  <c r="AF42" i="29"/>
  <c r="AA59" i="6" s="1"/>
  <c r="AI42" i="29"/>
  <c r="Z64" i="6"/>
  <c r="AF64" i="6" s="1"/>
  <c r="AF50" i="29"/>
  <c r="AA64" i="6" s="1"/>
  <c r="AI50" i="29"/>
  <c r="AF18" i="29"/>
  <c r="AA51" i="6" s="1"/>
  <c r="AI18" i="29"/>
  <c r="Z51" i="6"/>
  <c r="Z66" i="6"/>
  <c r="AF66" i="6" s="1"/>
  <c r="AH66" i="6" s="1"/>
  <c r="AI66" i="6" s="1"/>
  <c r="AF56" i="29"/>
  <c r="AA66" i="6" s="1"/>
  <c r="AI56" i="29"/>
  <c r="AF16" i="29"/>
  <c r="AA49" i="6" s="1"/>
  <c r="AI16" i="29"/>
  <c r="Z49" i="6"/>
  <c r="Z65" i="6"/>
  <c r="AF65" i="6" s="1"/>
  <c r="AH65" i="6" s="1"/>
  <c r="AI65" i="6" s="1"/>
  <c r="AF55" i="29"/>
  <c r="AA65" i="6" s="1"/>
  <c r="AI55" i="29"/>
  <c r="Z55" i="6"/>
  <c r="AF55" i="6" s="1"/>
  <c r="AF30" i="29"/>
  <c r="AA55" i="6" s="1"/>
  <c r="AG55" i="6" s="1"/>
  <c r="AJ55" i="6" s="1"/>
  <c r="AI30" i="29"/>
  <c r="AF22" i="29"/>
  <c r="AA52" i="6" s="1"/>
  <c r="AI22" i="29"/>
  <c r="Z52" i="6"/>
  <c r="AF52" i="6" s="1"/>
  <c r="AH52" i="6" s="1"/>
  <c r="AI52" i="6" s="1"/>
  <c r="AF6" i="29"/>
  <c r="AA48" i="6" s="1"/>
  <c r="Z48" i="6"/>
  <c r="AF48" i="6" s="1"/>
  <c r="AH48" i="6" s="1"/>
  <c r="AI48" i="6" s="1"/>
  <c r="AI6" i="29"/>
  <c r="AD70" i="29"/>
  <c r="AE70" i="29" s="1"/>
  <c r="AE48" i="29"/>
  <c r="AF48" i="29" s="1"/>
  <c r="AA63" i="6" s="1"/>
  <c r="AD48" i="29"/>
  <c r="AL30" i="29"/>
  <c r="AD63" i="29"/>
  <c r="AE63" i="29" s="1"/>
  <c r="AL23" i="29"/>
  <c r="Z62" i="6"/>
  <c r="AF62" i="6" s="1"/>
  <c r="AH62" i="6" s="1"/>
  <c r="AI62" i="6" s="1"/>
  <c r="AF47" i="29"/>
  <c r="AA62" i="6" s="1"/>
  <c r="Z53" i="6"/>
  <c r="AF53" i="6" s="1"/>
  <c r="AF24" i="29"/>
  <c r="AA53" i="6" s="1"/>
  <c r="AI24" i="29"/>
  <c r="AL16" i="29"/>
  <c r="AL31" i="29"/>
  <c r="AE17" i="29"/>
  <c r="AF17" i="29" s="1"/>
  <c r="AD17" i="29"/>
  <c r="AL22" i="29"/>
  <c r="AD27" i="29"/>
  <c r="AE27" i="29" s="1"/>
  <c r="AE64" i="29"/>
  <c r="AL64" i="29" s="1"/>
  <c r="AD64" i="29"/>
  <c r="AD58" i="29"/>
  <c r="AE58" i="29" s="1"/>
  <c r="AL6" i="29"/>
  <c r="AL50" i="29"/>
  <c r="AD44" i="29"/>
  <c r="AE44" i="29" s="1"/>
  <c r="AD43" i="29"/>
  <c r="AE43" i="29" s="1"/>
  <c r="AL18" i="29"/>
  <c r="AL56" i="29"/>
  <c r="AL42" i="29"/>
  <c r="AD39" i="29"/>
  <c r="AE39" i="29" s="1"/>
  <c r="AD33" i="29"/>
  <c r="AE33" i="29" s="1"/>
  <c r="AD61" i="29"/>
  <c r="AE61" i="29" s="1"/>
  <c r="AL55" i="29"/>
  <c r="W14" i="29"/>
  <c r="R49" i="10" s="1"/>
  <c r="U49" i="10" s="1"/>
  <c r="V49" i="10" s="1"/>
  <c r="W38" i="29"/>
  <c r="R55" i="10" s="1"/>
  <c r="U55" i="10" s="1"/>
  <c r="V55" i="10" s="1"/>
  <c r="W21" i="29"/>
  <c r="R51" i="10" s="1"/>
  <c r="U51" i="10" s="1"/>
  <c r="V51" i="10" s="1"/>
  <c r="W10" i="29"/>
  <c r="R46" i="10" s="1"/>
  <c r="U46" i="10" s="1"/>
  <c r="V46" i="10" s="1"/>
  <c r="W40" i="29"/>
  <c r="R56" i="10" s="1"/>
  <c r="U56" i="10" s="1"/>
  <c r="V56" i="10" s="1"/>
  <c r="W69" i="29"/>
  <c r="R61" i="10" s="1"/>
  <c r="U61" i="10" s="1"/>
  <c r="V61" i="10" s="1"/>
  <c r="W80" i="29"/>
  <c r="R64" i="10" s="1"/>
  <c r="U64" i="10" s="1"/>
  <c r="V64" i="10" s="1"/>
  <c r="W32" i="29"/>
  <c r="R54" i="10" s="1"/>
  <c r="U54" i="10" s="1"/>
  <c r="V54" i="10" s="1"/>
  <c r="I1" i="30"/>
  <c r="W62" i="29"/>
  <c r="R59" i="10" s="1"/>
  <c r="U59" i="10" s="1"/>
  <c r="V59" i="10" s="1"/>
  <c r="W15" i="29"/>
  <c r="R50" i="10" s="1"/>
  <c r="U50" i="10" s="1"/>
  <c r="V50" i="10" s="1"/>
  <c r="W73" i="29"/>
  <c r="R62" i="10" s="1"/>
  <c r="U62" i="10" s="1"/>
  <c r="V62" i="10" s="1"/>
  <c r="W57" i="29"/>
  <c r="R58" i="10" s="1"/>
  <c r="U58" i="10" s="1"/>
  <c r="V58" i="10" s="1"/>
  <c r="AF4" i="61"/>
  <c r="AF5" i="61"/>
  <c r="W79" i="29"/>
  <c r="R63" i="10" s="1"/>
  <c r="U63" i="10" s="1"/>
  <c r="V63" i="10" s="1"/>
  <c r="AG64" i="6"/>
  <c r="AJ64" i="6" s="1"/>
  <c r="AL17" i="29"/>
  <c r="AI17" i="29"/>
  <c r="Z50" i="6"/>
  <c r="AA50" i="6"/>
  <c r="AH55" i="6"/>
  <c r="AI55" i="6" s="1"/>
  <c r="AF51" i="6"/>
  <c r="AG51" i="6" s="1"/>
  <c r="AJ51" i="6" s="1"/>
  <c r="AF49" i="6"/>
  <c r="AG49" i="6" s="1"/>
  <c r="AJ49" i="6" s="1"/>
  <c r="AI64" i="29"/>
  <c r="P160" i="32"/>
  <c r="O160" i="32"/>
  <c r="P139" i="32"/>
  <c r="P167" i="32"/>
  <c r="P140" i="32"/>
  <c r="P74" i="32"/>
  <c r="P168" i="32" s="1"/>
  <c r="O167" i="32"/>
  <c r="O140" i="32"/>
  <c r="O74" i="32"/>
  <c r="O168" i="32" s="1"/>
  <c r="E30" i="47"/>
  <c r="G28" i="47"/>
  <c r="I17" i="9" s="1"/>
  <c r="H30" i="47"/>
  <c r="G30" i="47"/>
  <c r="I15" i="9" s="1"/>
  <c r="F29" i="47"/>
  <c r="F28" i="47"/>
  <c r="G29" i="47"/>
  <c r="I16" i="9" s="1"/>
  <c r="H29" i="47"/>
  <c r="E28" i="47"/>
  <c r="F30" i="47"/>
  <c r="H28" i="47"/>
  <c r="E29" i="47"/>
  <c r="CG5" i="76" a="1"/>
  <c r="CG5" i="76" s="1"/>
  <c r="AQ6" i="76" s="1"/>
  <c r="AU6" i="76" s="1"/>
  <c r="AV6" i="76" s="1"/>
  <c r="L26" i="58"/>
  <c r="N26" i="58" s="1"/>
  <c r="G26" i="58"/>
  <c r="N25" i="58"/>
  <c r="O25" i="58"/>
  <c r="P25" i="58" s="1" a="1"/>
  <c r="P25" i="58" s="1"/>
  <c r="N24" i="58"/>
  <c r="O24" i="58"/>
  <c r="V21" i="68"/>
  <c r="BO31" i="34" a="1"/>
  <c r="BO31" i="34" s="1"/>
  <c r="BN31" i="34" s="1"/>
  <c r="P143" i="32"/>
  <c r="P144" i="32" s="1"/>
  <c r="BO30" i="34" a="1"/>
  <c r="BO30" i="34" s="1"/>
  <c r="BN30" i="34" s="1"/>
  <c r="H185" i="40" a="1"/>
  <c r="H185" i="40" s="1"/>
  <c r="H186" i="40" s="1"/>
  <c r="H43" i="40" s="1"/>
  <c r="BO25" i="34" a="1"/>
  <c r="BO25" i="34" s="1"/>
  <c r="BN25" i="34" s="1"/>
  <c r="BO26" i="34" a="1"/>
  <c r="BO26" i="34" s="1"/>
  <c r="BN26" i="34" s="1"/>
  <c r="P36" i="6"/>
  <c r="Q35" i="81" s="1"/>
  <c r="G185" i="40" a="1"/>
  <c r="G185" i="40" s="1"/>
  <c r="G186" i="40" s="1"/>
  <c r="G43" i="40" s="1"/>
  <c r="AG45" i="6"/>
  <c r="AJ45" i="6" s="1"/>
  <c r="AH45" i="6" s="1"/>
  <c r="AI45" i="6" s="1"/>
  <c r="V54" i="68" a="1"/>
  <c r="V54" i="68" s="1"/>
  <c r="V56" i="68" a="1"/>
  <c r="V56" i="68" s="1"/>
  <c r="C69" i="40"/>
  <c r="AZ7" i="76"/>
  <c r="BD7" i="76" s="1"/>
  <c r="BE7" i="76" s="1"/>
  <c r="AZ8" i="76"/>
  <c r="BD8" i="76" s="1"/>
  <c r="BE8" i="76" s="1"/>
  <c r="AZ9" i="76"/>
  <c r="BD9" i="76" s="1"/>
  <c r="BE9" i="76" s="1"/>
  <c r="AZ6" i="76"/>
  <c r="BD6" i="76" s="1"/>
  <c r="BE6" i="76" s="1"/>
  <c r="CF31" i="73" a="1"/>
  <c r="CF31" i="73" s="1"/>
  <c r="CI31" i="73" s="1" a="1"/>
  <c r="CI31" i="73" s="1"/>
  <c r="AZ10" i="73"/>
  <c r="AZ9" i="73"/>
  <c r="AU9" i="73"/>
  <c r="AU10" i="73"/>
  <c r="J1" i="14"/>
  <c r="K1" i="14" s="1"/>
  <c r="L1" i="14" s="1"/>
  <c r="M1" i="14" s="1"/>
  <c r="BK9" i="72"/>
  <c r="BK10" i="72"/>
  <c r="AS8" i="72"/>
  <c r="AS9" i="72"/>
  <c r="AS10" i="72"/>
  <c r="AS11" i="72"/>
  <c r="AS12" i="72"/>
  <c r="AS13" i="72"/>
  <c r="AS14" i="72"/>
  <c r="P23" i="49" a="1"/>
  <c r="P23" i="49" s="1"/>
  <c r="S27" i="68" a="1"/>
  <c r="S27" i="68" s="1"/>
  <c r="S21" i="68" s="1"/>
  <c r="C27" i="68" a="1"/>
  <c r="C27" i="68" s="1"/>
  <c r="K41" i="32"/>
  <c r="J41" i="32"/>
  <c r="J23" i="32" a="1"/>
  <c r="J23" i="32" s="1"/>
  <c r="J22" i="32" s="1" a="1"/>
  <c r="J22" i="32" s="1"/>
  <c r="J21" i="32" s="1"/>
  <c r="K23" i="32" a="1"/>
  <c r="K23" i="32" s="1"/>
  <c r="K22" i="32" s="1" a="1"/>
  <c r="K22" i="32" s="1"/>
  <c r="O77" i="32"/>
  <c r="O157" i="32" s="1"/>
  <c r="O143" i="32"/>
  <c r="O144" i="32" s="1"/>
  <c r="V41" i="68"/>
  <c r="V36" i="68"/>
  <c r="C16" i="68" a="1"/>
  <c r="C16" i="68" s="1"/>
  <c r="S16" i="68" a="1"/>
  <c r="S16" i="68" s="1"/>
  <c r="V49" i="68" a="1"/>
  <c r="V49" i="68" s="1"/>
  <c r="S36" i="68"/>
  <c r="K11" i="32"/>
  <c r="J11" i="32"/>
  <c r="J163" i="32" s="1"/>
  <c r="J14" i="32" a="1"/>
  <c r="J14" i="32" s="1"/>
  <c r="O14" i="32" a="1"/>
  <c r="O14" i="32" s="1"/>
  <c r="O12" i="32" s="1"/>
  <c r="O33" i="32" a="1"/>
  <c r="O33" i="32" s="1"/>
  <c r="O32" i="32" s="1"/>
  <c r="J33" i="32" a="1"/>
  <c r="J33" i="32" s="1"/>
  <c r="J32" i="32" s="1"/>
  <c r="O22" i="32" a="1"/>
  <c r="O22" i="32" s="1"/>
  <c r="O21" i="32" s="1"/>
  <c r="E33" i="32" a="1"/>
  <c r="E33" i="32" s="1"/>
  <c r="P33" i="32" a="1"/>
  <c r="P33" i="32" s="1"/>
  <c r="P32" i="32" s="1"/>
  <c r="K14" i="32" a="1"/>
  <c r="K14" i="32" s="1"/>
  <c r="K33" i="32" a="1"/>
  <c r="K33" i="32" s="1"/>
  <c r="P14" i="32" a="1"/>
  <c r="P14" i="32" s="1"/>
  <c r="P22" i="32" a="1"/>
  <c r="P22" i="32" s="1"/>
  <c r="AF24" i="61" a="1"/>
  <c r="AF24" i="61" s="1"/>
  <c r="AF29" i="61" a="1"/>
  <c r="AF29" i="61" s="1"/>
  <c r="AU22" i="59"/>
  <c r="AU20" i="59"/>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C29" i="40"/>
  <c r="CW47" i="71" a="1"/>
  <c r="CW47" i="71" s="1"/>
  <c r="CY47" i="71" s="1" a="1"/>
  <c r="CY47" i="71" s="1"/>
  <c r="DA47" i="71" s="1"/>
  <c r="E95" i="32"/>
  <c r="F95" i="32"/>
  <c r="D101" i="32"/>
  <c r="BL12" i="57" a="1"/>
  <c r="BL12" i="57" s="1"/>
  <c r="CN5" i="76" a="1"/>
  <c r="CN5" i="76" s="1"/>
  <c r="V43" i="10"/>
  <c r="BL7" i="57" a="1"/>
  <c r="BL7" i="57" s="1"/>
  <c r="BM17" i="57" a="1"/>
  <c r="BM17" i="57" s="1"/>
  <c r="BL11" i="57" a="1"/>
  <c r="BL11" i="57" s="1"/>
  <c r="BL15" i="57" a="1"/>
  <c r="BL15" i="57" s="1"/>
  <c r="BL17" i="57" a="1"/>
  <c r="BL17" i="57" s="1"/>
  <c r="BM15" i="57" a="1"/>
  <c r="BM15" i="57" s="1"/>
  <c r="BM9" i="57" a="1"/>
  <c r="BM9" i="57" s="1"/>
  <c r="BM12" i="57" a="1"/>
  <c r="BM12" i="57" s="1"/>
  <c r="BM8" i="57" a="1"/>
  <c r="BM8" i="57" s="1"/>
  <c r="BM11" i="57" a="1"/>
  <c r="BM11" i="57" s="1"/>
  <c r="BL14" i="57" a="1"/>
  <c r="BL14" i="57" s="1"/>
  <c r="BM7" i="57" a="1"/>
  <c r="BM7" i="57" s="1"/>
  <c r="BL9" i="57" a="1"/>
  <c r="BL9" i="57" s="1"/>
  <c r="BL8" i="57" a="1"/>
  <c r="BL8" i="57" s="1"/>
  <c r="BM6" i="57" a="1"/>
  <c r="BM6" i="57" s="1"/>
  <c r="BM16" i="57" a="1"/>
  <c r="BM16" i="57" s="1"/>
  <c r="BL13" i="57" a="1"/>
  <c r="BL13" i="57" s="1"/>
  <c r="BL16" i="57" a="1"/>
  <c r="BL16" i="57" s="1"/>
  <c r="BL6" i="57" a="1"/>
  <c r="BL6" i="57" s="1"/>
  <c r="BM14" i="57" a="1"/>
  <c r="BM14" i="57" s="1"/>
  <c r="BM13" i="57" a="1"/>
  <c r="BM13" i="57" s="1"/>
  <c r="BL10" i="57" a="1"/>
  <c r="BL10" i="57" s="1"/>
  <c r="BT25" i="57" a="1"/>
  <c r="BT25" i="57" s="1"/>
  <c r="BV25" i="57" s="1" a="1"/>
  <c r="BV25" i="57" s="1"/>
  <c r="BW25" i="57" s="1" a="1"/>
  <c r="BW25" i="57" s="1"/>
  <c r="BM10" i="57" a="1"/>
  <c r="BM10" i="57" s="1"/>
  <c r="BP25" i="57" a="1"/>
  <c r="BP25" i="57" s="1"/>
  <c r="BO8" i="73" a="1"/>
  <c r="BO8" i="73" s="1"/>
  <c r="BP8" i="73" s="1"/>
  <c r="E7" i="32" a="1"/>
  <c r="E7" i="32" s="1"/>
  <c r="U65" i="10"/>
  <c r="V65" i="10" s="1"/>
  <c r="BO7" i="73"/>
  <c r="BP6" i="73"/>
  <c r="BQ6" i="73" a="1"/>
  <c r="BQ6" i="73" s="1"/>
  <c r="BS6" i="73" a="1"/>
  <c r="BS6" i="73" s="1"/>
  <c r="BS7" i="73" s="1"/>
  <c r="AZ8" i="73"/>
  <c r="F53" i="32"/>
  <c r="CW40" i="71" a="1"/>
  <c r="CW40" i="71" s="1"/>
  <c r="CY40" i="71" s="1" a="1"/>
  <c r="CY40" i="71" s="1"/>
  <c r="DA40" i="71" s="1"/>
  <c r="BK8" i="72"/>
  <c r="CT31" i="72" a="1"/>
  <c r="CB31" i="72" a="1"/>
  <c r="CB31" i="72" s="1"/>
  <c r="C24" i="40"/>
  <c r="P80" i="32"/>
  <c r="P77" i="32" s="1"/>
  <c r="F51" i="40" a="1"/>
  <c r="F51" i="40" s="1"/>
  <c r="E51" i="40" a="1"/>
  <c r="E51" i="40" s="1"/>
  <c r="G51" i="40" a="1"/>
  <c r="G51" i="40" s="1"/>
  <c r="D51" i="40" a="1"/>
  <c r="D51" i="40" s="1"/>
  <c r="E55" i="32"/>
  <c r="E54" i="32" a="1"/>
  <c r="E54" i="32" s="1"/>
  <c r="G154" i="40" a="1"/>
  <c r="G154" i="40" s="1"/>
  <c r="G155" i="40" a="1"/>
  <c r="G155" i="40" s="1"/>
  <c r="DA49" i="71"/>
  <c r="CW5" i="71" a="1"/>
  <c r="CW5" i="71" s="1"/>
  <c r="H51" i="40" a="1"/>
  <c r="H51" i="40" s="1"/>
  <c r="I1" i="40"/>
  <c r="DA44" i="71"/>
  <c r="C56" i="40"/>
  <c r="AF2" i="61"/>
  <c r="AG1" i="61"/>
  <c r="P109" i="32"/>
  <c r="AZ6" i="71" a="1"/>
  <c r="AZ6" i="71" s="1"/>
  <c r="W5" i="53" a="1"/>
  <c r="W5" i="53" s="1"/>
  <c r="K155" i="40" a="1"/>
  <c r="K155" i="40" s="1"/>
  <c r="O155" i="40" a="1"/>
  <c r="O155" i="40" s="1"/>
  <c r="AF27" i="29" l="1"/>
  <c r="AA54" i="6" s="1"/>
  <c r="AL27" i="29"/>
  <c r="AH64" i="6"/>
  <c r="AI64" i="6" s="1"/>
  <c r="AG65" i="6"/>
  <c r="AJ65" i="6" s="1"/>
  <c r="AI39" i="29"/>
  <c r="AL39" i="29"/>
  <c r="AG53" i="6"/>
  <c r="AJ53" i="6" s="1"/>
  <c r="AG48" i="6"/>
  <c r="AJ48" i="6" s="1"/>
  <c r="AG52" i="6"/>
  <c r="AJ52" i="6" s="1"/>
  <c r="AH53" i="6"/>
  <c r="AI53" i="6" s="1"/>
  <c r="AF70" i="29"/>
  <c r="AA71" i="6" s="1"/>
  <c r="Z71" i="6"/>
  <c r="AF71" i="6" s="1"/>
  <c r="AG71" i="6" s="1"/>
  <c r="AJ71" i="6" s="1"/>
  <c r="AI70" i="29"/>
  <c r="AL70" i="29"/>
  <c r="AF61" i="29"/>
  <c r="AA68" i="6" s="1"/>
  <c r="AL61" i="29"/>
  <c r="Z68" i="6"/>
  <c r="AF68" i="6" s="1"/>
  <c r="AH68" i="6" s="1"/>
  <c r="AI68" i="6" s="1"/>
  <c r="AI61" i="29"/>
  <c r="AF33" i="29"/>
  <c r="AA57" i="6" s="1"/>
  <c r="BT31" i="73" a="1"/>
  <c r="BT31" i="73" s="1"/>
  <c r="BV31" i="73" s="1" a="1"/>
  <c r="BV31" i="73" s="1"/>
  <c r="CA31" i="73" a="1"/>
  <c r="CA31" i="73" s="1"/>
  <c r="BB3" i="73" s="1"/>
  <c r="BC3" i="73" s="1"/>
  <c r="BD3" i="73" s="1"/>
  <c r="AL33" i="29"/>
  <c r="AI33" i="29"/>
  <c r="Z57" i="6"/>
  <c r="AF57" i="6" s="1"/>
  <c r="AF43" i="29"/>
  <c r="AA60" i="6" s="1"/>
  <c r="Z60" i="6"/>
  <c r="AF60" i="6" s="1"/>
  <c r="AI43" i="29"/>
  <c r="AL43" i="29"/>
  <c r="AF58" i="29"/>
  <c r="AA67" i="6" s="1"/>
  <c r="AL58" i="29"/>
  <c r="Z67" i="6"/>
  <c r="AF67" i="6" s="1"/>
  <c r="AG67" i="6" s="1"/>
  <c r="AJ67" i="6" s="1"/>
  <c r="AI58" i="29"/>
  <c r="Z69" i="6"/>
  <c r="AF69" i="6" s="1"/>
  <c r="AH69" i="6" s="1"/>
  <c r="AI69" i="6" s="1"/>
  <c r="AF63" i="29"/>
  <c r="AA69" i="6" s="1"/>
  <c r="AI63" i="29"/>
  <c r="AL63" i="29"/>
  <c r="AL48" i="29"/>
  <c r="Z61" i="6"/>
  <c r="AF61" i="6" s="1"/>
  <c r="AH61" i="6" s="1"/>
  <c r="AI61" i="6" s="1"/>
  <c r="AF44" i="29"/>
  <c r="AA61" i="6" s="1"/>
  <c r="AL44" i="29"/>
  <c r="AG59" i="6"/>
  <c r="AJ59" i="6" s="1"/>
  <c r="AI27" i="29"/>
  <c r="Z58" i="6"/>
  <c r="AF58" i="6" s="1"/>
  <c r="AH58" i="6" s="1"/>
  <c r="AI58" i="6" s="1"/>
  <c r="AF39" i="29"/>
  <c r="AA58" i="6" s="1"/>
  <c r="AG62" i="6"/>
  <c r="AJ62" i="6" s="1"/>
  <c r="AI44" i="29"/>
  <c r="Z70" i="6"/>
  <c r="AF70" i="6" s="1"/>
  <c r="AH70" i="6" s="1"/>
  <c r="AI70" i="6" s="1"/>
  <c r="AF64" i="29"/>
  <c r="AA70" i="6" s="1"/>
  <c r="AG70" i="6" s="1"/>
  <c r="AJ70" i="6" s="1"/>
  <c r="AG66" i="6"/>
  <c r="AJ66" i="6" s="1"/>
  <c r="Z54" i="6"/>
  <c r="AF54" i="6" s="1"/>
  <c r="AG54" i="6" s="1"/>
  <c r="AJ54" i="6" s="1"/>
  <c r="AI48" i="29"/>
  <c r="Z63" i="6"/>
  <c r="AF63" i="6" s="1"/>
  <c r="AH63" i="6" s="1"/>
  <c r="AI63" i="6" s="1"/>
  <c r="AM13" i="83"/>
  <c r="P24" i="58" a="1"/>
  <c r="P24" i="58" s="1"/>
  <c r="AH49" i="6"/>
  <c r="AI49" i="6" s="1"/>
  <c r="AG4" i="61"/>
  <c r="AG5" i="61"/>
  <c r="AH51" i="6"/>
  <c r="AI51" i="6" s="1"/>
  <c r="I185" i="40" a="1"/>
  <c r="I185" i="40" s="1"/>
  <c r="I186" i="40" s="1"/>
  <c r="I43" i="40" s="1"/>
  <c r="AG60" i="6"/>
  <c r="AJ60" i="6" s="1"/>
  <c r="AF50" i="6"/>
  <c r="AG50" i="6" s="1"/>
  <c r="AJ50" i="6" s="1"/>
  <c r="H8" i="47"/>
  <c r="H6" i="47"/>
  <c r="H4" i="47"/>
  <c r="H2" i="47"/>
  <c r="G4" i="47"/>
  <c r="J82" i="32" s="1"/>
  <c r="G2" i="47"/>
  <c r="K103" i="32" s="1"/>
  <c r="G8" i="47"/>
  <c r="J83" i="32" s="1"/>
  <c r="G6" i="47"/>
  <c r="J106" i="32" s="1"/>
  <c r="E2" i="47"/>
  <c r="E4" i="47"/>
  <c r="E8" i="47"/>
  <c r="E6" i="47"/>
  <c r="F8" i="47"/>
  <c r="F4" i="47"/>
  <c r="F2" i="47"/>
  <c r="F6" i="47"/>
  <c r="Z23" i="49" a="1"/>
  <c r="Z23" i="49" s="1"/>
  <c r="AQ8" i="76"/>
  <c r="AU8" i="76" s="1"/>
  <c r="AV8" i="76" s="1"/>
  <c r="AQ7" i="76"/>
  <c r="AU7" i="76" s="1"/>
  <c r="AV7" i="76" s="1"/>
  <c r="AQ10" i="76"/>
  <c r="AU10" i="76" s="1"/>
  <c r="AV10" i="76" s="1"/>
  <c r="AQ9" i="76"/>
  <c r="AU9" i="76" s="1"/>
  <c r="AV9" i="76" s="1"/>
  <c r="O26" i="58"/>
  <c r="P26" i="58" s="1" a="1"/>
  <c r="P26" i="58" s="1"/>
  <c r="AG29" i="61" a="1"/>
  <c r="AG29" i="61" s="1"/>
  <c r="AR7" i="57"/>
  <c r="AR8" i="57"/>
  <c r="AR9" i="57"/>
  <c r="BC9" i="73"/>
  <c r="BC10" i="73"/>
  <c r="CG31" i="73" a="1"/>
  <c r="CG31" i="73" s="1"/>
  <c r="BA9" i="73"/>
  <c r="BA10" i="73"/>
  <c r="CJ31" i="73" a="1"/>
  <c r="CJ31" i="73" s="1"/>
  <c r="P8" i="32" a="1"/>
  <c r="P8" i="32" s="1"/>
  <c r="P10" i="32" s="1"/>
  <c r="P11" i="32" s="1"/>
  <c r="P145" i="32" s="1"/>
  <c r="P146" i="32" s="1"/>
  <c r="BL10" i="72"/>
  <c r="BL9" i="72"/>
  <c r="BG9" i="72"/>
  <c r="BG10" i="72"/>
  <c r="BG11" i="72"/>
  <c r="BG12" i="72"/>
  <c r="BG13" i="72"/>
  <c r="BG14" i="72"/>
  <c r="AU8" i="72"/>
  <c r="AU9" i="72"/>
  <c r="AU10" i="72"/>
  <c r="AU11" i="72"/>
  <c r="AU12" i="72"/>
  <c r="AU13" i="72"/>
  <c r="AU14" i="72"/>
  <c r="P21" i="49"/>
  <c r="O169" i="32"/>
  <c r="O139" i="32"/>
  <c r="O141" i="32"/>
  <c r="O137" i="32"/>
  <c r="F140" i="32"/>
  <c r="F167" i="32"/>
  <c r="F139" i="32"/>
  <c r="F141" i="32"/>
  <c r="V12" i="68" a="1"/>
  <c r="V12" i="68" s="1"/>
  <c r="V11" i="68" s="1"/>
  <c r="V10" i="68" s="1"/>
  <c r="K134" i="32"/>
  <c r="K163" i="32"/>
  <c r="F160" i="32"/>
  <c r="P169" i="32"/>
  <c r="J134" i="32"/>
  <c r="O8" i="32" a="1"/>
  <c r="O8" i="32" s="1"/>
  <c r="O10" i="32" s="1"/>
  <c r="O11" i="32" s="1"/>
  <c r="O147" i="32"/>
  <c r="O148" i="32" s="1"/>
  <c r="P137" i="32"/>
  <c r="P157" i="32"/>
  <c r="AG55" i="61" a="1"/>
  <c r="AG55" i="61" s="1"/>
  <c r="AG52" i="61" a="1"/>
  <c r="AG52" i="61" s="1"/>
  <c r="AG48" i="61" a="1"/>
  <c r="AG48" i="61" s="1"/>
  <c r="AG30" i="61" a="1"/>
  <c r="AG30" i="61" s="1"/>
  <c r="AG35" i="61" a="1"/>
  <c r="AG35" i="61" s="1"/>
  <c r="AG56" i="61" a="1"/>
  <c r="AG56" i="61" s="1"/>
  <c r="AG45" i="61" a="1"/>
  <c r="AG45" i="61" s="1"/>
  <c r="AG53" i="61" a="1"/>
  <c r="AG53" i="61" s="1"/>
  <c r="AG49" i="61" a="1"/>
  <c r="AG49" i="61" s="1"/>
  <c r="AG33" i="61" a="1"/>
  <c r="AG33" i="61" s="1"/>
  <c r="AG42" i="61" a="1"/>
  <c r="AG42" i="61" s="1"/>
  <c r="AG38" i="61" a="1"/>
  <c r="AG38" i="61" s="1"/>
  <c r="AG46" i="61" a="1"/>
  <c r="AG46" i="61" s="1"/>
  <c r="AG31" i="61" a="1"/>
  <c r="AG31" i="61" s="1"/>
  <c r="AG57" i="61" a="1"/>
  <c r="AG57" i="61" s="1"/>
  <c r="AG50" i="61" a="1"/>
  <c r="AG50" i="61" s="1"/>
  <c r="AG41" i="61" a="1"/>
  <c r="AG41" i="61" s="1"/>
  <c r="AG36" i="61" a="1"/>
  <c r="AG36" i="61" s="1"/>
  <c r="AG54" i="61" a="1"/>
  <c r="AG54" i="61" s="1"/>
  <c r="AG51" i="61" a="1"/>
  <c r="AG51" i="61" s="1"/>
  <c r="AG39" i="61" a="1"/>
  <c r="AG39" i="61" s="1"/>
  <c r="AG34" i="61" a="1"/>
  <c r="AG34" i="61" s="1"/>
  <c r="AG27" i="61" a="1"/>
  <c r="AG27" i="61" s="1"/>
  <c r="AG40" i="61" a="1"/>
  <c r="AG40" i="61" s="1"/>
  <c r="AG12" i="61" a="1"/>
  <c r="AG12" i="61" s="1"/>
  <c r="AG25" i="61" a="1"/>
  <c r="AG25" i="61" s="1"/>
  <c r="AG20" i="61" a="1"/>
  <c r="AG20" i="61" s="1"/>
  <c r="AG44" i="61" a="1"/>
  <c r="AG44" i="61" s="1"/>
  <c r="AG23" i="61" a="1"/>
  <c r="AG23" i="61" s="1"/>
  <c r="AG37" i="61" a="1"/>
  <c r="AG37" i="61" s="1"/>
  <c r="AG28" i="61" a="1"/>
  <c r="AG28" i="61" s="1"/>
  <c r="AG15" i="61" a="1"/>
  <c r="AG15" i="61" s="1"/>
  <c r="AG11" i="61" a="1"/>
  <c r="AG11" i="61" s="1"/>
  <c r="AG21" i="61" a="1"/>
  <c r="AG21" i="61" s="1"/>
  <c r="AG16" i="61" a="1"/>
  <c r="AG16" i="61" s="1"/>
  <c r="AG9" i="61" a="1"/>
  <c r="AG9" i="61" s="1"/>
  <c r="AG18" i="61" a="1"/>
  <c r="AG18" i="61" s="1"/>
  <c r="AG14" i="61" a="1"/>
  <c r="AG14" i="61" s="1"/>
  <c r="AG10" i="61" a="1"/>
  <c r="AG10" i="61" s="1"/>
  <c r="AG17" i="61" a="1"/>
  <c r="AG17" i="61" s="1"/>
  <c r="AG47" i="61" a="1"/>
  <c r="AG47" i="61" s="1"/>
  <c r="AG26" i="61" a="1"/>
  <c r="AG26" i="61" s="1"/>
  <c r="AG43" i="61" a="1"/>
  <c r="AG43" i="61" s="1"/>
  <c r="AG24" i="61" a="1"/>
  <c r="AG24" i="61" s="1"/>
  <c r="AG32" i="61" a="1"/>
  <c r="AG32" i="61" s="1"/>
  <c r="AG19" i="61" a="1"/>
  <c r="AG19" i="61" s="1"/>
  <c r="AG13" i="61" a="1"/>
  <c r="AG13" i="61" s="1"/>
  <c r="AG22" i="61" a="1"/>
  <c r="AG22" i="61" s="1"/>
  <c r="F74" i="32"/>
  <c r="F168" i="32" s="1"/>
  <c r="BK24" i="57"/>
  <c r="BR24" i="57" s="1"/>
  <c r="BY31" i="73" a="1"/>
  <c r="BY31" i="73" s="1"/>
  <c r="CH31" i="73" s="1" a="1"/>
  <c r="CH31" i="73" s="1"/>
  <c r="BN7" i="57"/>
  <c r="BN12" i="57"/>
  <c r="BN14" i="57"/>
  <c r="BV13" i="76" a="1"/>
  <c r="BV13" i="76" s="1"/>
  <c r="BX13" i="76" s="1"/>
  <c r="BY13" i="76" s="1"/>
  <c r="BV8" i="76" a="1"/>
  <c r="BV8" i="76" s="1"/>
  <c r="BX8" i="76" s="1"/>
  <c r="BY8" i="76" s="1"/>
  <c r="BV11" i="76" a="1"/>
  <c r="BV11" i="76" s="1"/>
  <c r="BX11" i="76" s="1"/>
  <c r="BY11" i="76" s="1"/>
  <c r="BV14" i="76" a="1"/>
  <c r="BV14" i="76" s="1"/>
  <c r="BX14" i="76" s="1"/>
  <c r="BY14" i="76" s="1"/>
  <c r="BV12" i="76" a="1"/>
  <c r="BV12" i="76" s="1"/>
  <c r="BX12" i="76" s="1"/>
  <c r="BY12" i="76" s="1"/>
  <c r="BN11" i="57"/>
  <c r="BV10" i="76" a="1"/>
  <c r="BV10" i="76" s="1"/>
  <c r="BX10" i="76" s="1"/>
  <c r="BY10" i="76" s="1"/>
  <c r="BV9" i="76" a="1"/>
  <c r="BV9" i="76" s="1"/>
  <c r="BX9" i="76" s="1"/>
  <c r="BY9" i="76" s="1"/>
  <c r="BV15" i="76" a="1"/>
  <c r="BV15" i="76" s="1"/>
  <c r="BX15" i="76" s="1"/>
  <c r="BY15" i="76" s="1"/>
  <c r="BV7" i="76" a="1"/>
  <c r="BV7" i="76" s="1"/>
  <c r="BX7" i="76" s="1"/>
  <c r="BY7" i="76" s="1"/>
  <c r="BV5" i="76" a="1"/>
  <c r="BV5" i="76" s="1"/>
  <c r="BX5" i="76" s="1"/>
  <c r="BY5" i="76" s="1"/>
  <c r="BV6" i="76" a="1"/>
  <c r="BV6" i="76" s="1"/>
  <c r="BX6" i="76" s="1"/>
  <c r="BY6" i="76" s="1"/>
  <c r="BV16" i="76" a="1"/>
  <c r="BV16" i="76" s="1"/>
  <c r="BX16" i="76" s="1"/>
  <c r="BY16" i="76" s="1"/>
  <c r="BN15" i="57"/>
  <c r="BN13" i="57"/>
  <c r="BS9" i="76" a="1"/>
  <c r="BS9" i="76" s="1"/>
  <c r="BN9" i="57"/>
  <c r="BN8" i="57"/>
  <c r="BN16" i="57"/>
  <c r="BN6" i="57"/>
  <c r="BN10" i="57"/>
  <c r="BN17" i="57"/>
  <c r="BW22" i="57"/>
  <c r="AR6" i="57"/>
  <c r="BQ25" i="57" a="1"/>
  <c r="BQ25" i="57" s="1"/>
  <c r="CA25" i="57" s="1" a="1"/>
  <c r="CA25" i="57" s="1"/>
  <c r="BR25" i="57" a="1"/>
  <c r="BR25" i="57" s="1"/>
  <c r="D155" i="40" a="1"/>
  <c r="D155" i="40" s="1"/>
  <c r="BK22" i="34" a="1"/>
  <c r="BK22" i="34" s="1"/>
  <c r="BL22" i="34" s="1" a="1"/>
  <c r="BL22" i="34" s="1"/>
  <c r="CW7" i="71" a="1"/>
  <c r="CW7" i="71" s="1"/>
  <c r="CX7" i="71" s="1"/>
  <c r="BO9" i="73"/>
  <c r="BP9" i="73" s="1"/>
  <c r="BS8" i="73" a="1"/>
  <c r="BS8" i="73" s="1"/>
  <c r="BS9" i="73" s="1"/>
  <c r="BQ8" i="73" a="1"/>
  <c r="BQ8" i="73" s="1"/>
  <c r="BR8" i="73" s="1"/>
  <c r="BR6" i="73"/>
  <c r="BQ7" i="73"/>
  <c r="BR7" i="73" s="1"/>
  <c r="BP7" i="73"/>
  <c r="BQ10" i="73"/>
  <c r="BR10" i="73" s="1"/>
  <c r="BA8" i="73"/>
  <c r="BD3" i="72"/>
  <c r="BL8" i="72"/>
  <c r="CT31" i="72"/>
  <c r="J155" i="40" a="1"/>
  <c r="J155" i="40" s="1"/>
  <c r="I155" i="40" a="1"/>
  <c r="I155" i="40" s="1"/>
  <c r="E80" i="32"/>
  <c r="BQ20" i="72"/>
  <c r="BQ26" i="72"/>
  <c r="BQ17" i="72"/>
  <c r="BQ18" i="72"/>
  <c r="BQ25" i="72"/>
  <c r="BQ21" i="72"/>
  <c r="BQ19" i="72"/>
  <c r="BQ24" i="72"/>
  <c r="BQ15" i="72"/>
  <c r="BQ22" i="72"/>
  <c r="BQ23" i="72"/>
  <c r="F80" i="32"/>
  <c r="I51" i="40" a="1"/>
  <c r="I51" i="40" s="1"/>
  <c r="J1" i="40"/>
  <c r="J185" i="40" s="1" a="1"/>
  <c r="J185" i="40" s="1"/>
  <c r="J186" i="40" s="1"/>
  <c r="J43" i="40" s="1"/>
  <c r="F109" i="32"/>
  <c r="N154" i="40" a="1"/>
  <c r="N154" i="40" s="1"/>
  <c r="M154" i="40" a="1"/>
  <c r="M154" i="40" s="1"/>
  <c r="D154" i="40" a="1"/>
  <c r="D154" i="40" s="1"/>
  <c r="G39" i="40"/>
  <c r="G38" i="40" s="1"/>
  <c r="G30" i="40"/>
  <c r="G23" i="40" s="1"/>
  <c r="K154" i="40" a="1"/>
  <c r="K154" i="40" s="1"/>
  <c r="N155" i="40" a="1"/>
  <c r="N155" i="40" s="1"/>
  <c r="M155" i="40" a="1"/>
  <c r="M155" i="40" s="1"/>
  <c r="E90" i="32"/>
  <c r="K109" i="32"/>
  <c r="E109" i="32"/>
  <c r="AG2" i="61"/>
  <c r="AH1" i="61"/>
  <c r="CZ5" i="71" a="1"/>
  <c r="CZ5" i="71" s="1"/>
  <c r="DC5" i="71" s="1"/>
  <c r="L155" i="40" a="1"/>
  <c r="L155" i="40" s="1"/>
  <c r="E53" i="32"/>
  <c r="J154" i="40" a="1"/>
  <c r="J154" i="40" s="1"/>
  <c r="I154" i="40" a="1"/>
  <c r="I154" i="40" s="1"/>
  <c r="L154" i="40" a="1"/>
  <c r="L154" i="40" s="1"/>
  <c r="H154" i="40" a="1"/>
  <c r="H154" i="40" s="1"/>
  <c r="F90" i="32"/>
  <c r="D64" i="40"/>
  <c r="D56" i="40"/>
  <c r="D7" i="40" s="1"/>
  <c r="D78" i="40"/>
  <c r="D79" i="40" s="1"/>
  <c r="D15" i="40" s="1"/>
  <c r="H155" i="40" a="1"/>
  <c r="H155" i="40" s="1"/>
  <c r="F155" i="40" a="1"/>
  <c r="F155" i="40" s="1"/>
  <c r="O154" i="40" a="1"/>
  <c r="O154" i="40" s="1"/>
  <c r="F154" i="40" a="1"/>
  <c r="F154" i="40" s="1"/>
  <c r="C65" i="40"/>
  <c r="C121" i="40"/>
  <c r="AD5" i="53" a="1"/>
  <c r="AD5" i="53" s="1"/>
  <c r="F33" i="32" a="1"/>
  <c r="F33" i="32" s="1"/>
  <c r="E155" i="40" a="1"/>
  <c r="E155" i="40" s="1"/>
  <c r="C131" i="40"/>
  <c r="E14" i="32" a="1"/>
  <c r="E14" i="32" s="1"/>
  <c r="P41" i="32"/>
  <c r="E154" i="40" a="1"/>
  <c r="E154" i="40" s="1"/>
  <c r="AG61" i="6" l="1"/>
  <c r="AJ61" i="6" s="1"/>
  <c r="AG68" i="6"/>
  <c r="AJ68" i="6" s="1"/>
  <c r="E26" i="46" s="1"/>
  <c r="AG69" i="6"/>
  <c r="AJ69" i="6" s="1"/>
  <c r="AH60" i="6"/>
  <c r="AI60" i="6" s="1"/>
  <c r="AG63" i="6"/>
  <c r="AJ63" i="6" s="1"/>
  <c r="F26" i="46" s="1"/>
  <c r="AK48" i="6"/>
  <c r="AL48" i="6" s="1"/>
  <c r="AM48" i="6" s="1"/>
  <c r="AT3" i="73"/>
  <c r="AU3" i="73" s="1"/>
  <c r="AG58" i="6"/>
  <c r="AJ58" i="6" s="1"/>
  <c r="AG57" i="6"/>
  <c r="AJ57" i="6" s="1"/>
  <c r="G25" i="46" s="1"/>
  <c r="K7" i="3" s="1"/>
  <c r="BF3" i="73"/>
  <c r="G26" i="46"/>
  <c r="K6" i="3" s="1"/>
  <c r="E25" i="46"/>
  <c r="AW48" i="6"/>
  <c r="AH5" i="61"/>
  <c r="AH4" i="61"/>
  <c r="F24" i="46"/>
  <c r="AH71" i="6"/>
  <c r="AI71" i="6" s="1"/>
  <c r="AH67" i="6"/>
  <c r="AI67" i="6" s="1"/>
  <c r="E24" i="46"/>
  <c r="AH54" i="6"/>
  <c r="AI54" i="6" s="1"/>
  <c r="AH57" i="6"/>
  <c r="AI57" i="6" s="1"/>
  <c r="F25" i="46"/>
  <c r="AH50" i="6"/>
  <c r="AI50" i="6" s="1"/>
  <c r="G24" i="46"/>
  <c r="K106" i="32"/>
  <c r="J103" i="32"/>
  <c r="K82" i="32"/>
  <c r="K83" i="32"/>
  <c r="AK55" i="6"/>
  <c r="AL55" i="6" s="1"/>
  <c r="AM55" i="6" s="1"/>
  <c r="AK56" i="6"/>
  <c r="AL56" i="6" s="1"/>
  <c r="AM56" i="6" s="1"/>
  <c r="AK59" i="6"/>
  <c r="AL59" i="6" s="1"/>
  <c r="AM59" i="6" s="1"/>
  <c r="AK63" i="6"/>
  <c r="AL63" i="6" s="1"/>
  <c r="AM63" i="6" s="1"/>
  <c r="AK68" i="6"/>
  <c r="AL68" i="6" s="1"/>
  <c r="AM68" i="6" s="1"/>
  <c r="AB68" i="6" s="1" a="1"/>
  <c r="AB68" i="6" s="1"/>
  <c r="AK69" i="6"/>
  <c r="AL69" i="6" s="1"/>
  <c r="AM69" i="6" s="1"/>
  <c r="AB69" i="6" s="1" a="1"/>
  <c r="AB69" i="6" s="1"/>
  <c r="AK46" i="6" a="1"/>
  <c r="AK46" i="6" s="1"/>
  <c r="AL46" i="6" s="1" a="1"/>
  <c r="AL46" i="6" s="1"/>
  <c r="AM46" i="6" s="1"/>
  <c r="AK45" i="6" a="1"/>
  <c r="AK45" i="6" s="1"/>
  <c r="AL45" i="6" s="1" a="1"/>
  <c r="AL45" i="6" s="1"/>
  <c r="AM45" i="6" s="1"/>
  <c r="AH29" i="61" a="1"/>
  <c r="AH29" i="61" s="1"/>
  <c r="P134" i="32"/>
  <c r="P163" i="32"/>
  <c r="CB25" i="57" a="1"/>
  <c r="CB25" i="57" s="1"/>
  <c r="AS7" i="57"/>
  <c r="AS8" i="57"/>
  <c r="AS9" i="57"/>
  <c r="BB10" i="73"/>
  <c r="BB9" i="73"/>
  <c r="AT8" i="73"/>
  <c r="AT9" i="73"/>
  <c r="AT10" i="73"/>
  <c r="CC25" i="57" a="1"/>
  <c r="CC25" i="57" s="1"/>
  <c r="K13" i="32" a="1"/>
  <c r="K13" i="32" s="1"/>
  <c r="AK21" i="49"/>
  <c r="AK20" i="49" a="1"/>
  <c r="AK20" i="49" s="1"/>
  <c r="E167" i="32"/>
  <c r="E140" i="32"/>
  <c r="E141" i="32"/>
  <c r="E139" i="32"/>
  <c r="E160" i="32"/>
  <c r="V19" i="68"/>
  <c r="V31" i="68" s="1"/>
  <c r="V32" i="68" s="1"/>
  <c r="V20" i="68"/>
  <c r="J13" i="32" a="1"/>
  <c r="J13" i="32" s="1"/>
  <c r="J12" i="32" s="1"/>
  <c r="O13" i="68" a="1"/>
  <c r="O13" i="68" s="1"/>
  <c r="S13" i="68" a="1"/>
  <c r="S13" i="68" s="1"/>
  <c r="C13" i="68" a="1"/>
  <c r="C13" i="68" s="1"/>
  <c r="C41" i="68" s="1"/>
  <c r="O145" i="32"/>
  <c r="O146" i="32" s="1"/>
  <c r="O149" i="32" s="1"/>
  <c r="O163" i="32"/>
  <c r="O20" i="32"/>
  <c r="O134" i="32"/>
  <c r="AH52" i="61" a="1"/>
  <c r="AH52" i="61" s="1"/>
  <c r="AH48" i="61" a="1"/>
  <c r="AH48" i="61" s="1"/>
  <c r="AH35" i="61" a="1"/>
  <c r="AH35" i="61" s="1"/>
  <c r="AH56" i="61" a="1"/>
  <c r="AH56" i="61" s="1"/>
  <c r="AH45" i="61" a="1"/>
  <c r="AH45" i="61" s="1"/>
  <c r="AH28" i="61" a="1"/>
  <c r="AH28" i="61" s="1"/>
  <c r="AH53" i="61" a="1"/>
  <c r="AH53" i="61" s="1"/>
  <c r="AH49" i="61" a="1"/>
  <c r="AH49" i="61" s="1"/>
  <c r="AH33" i="61" a="1"/>
  <c r="AH33" i="61" s="1"/>
  <c r="AH42" i="61" a="1"/>
  <c r="AH42" i="61" s="1"/>
  <c r="AH38" i="61" a="1"/>
  <c r="AH38" i="61" s="1"/>
  <c r="AH26" i="61" a="1"/>
  <c r="AH26" i="61" s="1"/>
  <c r="AH46" i="61" a="1"/>
  <c r="AH46" i="61" s="1"/>
  <c r="AH31" i="61" a="1"/>
  <c r="AH31" i="61" s="1"/>
  <c r="AH57" i="61" a="1"/>
  <c r="AH57" i="61" s="1"/>
  <c r="AH50" i="61" a="1"/>
  <c r="AH50" i="61" s="1"/>
  <c r="AH41" i="61" a="1"/>
  <c r="AH41" i="61" s="1"/>
  <c r="AH36" i="61" a="1"/>
  <c r="AH36" i="61" s="1"/>
  <c r="AH43" i="61" a="1"/>
  <c r="AH43" i="61" s="1"/>
  <c r="AH40" i="61" a="1"/>
  <c r="AH40" i="61" s="1"/>
  <c r="AH47" i="61" a="1"/>
  <c r="AH47" i="61" s="1"/>
  <c r="AH44" i="61" a="1"/>
  <c r="AH44" i="61" s="1"/>
  <c r="AH32" i="61" a="1"/>
  <c r="AH32" i="61" s="1"/>
  <c r="AH54" i="61" a="1"/>
  <c r="AH54" i="61" s="1"/>
  <c r="AH25" i="61" a="1"/>
  <c r="AH25" i="61" s="1"/>
  <c r="AH20" i="61" a="1"/>
  <c r="AH20" i="61" s="1"/>
  <c r="AH12" i="61" a="1"/>
  <c r="AH12" i="61" s="1"/>
  <c r="AH23" i="61" a="1"/>
  <c r="AH23" i="61" s="1"/>
  <c r="AH37" i="61" a="1"/>
  <c r="AH37" i="61" s="1"/>
  <c r="AH15" i="61" a="1"/>
  <c r="AH15" i="61" s="1"/>
  <c r="AH11" i="61" a="1"/>
  <c r="AH11" i="61" s="1"/>
  <c r="AH34" i="61" a="1"/>
  <c r="AH34" i="61" s="1"/>
  <c r="AH21" i="61" a="1"/>
  <c r="AH21" i="61" s="1"/>
  <c r="AH16" i="61" a="1"/>
  <c r="AH16" i="61" s="1"/>
  <c r="AH9" i="61" a="1"/>
  <c r="AH9" i="61" s="1"/>
  <c r="AH14" i="61" a="1"/>
  <c r="AH14" i="61" s="1"/>
  <c r="AH10" i="61" a="1"/>
  <c r="AH10" i="61" s="1"/>
  <c r="AH55" i="61" a="1"/>
  <c r="AH55" i="61" s="1"/>
  <c r="AH51" i="61" a="1"/>
  <c r="AH51" i="61" s="1"/>
  <c r="AH18" i="61" a="1"/>
  <c r="AH18" i="61" s="1"/>
  <c r="AH17" i="61" a="1"/>
  <c r="AH17" i="61" s="1"/>
  <c r="AH24" i="61" a="1"/>
  <c r="AH24" i="61" s="1"/>
  <c r="AH39" i="61" a="1"/>
  <c r="AH39" i="61" s="1"/>
  <c r="AH30" i="61" a="1"/>
  <c r="AH30" i="61" s="1"/>
  <c r="AH22" i="61" a="1"/>
  <c r="AH22" i="61" s="1"/>
  <c r="AH19" i="61" a="1"/>
  <c r="AH19" i="61" s="1"/>
  <c r="AH27" i="61" a="1"/>
  <c r="AH27" i="61" s="1"/>
  <c r="AH13" i="61" a="1"/>
  <c r="AH13" i="61" s="1"/>
  <c r="BQ13" i="73" a="1"/>
  <c r="BQ13" i="73" s="1"/>
  <c r="BR13" i="72" a="1"/>
  <c r="BR13" i="72" s="1"/>
  <c r="BS15" i="76" a="1"/>
  <c r="BS15" i="76" s="1"/>
  <c r="BS7" i="76" a="1"/>
  <c r="BS7" i="76" s="1"/>
  <c r="BT7" i="76" s="1"/>
  <c r="BU7" i="76" s="1"/>
  <c r="BI10" i="57" a="1"/>
  <c r="BI10" i="57" s="1"/>
  <c r="BS13" i="76" a="1"/>
  <c r="BS13" i="76" s="1"/>
  <c r="BS12" i="76" a="1"/>
  <c r="BS12" i="76" s="1"/>
  <c r="BS5" i="76" a="1"/>
  <c r="BS5" i="76" s="1"/>
  <c r="BL25" i="57" a="1"/>
  <c r="BL25" i="57" s="1"/>
  <c r="BJ17" i="57" a="1"/>
  <c r="BJ17" i="57" s="1"/>
  <c r="BJ9" i="57" a="1"/>
  <c r="BJ9" i="57" s="1"/>
  <c r="BJ7" i="57" a="1"/>
  <c r="BJ7" i="57" s="1"/>
  <c r="BJ10" i="57" a="1"/>
  <c r="BJ10" i="57" s="1"/>
  <c r="BJ15" i="57" a="1"/>
  <c r="BJ15" i="57" s="1"/>
  <c r="BJ16" i="57" a="1"/>
  <c r="BJ16" i="57" s="1"/>
  <c r="BJ13" i="57" a="1"/>
  <c r="BJ13" i="57" s="1"/>
  <c r="BJ11" i="57" a="1"/>
  <c r="BJ11" i="57" s="1"/>
  <c r="BJ14" i="57" a="1"/>
  <c r="BJ14" i="57" s="1"/>
  <c r="BJ12" i="57" a="1"/>
  <c r="BJ12" i="57" s="1"/>
  <c r="BJ8" i="57" a="1"/>
  <c r="BJ8" i="57" s="1"/>
  <c r="BJ6" i="57" a="1"/>
  <c r="BJ6" i="57" s="1"/>
  <c r="AS6" i="57"/>
  <c r="CZ7" i="71" a="1"/>
  <c r="CZ7" i="71" s="1"/>
  <c r="DB7" i="71" s="1"/>
  <c r="L34" i="68" a="1"/>
  <c r="L34" i="68" s="1"/>
  <c r="BT9" i="76"/>
  <c r="BU9" i="76" s="1"/>
  <c r="AZ5" i="76"/>
  <c r="BD5" i="76" s="1"/>
  <c r="BE5" i="76" s="1"/>
  <c r="CP5" i="76" a="1"/>
  <c r="CP5" i="76" s="1"/>
  <c r="BQ9" i="73"/>
  <c r="BR9" i="73" s="1"/>
  <c r="BQ12" i="73" a="1"/>
  <c r="BQ12" i="73" s="1"/>
  <c r="BO13" i="73" a="1"/>
  <c r="BO13" i="73" s="1"/>
  <c r="E23" i="32" a="1"/>
  <c r="E23" i="32" s="1"/>
  <c r="CW37" i="71" a="1"/>
  <c r="CW37" i="71" s="1"/>
  <c r="CY37" i="71" s="1" a="1"/>
  <c r="CY37" i="71" s="1"/>
  <c r="AS5" i="72"/>
  <c r="AU5" i="72"/>
  <c r="AU6" i="72"/>
  <c r="BE3" i="72"/>
  <c r="BG3" i="72" s="1"/>
  <c r="BF3" i="72" s="1"/>
  <c r="CU31" i="72" a="1"/>
  <c r="CU31" i="72" s="1"/>
  <c r="BG8" i="72"/>
  <c r="AS6" i="72"/>
  <c r="F23" i="32" a="1"/>
  <c r="F23" i="32" s="1"/>
  <c r="F22" i="32" s="1" a="1"/>
  <c r="F22" i="32" s="1"/>
  <c r="BP8" i="72" a="1"/>
  <c r="BP8" i="72" s="1"/>
  <c r="BS23" i="72"/>
  <c r="BR12" i="72" a="1"/>
  <c r="BR12" i="72" s="1"/>
  <c r="BS16" i="72"/>
  <c r="BS19" i="72"/>
  <c r="BS18" i="72"/>
  <c r="BS21" i="72"/>
  <c r="BS26" i="72"/>
  <c r="BP13" i="72" a="1"/>
  <c r="BP13" i="72" s="1"/>
  <c r="BS25" i="72"/>
  <c r="BS20" i="72"/>
  <c r="CW48" i="71" a="1"/>
  <c r="CW48" i="71" s="1"/>
  <c r="CY48" i="71" s="1" a="1"/>
  <c r="CY48" i="71" s="1"/>
  <c r="DA48" i="71" s="1"/>
  <c r="BS22" i="72"/>
  <c r="BQ16" i="72"/>
  <c r="BS15" i="72"/>
  <c r="BS17" i="72"/>
  <c r="BS24" i="72"/>
  <c r="E39" i="40"/>
  <c r="E38" i="40" s="1"/>
  <c r="E30" i="40"/>
  <c r="E23" i="40" s="1"/>
  <c r="M39" i="40"/>
  <c r="M38" i="40" s="1"/>
  <c r="M30" i="40"/>
  <c r="M23" i="40" s="1"/>
  <c r="C7" i="40"/>
  <c r="H39" i="40"/>
  <c r="H38" i="40" s="1"/>
  <c r="H30" i="40"/>
  <c r="H23" i="40" s="1"/>
  <c r="E74" i="32"/>
  <c r="E168" i="32" s="1"/>
  <c r="E41" i="32"/>
  <c r="D103" i="40"/>
  <c r="D65" i="40"/>
  <c r="D11" i="40" s="1"/>
  <c r="K39" i="40"/>
  <c r="K38" i="40" s="1"/>
  <c r="K30" i="40"/>
  <c r="K23" i="40" s="1"/>
  <c r="N39" i="40"/>
  <c r="N38" i="40" s="1"/>
  <c r="N30" i="40"/>
  <c r="N23" i="40" s="1"/>
  <c r="AH2" i="61"/>
  <c r="AI1" i="61"/>
  <c r="H35" i="68" a="1"/>
  <c r="H35" i="68" s="1"/>
  <c r="H34" i="68" a="1"/>
  <c r="H34" i="68" s="1"/>
  <c r="I30" i="40"/>
  <c r="I23" i="40" s="1"/>
  <c r="I39" i="40"/>
  <c r="I38" i="40" s="1"/>
  <c r="D39" i="40"/>
  <c r="D30" i="40"/>
  <c r="F41" i="32"/>
  <c r="K32" i="32"/>
  <c r="L39" i="40"/>
  <c r="L38" i="40" s="1"/>
  <c r="L30" i="40"/>
  <c r="L23" i="40" s="1"/>
  <c r="F39" i="40"/>
  <c r="F38" i="40" s="1"/>
  <c r="F30" i="40"/>
  <c r="F23" i="40" s="1"/>
  <c r="O39" i="40"/>
  <c r="O38" i="40" s="1"/>
  <c r="O30" i="40"/>
  <c r="O23" i="40" s="1"/>
  <c r="J39" i="40"/>
  <c r="J38" i="40" s="1"/>
  <c r="J30" i="40"/>
  <c r="J23" i="40" s="1"/>
  <c r="BS14" i="76" a="1"/>
  <c r="BS14" i="76" s="1"/>
  <c r="J51" i="40" a="1"/>
  <c r="J51" i="40" s="1"/>
  <c r="K1" i="40"/>
  <c r="K185" i="40" s="1" a="1"/>
  <c r="K185" i="40" s="1"/>
  <c r="K186" i="40" s="1"/>
  <c r="K43" i="40" s="1"/>
  <c r="AK58" i="6" l="1"/>
  <c r="AL58" i="6" s="1"/>
  <c r="AM58" i="6" s="1"/>
  <c r="AV3" i="73"/>
  <c r="AW3" i="73" s="1" a="1"/>
  <c r="AW3" i="73" s="1"/>
  <c r="AB56" i="6" a="1"/>
  <c r="AB56" i="6" s="1"/>
  <c r="AB55" i="6" a="1"/>
  <c r="AB55" i="6" s="1"/>
  <c r="AB63" i="6" a="1"/>
  <c r="AB63" i="6" s="1"/>
  <c r="AB59" i="6" a="1"/>
  <c r="AB59" i="6" s="1"/>
  <c r="AB48" i="6" a="1"/>
  <c r="AB48" i="6" s="1"/>
  <c r="E2" i="46"/>
  <c r="AK70" i="6"/>
  <c r="AL70" i="6" s="1"/>
  <c r="AM70" i="6" s="1"/>
  <c r="AK71" i="6"/>
  <c r="AL71" i="6" s="1"/>
  <c r="AM71" i="6" s="1"/>
  <c r="AB71" i="6" s="1" a="1"/>
  <c r="AB71" i="6" s="1"/>
  <c r="F4" i="46"/>
  <c r="AK53" i="6"/>
  <c r="AL53" i="6" s="1"/>
  <c r="AM53" i="6" s="1"/>
  <c r="AK67" i="6"/>
  <c r="AL67" i="6" s="1"/>
  <c r="AM67" i="6" s="1"/>
  <c r="AB67" i="6" s="1" a="1"/>
  <c r="AB67" i="6" s="1"/>
  <c r="AK61" i="6"/>
  <c r="AL61" i="6" s="1"/>
  <c r="AM61" i="6" s="1"/>
  <c r="AK60" i="6"/>
  <c r="AL60" i="6" s="1"/>
  <c r="AM60" i="6" s="1"/>
  <c r="AK66" i="6"/>
  <c r="AL66" i="6" s="1"/>
  <c r="AM66" i="6" s="1"/>
  <c r="AK54" i="6"/>
  <c r="AL54" i="6" s="1"/>
  <c r="AM54" i="6" s="1"/>
  <c r="AK62" i="6"/>
  <c r="AL62" i="6" s="1"/>
  <c r="AM62" i="6" s="1"/>
  <c r="AI5" i="61"/>
  <c r="AI4" i="61"/>
  <c r="AK65" i="6"/>
  <c r="AL65" i="6" s="1"/>
  <c r="AM65" i="6" s="1"/>
  <c r="AK51" i="6"/>
  <c r="AL51" i="6" s="1"/>
  <c r="AM51" i="6" s="1"/>
  <c r="G4" i="46"/>
  <c r="G2" i="46"/>
  <c r="K8" i="3"/>
  <c r="AK64" i="6"/>
  <c r="AL64" i="6" s="1"/>
  <c r="AM64" i="6" s="1"/>
  <c r="AK52" i="6"/>
  <c r="AL52" i="6" s="1"/>
  <c r="AM52" i="6" s="1"/>
  <c r="AK50" i="6"/>
  <c r="AL50" i="6" s="1"/>
  <c r="AM50" i="6" s="1"/>
  <c r="AK49" i="6"/>
  <c r="AL49" i="6" s="1"/>
  <c r="AM49" i="6" s="1"/>
  <c r="F2" i="46"/>
  <c r="AK57" i="6"/>
  <c r="AL57" i="6" s="1"/>
  <c r="AM57" i="6" s="1"/>
  <c r="E4" i="46"/>
  <c r="D104" i="40"/>
  <c r="D17" i="40" s="1"/>
  <c r="C17" i="40" s="1"/>
  <c r="D70" i="40"/>
  <c r="D14" i="40" s="1"/>
  <c r="E70" i="40"/>
  <c r="F70" i="40"/>
  <c r="G70" i="40"/>
  <c r="H70" i="40"/>
  <c r="I70" i="40"/>
  <c r="J70" i="40"/>
  <c r="K70" i="40"/>
  <c r="L70" i="40"/>
  <c r="M70" i="40"/>
  <c r="N70" i="40"/>
  <c r="O70" i="40"/>
  <c r="BM25" i="57" a="1"/>
  <c r="BM25" i="57" s="1"/>
  <c r="BM22" i="57" s="1"/>
  <c r="AN7" i="57"/>
  <c r="AN8" i="57"/>
  <c r="AN9" i="57"/>
  <c r="CD25" i="57" a="1"/>
  <c r="CD25" i="57" s="1"/>
  <c r="CC21" i="57" s="1"/>
  <c r="CD21" i="57" s="1"/>
  <c r="AU8" i="57"/>
  <c r="AU9" i="57"/>
  <c r="AU7" i="57"/>
  <c r="BA8" i="76"/>
  <c r="BA6" i="76"/>
  <c r="BA7" i="76"/>
  <c r="BA9" i="76"/>
  <c r="CQ6" i="71" a="1"/>
  <c r="CQ6" i="71" s="1"/>
  <c r="CT6" i="71" s="1" a="1"/>
  <c r="CT6" i="71" s="1"/>
  <c r="CR6" i="71" s="1" a="1"/>
  <c r="CR6" i="71" s="1"/>
  <c r="CS6" i="71" s="1"/>
  <c r="AT8" i="57"/>
  <c r="AT7" i="57"/>
  <c r="AT9" i="57"/>
  <c r="AU6" i="57"/>
  <c r="V6" i="68"/>
  <c r="V7" i="68" s="1"/>
  <c r="V8" i="68" s="1"/>
  <c r="S41" i="68"/>
  <c r="S11" i="68"/>
  <c r="O125" i="32"/>
  <c r="O164" i="32"/>
  <c r="O40" i="32"/>
  <c r="J147" i="32"/>
  <c r="J148" i="32" s="1"/>
  <c r="J20" i="32"/>
  <c r="AI56" i="61" a="1"/>
  <c r="AI56" i="61" s="1"/>
  <c r="AI45" i="61" a="1"/>
  <c r="AI45" i="61" s="1"/>
  <c r="AI28" i="61" a="1"/>
  <c r="AI28" i="61" s="1"/>
  <c r="AI53" i="61" a="1"/>
  <c r="AI53" i="61" s="1"/>
  <c r="AI49" i="61" a="1"/>
  <c r="AI49" i="61" s="1"/>
  <c r="AI33" i="61" a="1"/>
  <c r="AI33" i="61" s="1"/>
  <c r="AI42" i="61" a="1"/>
  <c r="AI42" i="61" s="1"/>
  <c r="AI38" i="61" a="1"/>
  <c r="AI38" i="61" s="1"/>
  <c r="AI46" i="61" a="1"/>
  <c r="AI46" i="61" s="1"/>
  <c r="AI31" i="61" a="1"/>
  <c r="AI31" i="61" s="1"/>
  <c r="AI57" i="61" a="1"/>
  <c r="AI57" i="61" s="1"/>
  <c r="AI50" i="61" a="1"/>
  <c r="AI50" i="61" s="1"/>
  <c r="AI41" i="61" a="1"/>
  <c r="AI41" i="61" s="1"/>
  <c r="AI36" i="61" a="1"/>
  <c r="AI36" i="61" s="1"/>
  <c r="AI43" i="61" a="1"/>
  <c r="AI43" i="61" s="1"/>
  <c r="AI40" i="61" a="1"/>
  <c r="AI40" i="61" s="1"/>
  <c r="AI29" i="61" a="1"/>
  <c r="AI29" i="61" s="1"/>
  <c r="AI54" i="61" a="1"/>
  <c r="AI54" i="61" s="1"/>
  <c r="AI51" i="61" a="1"/>
  <c r="AI51" i="61" s="1"/>
  <c r="AI39" i="61" a="1"/>
  <c r="AI39" i="61" s="1"/>
  <c r="AI34" i="61" a="1"/>
  <c r="AI34" i="61" s="1"/>
  <c r="AI47" i="61" a="1"/>
  <c r="AI47" i="61" s="1"/>
  <c r="AI44" i="61" a="1"/>
  <c r="AI44" i="61" s="1"/>
  <c r="AI32" i="61" a="1"/>
  <c r="AI32" i="61" s="1"/>
  <c r="AI55" i="61" a="1"/>
  <c r="AI55" i="61" s="1"/>
  <c r="AI37" i="61" a="1"/>
  <c r="AI37" i="61" s="1"/>
  <c r="AI52" i="61" a="1"/>
  <c r="AI52" i="61" s="1"/>
  <c r="AI48" i="61" a="1"/>
  <c r="AI48"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6" i="61" a="1"/>
  <c r="AI26" i="61" s="1"/>
  <c r="AI24" i="61" a="1"/>
  <c r="AI24" i="61" s="1"/>
  <c r="AI35" i="61" a="1"/>
  <c r="AI35" i="61" s="1"/>
  <c r="AI30" i="61" a="1"/>
  <c r="AI30" i="61" s="1"/>
  <c r="AI22" i="61" a="1"/>
  <c r="AI22" i="61" s="1"/>
  <c r="AI27" i="61" a="1"/>
  <c r="AI27" i="61" s="1"/>
  <c r="AI25" i="61" a="1"/>
  <c r="AI25" i="61" s="1"/>
  <c r="AI20" i="61" a="1"/>
  <c r="AI20" i="61" s="1"/>
  <c r="AI19" i="61" a="1"/>
  <c r="AI19" i="61" s="1"/>
  <c r="AI12" i="61" a="1"/>
  <c r="AI12" i="61" s="1"/>
  <c r="AI11" i="61" a="1"/>
  <c r="AI11" i="61" s="1"/>
  <c r="AI15" i="61" a="1"/>
  <c r="AI15" i="61" s="1"/>
  <c r="BT13" i="72"/>
  <c r="J6" i="71"/>
  <c r="I6" i="71" s="1"/>
  <c r="K34" i="68" a="1"/>
  <c r="K34" i="68" s="1"/>
  <c r="K36" i="68" s="1"/>
  <c r="BT15" i="76"/>
  <c r="BU15" i="76" s="1"/>
  <c r="BI9" i="57" a="1"/>
  <c r="BI9" i="57" s="1"/>
  <c r="BK9" i="57" s="1"/>
  <c r="BS8" i="76" a="1"/>
  <c r="BS8" i="76" s="1"/>
  <c r="BT8" i="76" s="1"/>
  <c r="BU8" i="76" s="1"/>
  <c r="BI11" i="57" a="1"/>
  <c r="BI11" i="57" s="1"/>
  <c r="BK11" i="57" s="1"/>
  <c r="BS10" i="76" a="1"/>
  <c r="BS10" i="76" s="1"/>
  <c r="BT10" i="76" s="1"/>
  <c r="BU10" i="76" s="1"/>
  <c r="BS25" i="57" a="1"/>
  <c r="BS25" i="57" s="1"/>
  <c r="BX25" i="57" s="1" a="1"/>
  <c r="BX25" i="57" s="1"/>
  <c r="AN6" i="57"/>
  <c r="BK10" i="57"/>
  <c r="BI14" i="57" a="1"/>
  <c r="BI14" i="57" s="1"/>
  <c r="BK14" i="57" s="1"/>
  <c r="BI16" i="57" a="1"/>
  <c r="BI16" i="57" s="1"/>
  <c r="BK16" i="57" s="1"/>
  <c r="BI15" i="57" a="1"/>
  <c r="BI15" i="57" s="1"/>
  <c r="BK15" i="57" s="1"/>
  <c r="AT6" i="57"/>
  <c r="D34" i="68" a="1"/>
  <c r="D34" i="68" s="1"/>
  <c r="D36" i="68" s="1"/>
  <c r="CW34" i="71" a="1"/>
  <c r="CW34" i="71" s="1"/>
  <c r="CY34" i="71" s="1" a="1"/>
  <c r="CY34" i="71" s="1"/>
  <c r="K35" i="68" a="1"/>
  <c r="K35" i="68" s="1"/>
  <c r="F35" i="68" a="1"/>
  <c r="F35" i="68" s="1"/>
  <c r="F34" i="68" a="1"/>
  <c r="F34" i="68" s="1"/>
  <c r="F36" i="68" s="1"/>
  <c r="D35" i="68" a="1"/>
  <c r="D35" i="68" s="1"/>
  <c r="DC7" i="71"/>
  <c r="F10" i="32"/>
  <c r="BT12" i="76"/>
  <c r="BU12" i="76" s="1"/>
  <c r="P21" i="32"/>
  <c r="N35" i="68" a="1"/>
  <c r="N35" i="68" s="1"/>
  <c r="N34" i="68" a="1"/>
  <c r="N34" i="68" s="1"/>
  <c r="L35" i="68" a="1"/>
  <c r="L35" i="68" s="1"/>
  <c r="L33" i="68" s="1"/>
  <c r="L47" i="68" s="1"/>
  <c r="L48" i="68" s="1"/>
  <c r="K21" i="32"/>
  <c r="BT13" i="76"/>
  <c r="BU13" i="76" s="1"/>
  <c r="E22" i="32" a="1"/>
  <c r="E22" i="32" s="1"/>
  <c r="BT5" i="76"/>
  <c r="BU5" i="76" s="1"/>
  <c r="BT14" i="76"/>
  <c r="BU14" i="76" s="1"/>
  <c r="CQ5" i="76" a="1"/>
  <c r="CQ5" i="76" s="1"/>
  <c r="BA5" i="76"/>
  <c r="AX3" i="73"/>
  <c r="AY3" i="73" s="1"/>
  <c r="AT5" i="73"/>
  <c r="AR5" i="73"/>
  <c r="AR6" i="73"/>
  <c r="AT6" i="73"/>
  <c r="E10" i="32"/>
  <c r="E11" i="32" s="1"/>
  <c r="BT8" i="72" a="1"/>
  <c r="BT8" i="72" s="1"/>
  <c r="BQ8" i="72"/>
  <c r="BR8" i="72" a="1"/>
  <c r="BR8" i="72" s="1"/>
  <c r="BS8" i="72" s="1"/>
  <c r="DA37" i="71"/>
  <c r="H33" i="68"/>
  <c r="H47" i="68" s="1"/>
  <c r="H48" i="68" s="1"/>
  <c r="H36" i="68"/>
  <c r="L1" i="40"/>
  <c r="L185" i="40" s="1" a="1"/>
  <c r="L185" i="40" s="1"/>
  <c r="L186" i="40" s="1"/>
  <c r="L43" i="40" s="1"/>
  <c r="K51" i="40" a="1"/>
  <c r="K51" i="40" s="1"/>
  <c r="I35" i="68" a="1"/>
  <c r="I35" i="68" s="1"/>
  <c r="I34" i="68" a="1"/>
  <c r="I34" i="68" s="1"/>
  <c r="G34" i="68" a="1"/>
  <c r="G34" i="68" s="1"/>
  <c r="G35" i="68" a="1"/>
  <c r="G35" i="68" s="1"/>
  <c r="D35" i="40"/>
  <c r="C11" i="40"/>
  <c r="D116" i="40"/>
  <c r="D117" i="40" s="1"/>
  <c r="D19" i="40" s="1"/>
  <c r="D122" i="40"/>
  <c r="C30" i="40"/>
  <c r="D23" i="40"/>
  <c r="C39" i="40"/>
  <c r="C38" i="40" s="1"/>
  <c r="D38" i="40"/>
  <c r="L36" i="68"/>
  <c r="AI2" i="61"/>
  <c r="AJ1" i="61"/>
  <c r="M35" i="68" a="1"/>
  <c r="M35" i="68" s="1"/>
  <c r="M34" i="68" a="1"/>
  <c r="M34" i="68" s="1"/>
  <c r="G13" i="54" a="1"/>
  <c r="G13" i="54" s="1"/>
  <c r="T6" i="71"/>
  <c r="AB64" i="6" l="1" a="1"/>
  <c r="AB64" i="6" s="1"/>
  <c r="AB61" i="6" a="1"/>
  <c r="AB61" i="6" s="1"/>
  <c r="AB58" i="6" a="1"/>
  <c r="AB58" i="6" s="1"/>
  <c r="AB51" i="6" a="1"/>
  <c r="AB51" i="6" s="1"/>
  <c r="AB65" i="6" a="1"/>
  <c r="AB65" i="6" s="1"/>
  <c r="AB70" i="6" a="1"/>
  <c r="AB70" i="6" s="1"/>
  <c r="AB53" i="6" a="1"/>
  <c r="AB53" i="6" s="1"/>
  <c r="AB57" i="6" a="1"/>
  <c r="AB57" i="6" s="1"/>
  <c r="AB62" i="6" a="1"/>
  <c r="AB62" i="6" s="1"/>
  <c r="AB49" i="6" a="1"/>
  <c r="AB49" i="6" s="1"/>
  <c r="AB54" i="6" a="1"/>
  <c r="AB54" i="6" s="1"/>
  <c r="AB50" i="6" a="1"/>
  <c r="AB50" i="6" s="1"/>
  <c r="AB66" i="6" a="1"/>
  <c r="AB66" i="6" s="1"/>
  <c r="AB52" i="6" a="1"/>
  <c r="AB52" i="6" s="1"/>
  <c r="AB60" i="6" a="1"/>
  <c r="AB60" i="6" s="1"/>
  <c r="AJ4" i="61"/>
  <c r="AJ5" i="61"/>
  <c r="J81" i="32"/>
  <c r="K81" i="32"/>
  <c r="J104" i="32"/>
  <c r="K104" i="32"/>
  <c r="AW49" i="6"/>
  <c r="AW50" i="6"/>
  <c r="AW51" i="6"/>
  <c r="AW52" i="6"/>
  <c r="AW53" i="6"/>
  <c r="AW54" i="6"/>
  <c r="AW55" i="6"/>
  <c r="AW56" i="6"/>
  <c r="AW57" i="6"/>
  <c r="AW58" i="6"/>
  <c r="AW59" i="6"/>
  <c r="AW60" i="6"/>
  <c r="AW61" i="6"/>
  <c r="AW62" i="6"/>
  <c r="AW63" i="6"/>
  <c r="AW64" i="6"/>
  <c r="AW65" i="6"/>
  <c r="AW66" i="6"/>
  <c r="AW67" i="6"/>
  <c r="AW68" i="6"/>
  <c r="AW69" i="6"/>
  <c r="AW70" i="6"/>
  <c r="AW71" i="6"/>
  <c r="D20" i="40"/>
  <c r="C20" i="40" s="1"/>
  <c r="L14" i="40"/>
  <c r="L13" i="40" s="1"/>
  <c r="K14" i="40"/>
  <c r="K13" i="40" s="1"/>
  <c r="N14" i="40"/>
  <c r="N13" i="40" s="1"/>
  <c r="M14" i="40"/>
  <c r="M13" i="40" s="1"/>
  <c r="J14" i="40"/>
  <c r="I14" i="40"/>
  <c r="I13" i="40" s="1"/>
  <c r="H14" i="40"/>
  <c r="H13" i="40" s="1"/>
  <c r="G14" i="40"/>
  <c r="G13" i="40" s="1"/>
  <c r="F14" i="40"/>
  <c r="F13" i="40" s="1"/>
  <c r="E14" i="40"/>
  <c r="E13" i="40" s="1"/>
  <c r="E22" i="40" s="1"/>
  <c r="O14" i="40"/>
  <c r="O13" i="40" s="1"/>
  <c r="AV6" i="57"/>
  <c r="CB21" i="57"/>
  <c r="AV7" i="57"/>
  <c r="AV8" i="57"/>
  <c r="AV9" i="57"/>
  <c r="BB6" i="76"/>
  <c r="BB7" i="76"/>
  <c r="BB8" i="76"/>
  <c r="BB9" i="76"/>
  <c r="AO7" i="57"/>
  <c r="AO8" i="57"/>
  <c r="AO9" i="57"/>
  <c r="E163" i="32"/>
  <c r="E145" i="32"/>
  <c r="E146" i="32" s="1"/>
  <c r="E134" i="32"/>
  <c r="S19" i="68"/>
  <c r="S20" i="68"/>
  <c r="S10" i="68"/>
  <c r="O132" i="32"/>
  <c r="O130" i="32"/>
  <c r="O131" i="32"/>
  <c r="J125" i="32"/>
  <c r="J164" i="32"/>
  <c r="J40" i="32"/>
  <c r="O126" i="32"/>
  <c r="O165" i="32"/>
  <c r="O136" i="32"/>
  <c r="O135" i="32"/>
  <c r="O48" i="32"/>
  <c r="O50" i="32" s="1"/>
  <c r="BZ25" i="57" a="1"/>
  <c r="BZ25" i="57" s="1"/>
  <c r="AJ56" i="61" a="1"/>
  <c r="AJ56" i="61" s="1"/>
  <c r="AJ45" i="61" a="1"/>
  <c r="AJ45" i="61" s="1"/>
  <c r="AJ53" i="61" a="1"/>
  <c r="AJ53" i="61" s="1"/>
  <c r="AJ49" i="61" a="1"/>
  <c r="AJ49" i="61" s="1"/>
  <c r="AJ33" i="61" a="1"/>
  <c r="AJ33" i="61" s="1"/>
  <c r="AJ42" i="61" a="1"/>
  <c r="AJ42" i="61" s="1"/>
  <c r="AJ38" i="61" a="1"/>
  <c r="AJ38" i="61" s="1"/>
  <c r="AJ46" i="61" a="1"/>
  <c r="AJ46" i="61" s="1"/>
  <c r="AJ57" i="61" a="1"/>
  <c r="AJ57" i="61" s="1"/>
  <c r="AJ50" i="61" a="1"/>
  <c r="AJ50" i="61" s="1"/>
  <c r="AJ41" i="61" a="1"/>
  <c r="AJ41" i="61" s="1"/>
  <c r="AJ36" i="61" a="1"/>
  <c r="AJ36" i="61" s="1"/>
  <c r="AJ43" i="61" a="1"/>
  <c r="AJ43" i="61" s="1"/>
  <c r="AJ40" i="61" a="1"/>
  <c r="AJ40" i="61" s="1"/>
  <c r="AJ54" i="61" a="1"/>
  <c r="AJ54" i="61" s="1"/>
  <c r="AJ51" i="61" a="1"/>
  <c r="AJ51" i="61" s="1"/>
  <c r="AJ39" i="61" a="1"/>
  <c r="AJ39" i="61" s="1"/>
  <c r="AJ34" i="61" a="1"/>
  <c r="AJ34" i="61" s="1"/>
  <c r="AJ55" i="61" a="1"/>
  <c r="AJ55" i="61" s="1"/>
  <c r="AJ37" i="61" a="1"/>
  <c r="AJ37" i="61" s="1"/>
  <c r="AJ52" i="61" a="1"/>
  <c r="AJ52" i="61" s="1"/>
  <c r="AJ48" i="61" a="1"/>
  <c r="AJ48" i="61" s="1"/>
  <c r="AJ30" i="61" a="1"/>
  <c r="AJ30"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6" i="61" a="1"/>
  <c r="AJ26" i="61" s="1"/>
  <c r="AJ24" i="61" a="1"/>
  <c r="AJ24" i="61" s="1"/>
  <c r="AJ47" i="61" a="1"/>
  <c r="AJ47" i="61" s="1"/>
  <c r="AJ13" i="61" a="1"/>
  <c r="AJ13" i="61" s="1"/>
  <c r="AJ35" i="61" a="1"/>
  <c r="AJ35" i="61" s="1"/>
  <c r="AJ31" i="61" a="1"/>
  <c r="AJ31"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K33" i="68"/>
  <c r="K47" i="68" s="1"/>
  <c r="K48" i="68" s="1"/>
  <c r="V23" i="49" a="1"/>
  <c r="V23" i="49" s="1"/>
  <c r="W23" i="49" s="1"/>
  <c r="CW38" i="71" a="1"/>
  <c r="CW38" i="71" s="1"/>
  <c r="CY38" i="71" s="1" a="1"/>
  <c r="CY38" i="71" s="1"/>
  <c r="DA38" i="71" s="1"/>
  <c r="O35" i="68" a="1"/>
  <c r="O35" i="68" s="1"/>
  <c r="O34" i="68" a="1"/>
  <c r="O34" i="68" s="1"/>
  <c r="BS16" i="76" a="1"/>
  <c r="BS16" i="76" s="1"/>
  <c r="BT16" i="76" s="1"/>
  <c r="BU16" i="76" s="1"/>
  <c r="BI12" i="57" a="1"/>
  <c r="BI12" i="57" s="1"/>
  <c r="BK12" i="57" s="1"/>
  <c r="BS11" i="76" a="1"/>
  <c r="BS11" i="76" s="1"/>
  <c r="BT11" i="76" s="1"/>
  <c r="BU11" i="76" s="1"/>
  <c r="BY25" i="57" a="1"/>
  <c r="BY25" i="57" s="1"/>
  <c r="BY22" i="57" s="1"/>
  <c r="AO6" i="57"/>
  <c r="BI8" i="57" a="1"/>
  <c r="BI8" i="57" s="1"/>
  <c r="BK8" i="57" s="1"/>
  <c r="BI17" i="57" a="1"/>
  <c r="BI17" i="57" s="1"/>
  <c r="BK17" i="57" s="1"/>
  <c r="BI13" i="57" a="1"/>
  <c r="BI13" i="57" s="1"/>
  <c r="BK13" i="57" s="1"/>
  <c r="D33" i="68"/>
  <c r="D47" i="68" s="1"/>
  <c r="D48" i="68" s="1"/>
  <c r="F33" i="68"/>
  <c r="F47" i="68" s="1"/>
  <c r="F48" i="68" s="1"/>
  <c r="F11" i="32"/>
  <c r="N36" i="68"/>
  <c r="N33" i="68"/>
  <c r="N47" i="68" s="1"/>
  <c r="N48" i="68" s="1"/>
  <c r="CW39" i="71" a="1"/>
  <c r="CW39" i="71" s="1"/>
  <c r="CY39" i="71" s="1" a="1"/>
  <c r="CY39" i="71" s="1"/>
  <c r="DA39" i="71" s="1"/>
  <c r="J34" i="68" a="1"/>
  <c r="J34" i="68" s="1"/>
  <c r="J35" i="68" a="1"/>
  <c r="J35" i="68" s="1"/>
  <c r="AZ3" i="73"/>
  <c r="BA3" i="73" s="1" a="1"/>
  <c r="BA3" i="73" s="1"/>
  <c r="CR5" i="76" a="1"/>
  <c r="CR5" i="76" s="1"/>
  <c r="BB5" i="76"/>
  <c r="CW42" i="71" a="1"/>
  <c r="CW42" i="71" s="1"/>
  <c r="CY42" i="71" s="1" a="1"/>
  <c r="CY42" i="71" s="1"/>
  <c r="DA42" i="71" s="1"/>
  <c r="R6" i="71"/>
  <c r="AD6" i="71" s="1"/>
  <c r="AE6" i="71" s="1"/>
  <c r="C19" i="40"/>
  <c r="M33" i="68"/>
  <c r="M47" i="68" s="1"/>
  <c r="M48" i="68" s="1"/>
  <c r="M36" i="68"/>
  <c r="E34" i="68" a="1"/>
  <c r="E34" i="68" s="1"/>
  <c r="E35" i="68" a="1"/>
  <c r="E35" i="68" s="1"/>
  <c r="G33" i="68"/>
  <c r="G47" i="68" s="1"/>
  <c r="G48" i="68" s="1"/>
  <c r="G36" i="68"/>
  <c r="AJ2" i="61"/>
  <c r="AK1" i="61"/>
  <c r="M1" i="40"/>
  <c r="M185" i="40" s="1" a="1"/>
  <c r="M185" i="40" s="1"/>
  <c r="M186" i="40" s="1"/>
  <c r="M43" i="40" s="1"/>
  <c r="L51" i="40" a="1"/>
  <c r="L51" i="40" s="1"/>
  <c r="AN6" i="71"/>
  <c r="S6" i="71"/>
  <c r="C35" i="40"/>
  <c r="I33" i="68"/>
  <c r="I47" i="68" s="1"/>
  <c r="I48" i="68" s="1"/>
  <c r="I36" i="68"/>
  <c r="AH6" i="71" a="1"/>
  <c r="AH6" i="71" s="1"/>
  <c r="AG6" i="71" a="1"/>
  <c r="AG6" i="71" s="1"/>
  <c r="DA34" i="71"/>
  <c r="C23" i="40"/>
  <c r="C16" i="40"/>
  <c r="AK5" i="61" l="1"/>
  <c r="AK4" i="61"/>
  <c r="K145" i="32"/>
  <c r="K146" i="32" s="1"/>
  <c r="K80" i="32"/>
  <c r="J145" i="32"/>
  <c r="J146" i="32" s="1"/>
  <c r="J80" i="32"/>
  <c r="D56" i="68" a="1"/>
  <c r="D56" i="68" s="1"/>
  <c r="D54" i="68" a="1"/>
  <c r="D54" i="68" s="1"/>
  <c r="D49" i="68" a="1"/>
  <c r="D49" i="68" s="1"/>
  <c r="I22" i="40"/>
  <c r="I21" i="40"/>
  <c r="I161" i="40" s="1"/>
  <c r="I162" i="40" s="1"/>
  <c r="I31" i="40" s="1"/>
  <c r="E21" i="40"/>
  <c r="E161" i="40" s="1"/>
  <c r="E162" i="40" s="1"/>
  <c r="E31" i="40" s="1"/>
  <c r="E12" i="40"/>
  <c r="E37" i="40"/>
  <c r="E34" i="40" s="1"/>
  <c r="E42" i="40" s="1"/>
  <c r="H22" i="40"/>
  <c r="H12" i="40"/>
  <c r="H21" i="40"/>
  <c r="H161" i="40" s="1"/>
  <c r="H162" i="40" s="1"/>
  <c r="H31" i="40" s="1"/>
  <c r="H37" i="40"/>
  <c r="H34" i="40" s="1"/>
  <c r="H42" i="40" s="1"/>
  <c r="M22" i="40"/>
  <c r="M21" i="40"/>
  <c r="M161" i="40" s="1"/>
  <c r="M162" i="40" s="1"/>
  <c r="M31" i="40" s="1"/>
  <c r="M37" i="40"/>
  <c r="M34" i="40" s="1"/>
  <c r="M42" i="40" s="1"/>
  <c r="M12" i="40"/>
  <c r="C14" i="40"/>
  <c r="F12" i="40"/>
  <c r="F22" i="40"/>
  <c r="F37" i="40"/>
  <c r="F34" i="40" s="1"/>
  <c r="F42" i="40" s="1"/>
  <c r="F21" i="40"/>
  <c r="F161" i="40" s="1"/>
  <c r="F162" i="40" s="1"/>
  <c r="F31" i="40" s="1"/>
  <c r="G21" i="40"/>
  <c r="G161" i="40" s="1"/>
  <c r="G162" i="40" s="1"/>
  <c r="G31" i="40" s="1"/>
  <c r="G12" i="40"/>
  <c r="G37" i="40"/>
  <c r="G34" i="40" s="1"/>
  <c r="G42" i="40" s="1"/>
  <c r="G22" i="40"/>
  <c r="O22" i="40"/>
  <c r="O37" i="40"/>
  <c r="O34" i="40" s="1"/>
  <c r="O42" i="40" s="1"/>
  <c r="O21" i="40"/>
  <c r="O161" i="40" s="1"/>
  <c r="O162" i="40" s="1"/>
  <c r="O31" i="40" s="1"/>
  <c r="O12" i="40"/>
  <c r="N22" i="40"/>
  <c r="N37" i="40"/>
  <c r="N34" i="40" s="1"/>
  <c r="N42" i="40" s="1"/>
  <c r="N21" i="40"/>
  <c r="N161" i="40" s="1"/>
  <c r="N162" i="40" s="1"/>
  <c r="N31" i="40" s="1"/>
  <c r="N12" i="40"/>
  <c r="K12" i="40"/>
  <c r="K21" i="40"/>
  <c r="K161" i="40" s="1"/>
  <c r="K162" i="40" s="1"/>
  <c r="K31" i="40" s="1"/>
  <c r="K37" i="40"/>
  <c r="K34" i="40" s="1"/>
  <c r="K42" i="40" s="1"/>
  <c r="K22" i="40"/>
  <c r="L22" i="40"/>
  <c r="L21" i="40"/>
  <c r="L161" i="40" s="1"/>
  <c r="L162" i="40" s="1"/>
  <c r="L31" i="40" s="1"/>
  <c r="L12" i="40"/>
  <c r="L37" i="40"/>
  <c r="L34" i="40" s="1"/>
  <c r="L42" i="40" s="1"/>
  <c r="J13" i="40"/>
  <c r="I37" i="40"/>
  <c r="I34" i="40" s="1"/>
  <c r="I42" i="40" s="1"/>
  <c r="I12" i="40"/>
  <c r="AP6" i="57"/>
  <c r="AP7" i="57"/>
  <c r="AP9" i="57"/>
  <c r="AP8" i="57"/>
  <c r="F145" i="32"/>
  <c r="F146" i="32" s="1"/>
  <c r="F163" i="32"/>
  <c r="F134" i="32"/>
  <c r="S31" i="68"/>
  <c r="S6" i="68"/>
  <c r="S7" i="68" s="1"/>
  <c r="S8" i="68" s="1"/>
  <c r="J131" i="32"/>
  <c r="O127" i="32"/>
  <c r="O166" i="32"/>
  <c r="O128" i="32"/>
  <c r="J126" i="32"/>
  <c r="J165" i="32"/>
  <c r="J136" i="32"/>
  <c r="J135" i="32"/>
  <c r="J48" i="32"/>
  <c r="J50" i="32" s="1"/>
  <c r="BI6" i="57" a="1"/>
  <c r="BI6" i="57" s="1"/>
  <c r="BK6" i="57" s="1"/>
  <c r="BZ22" i="57"/>
  <c r="AK53" i="61" a="1"/>
  <c r="AK53" i="61" s="1"/>
  <c r="AK49" i="61" a="1"/>
  <c r="AK49" i="61" s="1"/>
  <c r="AK42" i="61" a="1"/>
  <c r="AK42" i="61" s="1"/>
  <c r="AK38" i="61" a="1"/>
  <c r="AK38" i="61" s="1"/>
  <c r="AK26" i="61" a="1"/>
  <c r="AK26" i="61" s="1"/>
  <c r="AK46" i="61" a="1"/>
  <c r="AK46" i="61" s="1"/>
  <c r="AK31" i="61" a="1"/>
  <c r="AK31" i="61" s="1"/>
  <c r="AK57" i="61" a="1"/>
  <c r="AK57" i="61" s="1"/>
  <c r="AK50" i="61" a="1"/>
  <c r="AK50" i="61" s="1"/>
  <c r="AK41" i="61" a="1"/>
  <c r="AK41" i="61" s="1"/>
  <c r="AK36" i="61" a="1"/>
  <c r="AK36" i="61" s="1"/>
  <c r="AK43" i="61" a="1"/>
  <c r="AK43" i="61" s="1"/>
  <c r="AK40" i="61" a="1"/>
  <c r="AK40" i="61" s="1"/>
  <c r="AK29" i="61" a="1"/>
  <c r="AK29" i="61" s="1"/>
  <c r="AK54" i="61" a="1"/>
  <c r="AK54" i="61" s="1"/>
  <c r="AK51" i="61" a="1"/>
  <c r="AK51" i="61" s="1"/>
  <c r="AK39" i="61" a="1"/>
  <c r="AK39" i="61" s="1"/>
  <c r="AK34" i="61" a="1"/>
  <c r="AK34" i="61" s="1"/>
  <c r="AK27" i="61" a="1"/>
  <c r="AK27" i="61" s="1"/>
  <c r="AK47" i="61" a="1"/>
  <c r="AK47" i="61" s="1"/>
  <c r="AK44" i="61" a="1"/>
  <c r="AK44" i="61" s="1"/>
  <c r="AK32" i="61" a="1"/>
  <c r="AK32" i="61" s="1"/>
  <c r="AK52" i="61" a="1"/>
  <c r="AK52" i="61" s="1"/>
  <c r="AK48" i="61" a="1"/>
  <c r="AK48" i="61" s="1"/>
  <c r="AK35" i="61" a="1"/>
  <c r="AK35" i="61" s="1"/>
  <c r="AK15" i="61" a="1"/>
  <c r="AK15" i="61" s="1"/>
  <c r="AK11" i="61" a="1"/>
  <c r="AK11" i="61" s="1"/>
  <c r="AK33" i="61" a="1"/>
  <c r="AK33" i="61" s="1"/>
  <c r="AK21" i="61" a="1"/>
  <c r="AK21" i="61" s="1"/>
  <c r="AK16" i="61" a="1"/>
  <c r="AK16" i="61" s="1"/>
  <c r="AK9" i="61" a="1"/>
  <c r="AK9" i="61" s="1"/>
  <c r="AK37" i="61" a="1"/>
  <c r="AK37" i="61" s="1"/>
  <c r="AK28" i="61" a="1"/>
  <c r="AK28" i="61" s="1"/>
  <c r="AK18" i="61" a="1"/>
  <c r="AK18" i="61" s="1"/>
  <c r="AK17" i="61" a="1"/>
  <c r="AK17" i="61" s="1"/>
  <c r="AK24" i="61" a="1"/>
  <c r="AK24" i="61" s="1"/>
  <c r="AK55" i="61" a="1"/>
  <c r="AK55" i="61" s="1"/>
  <c r="AK13" i="61" a="1"/>
  <c r="AK13" i="61" s="1"/>
  <c r="AK22" i="61" a="1"/>
  <c r="AK22" i="61" s="1"/>
  <c r="AK19" i="61" a="1"/>
  <c r="AK19" i="61" s="1"/>
  <c r="AK45" i="61" a="1"/>
  <c r="AK45" i="61" s="1"/>
  <c r="AK30" i="61" a="1"/>
  <c r="AK30" i="61" s="1"/>
  <c r="AK25" i="61" a="1"/>
  <c r="AK25" i="61" s="1"/>
  <c r="AK20" i="61" a="1"/>
  <c r="AK20" i="61" s="1"/>
  <c r="AK12" i="61" a="1"/>
  <c r="AK12" i="61" s="1"/>
  <c r="AK56" i="61" a="1"/>
  <c r="AK56" i="61" s="1"/>
  <c r="AK23" i="61" a="1"/>
  <c r="AK23" i="61" s="1"/>
  <c r="AK10" i="61" a="1"/>
  <c r="AK10" i="61" s="1"/>
  <c r="AK14" i="61" a="1"/>
  <c r="AK14" i="61" s="1"/>
  <c r="O33" i="68"/>
  <c r="O47" i="68" s="1"/>
  <c r="O48" i="68" s="1"/>
  <c r="O36" i="68"/>
  <c r="BI7" i="57" a="1"/>
  <c r="BI7" i="57" s="1"/>
  <c r="BK7" i="57" s="1"/>
  <c r="BS6" i="76" a="1"/>
  <c r="BS6" i="76" s="1"/>
  <c r="BT6" i="76" s="1"/>
  <c r="BU6" i="76" s="1"/>
  <c r="CE5" i="76" a="1"/>
  <c r="CE5" i="76" s="1"/>
  <c r="AQ5" i="76" s="1"/>
  <c r="AU5" i="76" s="1"/>
  <c r="AV5" i="76" s="1"/>
  <c r="DE9" i="71" a="1"/>
  <c r="DE9" i="71" s="1"/>
  <c r="DF9" i="71" s="1" a="1"/>
  <c r="DF9" i="71" s="1"/>
  <c r="J33" i="68"/>
  <c r="J47" i="68" s="1"/>
  <c r="J48" i="68" s="1"/>
  <c r="J36" i="68"/>
  <c r="F49" i="32" a="1"/>
  <c r="F49" i="32" s="1"/>
  <c r="F6" i="71"/>
  <c r="G6" i="71" s="1"/>
  <c r="BP10" i="72" a="1"/>
  <c r="BP10" i="72" s="1"/>
  <c r="BQ10" i="72" s="1"/>
  <c r="BX31" i="72" a="1"/>
  <c r="BX31" i="72" s="1"/>
  <c r="AT3" i="72" s="1"/>
  <c r="CF31" i="72" a="1"/>
  <c r="CF31" i="72" s="1"/>
  <c r="BZ31" i="72" a="1"/>
  <c r="CK31" i="72" a="1"/>
  <c r="AZ9" i="72" s="1"/>
  <c r="AL1" i="61"/>
  <c r="AK2" i="61"/>
  <c r="N1" i="40"/>
  <c r="N185" i="40" s="1" a="1"/>
  <c r="N185" i="40" s="1"/>
  <c r="N186" i="40" s="1"/>
  <c r="N43" i="40" s="1"/>
  <c r="M51" i="40" a="1"/>
  <c r="M51" i="40" s="1"/>
  <c r="C33" i="68"/>
  <c r="C47" i="68" s="1"/>
  <c r="C36" i="68"/>
  <c r="E33" i="68"/>
  <c r="E47" i="68" s="1"/>
  <c r="E48" i="68" s="1"/>
  <c r="E36" i="68"/>
  <c r="AF6" i="71"/>
  <c r="AT6" i="71" s="1"/>
  <c r="AI6" i="71"/>
  <c r="AL5" i="61" l="1"/>
  <c r="AL4" i="61"/>
  <c r="J54" i="68" a="1"/>
  <c r="J54" i="68" s="1"/>
  <c r="O54" i="68" a="1"/>
  <c r="O54" i="68" s="1"/>
  <c r="H54" i="68" a="1"/>
  <c r="H54" i="68" s="1"/>
  <c r="G56" i="68" a="1"/>
  <c r="G56" i="68" s="1"/>
  <c r="K56" i="68" a="1"/>
  <c r="K56" i="68" s="1"/>
  <c r="E49" i="68" a="1"/>
  <c r="E49" i="68" s="1"/>
  <c r="I49" i="68" a="1"/>
  <c r="I49" i="68" s="1"/>
  <c r="M54" i="68" a="1"/>
  <c r="M54" i="68" s="1"/>
  <c r="L49" i="68" a="1"/>
  <c r="L49" i="68" s="1"/>
  <c r="O56" i="68" a="1"/>
  <c r="O56" i="68" s="1"/>
  <c r="H56" i="68" a="1"/>
  <c r="H56" i="68" s="1"/>
  <c r="F49" i="68" a="1"/>
  <c r="F49" i="68" s="1"/>
  <c r="K49" i="68" a="1"/>
  <c r="K49" i="68" s="1"/>
  <c r="E54" i="68" a="1"/>
  <c r="E54" i="68" s="1"/>
  <c r="J49" i="68" a="1"/>
  <c r="J49" i="68" s="1"/>
  <c r="I54" i="68" a="1"/>
  <c r="I54" i="68" s="1"/>
  <c r="M56" i="68" a="1"/>
  <c r="M56" i="68" s="1"/>
  <c r="L54" i="68" a="1"/>
  <c r="L54" i="68" s="1"/>
  <c r="N49" i="68" a="1"/>
  <c r="N49" i="68" s="1"/>
  <c r="G49" i="68" a="1"/>
  <c r="G49" i="68" s="1"/>
  <c r="F54" i="68" a="1"/>
  <c r="F54" i="68" s="1"/>
  <c r="I56" i="68" a="1"/>
  <c r="I56" i="68" s="1"/>
  <c r="J56" i="68" a="1"/>
  <c r="J56" i="68" s="1"/>
  <c r="M49" i="68" a="1"/>
  <c r="M49" i="68" s="1"/>
  <c r="O49" i="68" a="1"/>
  <c r="O49" i="68" s="1"/>
  <c r="H49" i="68" a="1"/>
  <c r="H49" i="68" s="1"/>
  <c r="K54" i="68" a="1"/>
  <c r="K54" i="68" s="1"/>
  <c r="N56" i="68" a="1"/>
  <c r="N56" i="68" s="1"/>
  <c r="G54" i="68" a="1"/>
  <c r="G54" i="68" s="1"/>
  <c r="E56" i="68" a="1"/>
  <c r="E56" i="68" s="1"/>
  <c r="F56" i="68" a="1"/>
  <c r="F56" i="68" s="1"/>
  <c r="N54" i="68" a="1"/>
  <c r="N54" i="68" s="1"/>
  <c r="L56" i="68" a="1"/>
  <c r="L56" i="68" s="1"/>
  <c r="N33" i="40"/>
  <c r="F33" i="40"/>
  <c r="I33" i="40"/>
  <c r="G8" i="40"/>
  <c r="G9" i="40" s="1"/>
  <c r="G10" i="40" s="1"/>
  <c r="G33" i="40"/>
  <c r="N8" i="40"/>
  <c r="N9" i="40" s="1"/>
  <c r="N10" i="40" s="1"/>
  <c r="O33" i="40"/>
  <c r="L8" i="40"/>
  <c r="L9" i="40" s="1"/>
  <c r="L10" i="40" s="1"/>
  <c r="K8" i="40"/>
  <c r="K9" i="40" s="1"/>
  <c r="K10" i="40" s="1"/>
  <c r="K33" i="40"/>
  <c r="H8" i="40"/>
  <c r="H9" i="40" s="1"/>
  <c r="H10" i="40" s="1"/>
  <c r="F8" i="40"/>
  <c r="F9" i="40" s="1"/>
  <c r="F10" i="40" s="1"/>
  <c r="O8" i="40"/>
  <c r="O9" i="40" s="1"/>
  <c r="O10" i="40" s="1"/>
  <c r="L33" i="40"/>
  <c r="H33" i="40"/>
  <c r="M8" i="40"/>
  <c r="M9" i="40" s="1"/>
  <c r="M10" i="40" s="1"/>
  <c r="E8" i="40"/>
  <c r="E9" i="40" s="1"/>
  <c r="E10" i="40" s="1"/>
  <c r="E33" i="40"/>
  <c r="I8" i="40"/>
  <c r="I9" i="40" s="1"/>
  <c r="I10" i="40" s="1"/>
  <c r="M33" i="40"/>
  <c r="J22" i="40"/>
  <c r="J37" i="40"/>
  <c r="J34" i="40" s="1"/>
  <c r="J42" i="40" s="1"/>
  <c r="J12" i="40"/>
  <c r="J21" i="40"/>
  <c r="C54" i="68" a="1"/>
  <c r="C54" i="68" s="1"/>
  <c r="C56" i="68" a="1"/>
  <c r="C56" i="68" s="1"/>
  <c r="AU6" i="71"/>
  <c r="AV6" i="71" a="1"/>
  <c r="AV6" i="71" s="1"/>
  <c r="BA6" i="71" s="1"/>
  <c r="BC6" i="71" s="1"/>
  <c r="C49" i="68" a="1"/>
  <c r="C49" i="68" s="1"/>
  <c r="J166" i="32"/>
  <c r="J127" i="32"/>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CH31" i="72" a="1"/>
  <c r="CH31" i="72" s="1"/>
  <c r="BH3" i="72" s="1"/>
  <c r="BK3" i="72" s="1"/>
  <c r="BJ3" i="72" s="1"/>
  <c r="S23" i="49" a="1"/>
  <c r="S23" i="49" s="1"/>
  <c r="J13" i="54" a="1"/>
  <c r="J13" i="54" s="1"/>
  <c r="P105" i="32" s="1" a="1"/>
  <c r="P105" i="32" s="1"/>
  <c r="P102" i="32" s="1"/>
  <c r="E49" i="32" a="1"/>
  <c r="E49" i="32" s="1"/>
  <c r="BR10" i="72" a="1"/>
  <c r="BR10" i="72" s="1"/>
  <c r="BS10" i="72" s="1"/>
  <c r="BT10" i="72" a="1"/>
  <c r="BT10" i="72" s="1"/>
  <c r="CF5" i="76" a="1"/>
  <c r="CF5" i="76" s="1"/>
  <c r="CH5" i="76" a="1"/>
  <c r="CH5" i="76" s="1"/>
  <c r="CW9" i="71" a="1"/>
  <c r="CW9" i="71" s="1"/>
  <c r="AV3" i="72"/>
  <c r="AW3" i="72" s="1" a="1"/>
  <c r="AW3" i="72" s="1"/>
  <c r="AU3" i="72"/>
  <c r="BZ31" i="72"/>
  <c r="E105" i="32" a="1"/>
  <c r="E105" i="32" s="1"/>
  <c r="CK31" i="72"/>
  <c r="CM31" i="72" a="1"/>
  <c r="BA9" i="72" s="1"/>
  <c r="CO31" i="72" a="1"/>
  <c r="BB9" i="72" s="1"/>
  <c r="N51" i="40" a="1"/>
  <c r="N51" i="40" s="1"/>
  <c r="O1" i="40"/>
  <c r="O185" i="40" s="1" a="1"/>
  <c r="O185" i="40" s="1"/>
  <c r="O186" i="40" s="1"/>
  <c r="O43" i="40" s="1"/>
  <c r="C43" i="40" s="1"/>
  <c r="AL2" i="61"/>
  <c r="AM1" i="61"/>
  <c r="AM5" i="61" l="1"/>
  <c r="AM4" i="61"/>
  <c r="J161" i="40"/>
  <c r="J162" i="40" s="1"/>
  <c r="J31" i="40" s="1"/>
  <c r="J33" i="40"/>
  <c r="J8" i="40"/>
  <c r="J9" i="40" s="1"/>
  <c r="J10" i="40" s="1"/>
  <c r="AR7" i="76"/>
  <c r="AR6" i="76"/>
  <c r="AR8" i="76"/>
  <c r="AR9" i="76"/>
  <c r="AR10" i="76"/>
  <c r="AT9" i="72"/>
  <c r="AT10" i="72"/>
  <c r="AT11" i="72"/>
  <c r="AT12" i="72"/>
  <c r="AT14" i="72"/>
  <c r="AT13" i="72"/>
  <c r="P101" i="32"/>
  <c r="P154" i="32"/>
  <c r="P151" i="32"/>
  <c r="P153" i="32"/>
  <c r="P152" i="32"/>
  <c r="K105" i="32" a="1"/>
  <c r="K105" i="32" s="1"/>
  <c r="K102" i="32" s="1"/>
  <c r="O105" i="32" a="1"/>
  <c r="O105" i="32" s="1"/>
  <c r="O102" i="32" s="1"/>
  <c r="J105" i="32" a="1"/>
  <c r="J105" i="32" s="1"/>
  <c r="J102" i="32" s="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BI3" i="72"/>
  <c r="CI5" i="76" a="1"/>
  <c r="CI5" i="76" s="1"/>
  <c r="AR5" i="76"/>
  <c r="CZ9" i="71" a="1"/>
  <c r="CZ9" i="71" s="1"/>
  <c r="DB9" i="71" s="1"/>
  <c r="CX9" i="71"/>
  <c r="DA9" i="71" a="1"/>
  <c r="DA9" i="71" s="1"/>
  <c r="AT8" i="72"/>
  <c r="E102" i="32"/>
  <c r="F102" i="32"/>
  <c r="CO31" i="72"/>
  <c r="BB8" i="72" s="1"/>
  <c r="CM31" i="72"/>
  <c r="CP31" i="72" s="1" a="1"/>
  <c r="BC9" i="72" s="1"/>
  <c r="CL31" i="72" a="1"/>
  <c r="CL31" i="72" s="1"/>
  <c r="AZ8" i="72"/>
  <c r="O51" i="40" a="1"/>
  <c r="O51" i="40" s="1"/>
  <c r="AN1" i="61"/>
  <c r="AM2" i="61"/>
  <c r="AN5" i="61" l="1"/>
  <c r="AN4" i="61"/>
  <c r="AS9" i="76"/>
  <c r="AS10" i="76"/>
  <c r="AS6" i="76"/>
  <c r="AS7" i="76"/>
  <c r="AS8" i="76"/>
  <c r="E151" i="32"/>
  <c r="E154" i="32"/>
  <c r="F154" i="32"/>
  <c r="F151" i="32"/>
  <c r="J101" i="32"/>
  <c r="J154" i="32"/>
  <c r="J151" i="32"/>
  <c r="O101" i="32"/>
  <c r="O154" i="32"/>
  <c r="O151" i="32"/>
  <c r="O153" i="32"/>
  <c r="O152" i="32"/>
  <c r="K101" i="32"/>
  <c r="K154" i="32"/>
  <c r="K151" i="32"/>
  <c r="P159" i="32"/>
  <c r="P156" i="32"/>
  <c r="AN57" i="61" a="1"/>
  <c r="AN57" i="61" s="1"/>
  <c r="AN43" i="61" a="1"/>
  <c r="AN43" i="61" s="1"/>
  <c r="AN40" i="61" a="1"/>
  <c r="AN40" i="61" s="1"/>
  <c r="AN39" i="61" a="1"/>
  <c r="AN39" i="61" s="1"/>
  <c r="AN29" i="61" a="1"/>
  <c r="AN29" i="61" s="1"/>
  <c r="AN54" i="61" a="1"/>
  <c r="AN54" i="61" s="1"/>
  <c r="AN51" i="61" a="1"/>
  <c r="AN51" i="61" s="1"/>
  <c r="AN34" i="61" a="1"/>
  <c r="AN34" i="61" s="1"/>
  <c r="AN55" i="61" a="1"/>
  <c r="AN55" i="61" s="1"/>
  <c r="AN47" i="61" a="1"/>
  <c r="AN47" i="61" s="1"/>
  <c r="AN44" i="61" a="1"/>
  <c r="AN44" i="61" s="1"/>
  <c r="AN32" i="61" a="1"/>
  <c r="AN32" i="61" s="1"/>
  <c r="AN37" i="61" a="1"/>
  <c r="AN37" i="61" s="1"/>
  <c r="AN52" i="61" a="1"/>
  <c r="AN52" i="61" s="1"/>
  <c r="AN48" i="61" a="1"/>
  <c r="AN48" i="61" s="1"/>
  <c r="AN30" i="61" a="1"/>
  <c r="AN30" i="61" s="1"/>
  <c r="AN35" i="61" a="1"/>
  <c r="AN35" i="61" s="1"/>
  <c r="AN53" i="61" a="1"/>
  <c r="AN53" i="61" s="1"/>
  <c r="AN33" i="61" a="1"/>
  <c r="AN33" i="61" s="1"/>
  <c r="AN42" i="61" a="1"/>
  <c r="AN42" i="61" s="1"/>
  <c r="AN38" i="61" a="1"/>
  <c r="AN38" i="61" s="1"/>
  <c r="AN26" i="61" a="1"/>
  <c r="AN26" i="61" s="1"/>
  <c r="AN50" i="61" a="1"/>
  <c r="AN50" i="61" s="1"/>
  <c r="AN46" i="61" a="1"/>
  <c r="AN46" i="61" s="1"/>
  <c r="AN28" i="61" a="1"/>
  <c r="AN28" i="61" s="1"/>
  <c r="AN18" i="61" a="1"/>
  <c r="AN18" i="61" s="1"/>
  <c r="AN17" i="61" a="1"/>
  <c r="AN17" i="61" s="1"/>
  <c r="AN13" i="61" a="1"/>
  <c r="AN13" i="61" s="1"/>
  <c r="AN41" i="61" a="1"/>
  <c r="AN41" i="61" s="1"/>
  <c r="AN24" i="61" a="1"/>
  <c r="AN24" i="61" s="1"/>
  <c r="AN22" i="61" a="1"/>
  <c r="AN22" i="61" s="1"/>
  <c r="AN19" i="61" a="1"/>
  <c r="AN19" i="61" s="1"/>
  <c r="AN49" i="61" a="1"/>
  <c r="AN49" i="61" s="1"/>
  <c r="AN31" i="61" a="1"/>
  <c r="AN31"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56" i="61" a="1"/>
  <c r="AN56" i="61" s="1"/>
  <c r="AN10" i="61" a="1"/>
  <c r="AN10" i="61" s="1"/>
  <c r="AN16" i="61" a="1"/>
  <c r="AN16" i="61" s="1"/>
  <c r="AN15" i="61" a="1"/>
  <c r="AN15" i="61" s="1"/>
  <c r="AN9" i="61" a="1"/>
  <c r="AN9" i="61" s="1"/>
  <c r="E101" i="32"/>
  <c r="E159" i="32" s="1"/>
  <c r="AS5" i="76"/>
  <c r="CJ5" i="76" a="1"/>
  <c r="CJ5" i="76" s="1"/>
  <c r="F101" i="32"/>
  <c r="F159" i="32" s="1"/>
  <c r="AR5" i="72"/>
  <c r="AT6" i="72"/>
  <c r="AV13" i="72" s="1" a="1"/>
  <c r="AV13" i="72" s="1"/>
  <c r="AT5" i="72"/>
  <c r="AX3" i="72"/>
  <c r="AY3" i="72" s="1"/>
  <c r="AR6" i="72"/>
  <c r="CP31" i="72"/>
  <c r="CN31" i="72" a="1"/>
  <c r="CN31" i="72" s="1"/>
  <c r="BA8" i="72"/>
  <c r="AO1" i="61"/>
  <c r="AN2" i="61"/>
  <c r="AO4" i="61" l="1"/>
  <c r="AO5" i="61"/>
  <c r="AV9" i="72" a="1"/>
  <c r="AV9" i="72" s="1"/>
  <c r="AV10" i="72" a="1"/>
  <c r="AV10" i="72" s="1"/>
  <c r="AV11" i="72" a="1"/>
  <c r="AV11" i="72" s="1"/>
  <c r="AV12" i="72" a="1"/>
  <c r="AV12" i="72" s="1"/>
  <c r="AV14" i="72" a="1"/>
  <c r="AV14" i="72" s="1"/>
  <c r="K159" i="32"/>
  <c r="O159" i="32"/>
  <c r="O156" i="32"/>
  <c r="J159" i="32"/>
  <c r="AO54" i="61" a="1"/>
  <c r="AO54" i="61" s="1"/>
  <c r="AO51" i="61" a="1"/>
  <c r="AO51" i="61" s="1"/>
  <c r="AO34" i="61" a="1"/>
  <c r="AO34" i="61" s="1"/>
  <c r="AO27" i="61" a="1"/>
  <c r="AO27" i="61" s="1"/>
  <c r="AO55" i="61" a="1"/>
  <c r="AO55" i="61" s="1"/>
  <c r="AO47" i="61" a="1"/>
  <c r="AO47" i="61" s="1"/>
  <c r="AO44" i="61" a="1"/>
  <c r="AO44" i="61" s="1"/>
  <c r="AO32" i="61" a="1"/>
  <c r="AO32" i="61" s="1"/>
  <c r="AO48" i="61" a="1"/>
  <c r="AO48" i="61" s="1"/>
  <c r="AO37" i="61" a="1"/>
  <c r="AO37" i="61" s="1"/>
  <c r="AO52" i="61" a="1"/>
  <c r="AO52" i="61" s="1"/>
  <c r="AO30" i="61" a="1"/>
  <c r="AO30" i="61" s="1"/>
  <c r="AO35" i="61" a="1"/>
  <c r="AO35" i="61" s="1"/>
  <c r="AO56" i="61" a="1"/>
  <c r="AO56" i="61" s="1"/>
  <c r="AO49" i="61" a="1"/>
  <c r="AO49" i="61" s="1"/>
  <c r="AO45" i="61" a="1"/>
  <c r="AO45" i="61" s="1"/>
  <c r="AO28" i="61" a="1"/>
  <c r="AO28" i="61" s="1"/>
  <c r="AO41" i="61" a="1"/>
  <c r="AO41" i="61" s="1"/>
  <c r="AO38" i="61" a="1"/>
  <c r="AO38" i="61" s="1"/>
  <c r="AO50" i="61" a="1"/>
  <c r="AO50" i="61" s="1"/>
  <c r="AO46" i="61" a="1"/>
  <c r="AO46" i="61" s="1"/>
  <c r="AO31" i="61" a="1"/>
  <c r="AO31" i="61" s="1"/>
  <c r="AO24" i="61" a="1"/>
  <c r="AO24" i="61" s="1"/>
  <c r="AO42" i="61" a="1"/>
  <c r="AO42" i="61" s="1"/>
  <c r="AO26" i="61" a="1"/>
  <c r="AO26" i="61" s="1"/>
  <c r="AO22" i="61" a="1"/>
  <c r="AO22" i="61" s="1"/>
  <c r="AO19" i="61" a="1"/>
  <c r="AO19" i="61" s="1"/>
  <c r="AO12" i="61" a="1"/>
  <c r="AO12" i="61" s="1"/>
  <c r="AO57" i="61" a="1"/>
  <c r="AO57" i="61" s="1"/>
  <c r="AO53" i="61" a="1"/>
  <c r="AO53" i="61" s="1"/>
  <c r="AO25" i="61" a="1"/>
  <c r="AO25" i="61" s="1"/>
  <c r="AO20" i="61" a="1"/>
  <c r="AO20" i="61" s="1"/>
  <c r="AO15" i="61" a="1"/>
  <c r="AO15" i="61" s="1"/>
  <c r="AO43" i="61" a="1"/>
  <c r="AO43" i="61" s="1"/>
  <c r="AO23" i="61" a="1"/>
  <c r="AO23" i="61" s="1"/>
  <c r="AO11" i="61" a="1"/>
  <c r="AO11" i="61" s="1"/>
  <c r="AO39" i="61" a="1"/>
  <c r="AO39" i="61" s="1"/>
  <c r="AO29" i="61" a="1"/>
  <c r="AO29" i="61" s="1"/>
  <c r="AO21" i="61" a="1"/>
  <c r="AO21" i="61" s="1"/>
  <c r="AO40" i="61" a="1"/>
  <c r="AO40" i="61" s="1"/>
  <c r="AO33" i="61" a="1"/>
  <c r="AO33" i="61" s="1"/>
  <c r="AO18" i="61" a="1"/>
  <c r="AO18" i="61" s="1"/>
  <c r="AO10" i="61" a="1"/>
  <c r="AO10" i="61" s="1"/>
  <c r="AO16" i="61" a="1"/>
  <c r="AO16" i="61" s="1"/>
  <c r="AO17" i="61" a="1"/>
  <c r="AO17" i="61" s="1"/>
  <c r="AO14" i="61" a="1"/>
  <c r="AO14" i="61" s="1"/>
  <c r="AO13" i="61" a="1"/>
  <c r="AO13" i="61" s="1"/>
  <c r="AO9" i="61" a="1"/>
  <c r="AO9" i="61" s="1"/>
  <c r="AO36" i="61" a="1"/>
  <c r="AO36" i="61" s="1"/>
  <c r="AZ3" i="72"/>
  <c r="BA3" i="72" s="1" a="1"/>
  <c r="BA3" i="72" s="1"/>
  <c r="AV8" i="72" a="1"/>
  <c r="AV8" i="72" s="1"/>
  <c r="CQ31" i="72" a="1"/>
  <c r="CQ31" i="72" s="1"/>
  <c r="BC8" i="72"/>
  <c r="AO2" i="61"/>
  <c r="AP1" i="61"/>
  <c r="AP4" i="61" l="1"/>
  <c r="AP5" i="6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S3" i="72"/>
  <c r="AP2" i="61"/>
  <c r="AP51" i="61" s="1" a="1"/>
  <c r="AP51" i="61" s="1"/>
  <c r="AQ1" i="61"/>
  <c r="AQ4" i="61" l="1"/>
  <c r="AQ5"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7" i="61" a="1"/>
  <c r="AQ47" i="61" s="1"/>
  <c r="AQ55" i="61" a="1"/>
  <c r="AQ55" i="61" s="1"/>
  <c r="AQ44" i="61" a="1"/>
  <c r="AQ44" i="61" s="1"/>
  <c r="AQ32" i="61" a="1"/>
  <c r="AQ32" i="61" s="1"/>
  <c r="AQ52" i="61" a="1"/>
  <c r="AQ52" i="61" s="1"/>
  <c r="AQ48" i="61" a="1"/>
  <c r="AQ48" i="61" s="1"/>
  <c r="AQ37" i="61" a="1"/>
  <c r="AQ37" i="61" s="1"/>
  <c r="AQ35" i="61" a="1"/>
  <c r="AQ35" i="61" s="1"/>
  <c r="AQ56" i="61" a="1"/>
  <c r="AQ56" i="61" s="1"/>
  <c r="AQ49" i="61" a="1"/>
  <c r="AQ49" i="61" s="1"/>
  <c r="AQ45" i="61" a="1"/>
  <c r="AQ45" i="61" s="1"/>
  <c r="AQ53" i="61" a="1"/>
  <c r="AQ53" i="61" s="1"/>
  <c r="AQ42" i="61" a="1"/>
  <c r="AQ42" i="61" s="1"/>
  <c r="AQ41" i="61" a="1"/>
  <c r="AQ41" i="61" s="1"/>
  <c r="AQ33" i="61" a="1"/>
  <c r="AQ33" i="61" s="1"/>
  <c r="AQ38" i="61" a="1"/>
  <c r="AQ38" i="61" s="1"/>
  <c r="AQ57" i="61" a="1"/>
  <c r="AQ57" i="61" s="1"/>
  <c r="AQ43" i="61" a="1"/>
  <c r="AQ43" i="61" s="1"/>
  <c r="AQ39" i="61" a="1"/>
  <c r="AQ39" i="61" s="1"/>
  <c r="AQ36" i="61" a="1"/>
  <c r="AQ36" i="61" s="1"/>
  <c r="AQ54" i="61" a="1"/>
  <c r="AQ54" i="61" s="1"/>
  <c r="AQ40" i="61" a="1"/>
  <c r="AQ40" i="61" s="1"/>
  <c r="AQ29" i="61" a="1"/>
  <c r="AQ29" i="61" s="1"/>
  <c r="AQ26" i="61" a="1"/>
  <c r="AQ26" i="61" s="1"/>
  <c r="AQ22" i="61" a="1"/>
  <c r="AQ22" i="61" s="1"/>
  <c r="AQ19" i="61" a="1"/>
  <c r="AQ19" i="61" s="1"/>
  <c r="AQ12" i="61" a="1"/>
  <c r="AQ12" i="61" s="1"/>
  <c r="AQ34" i="61" a="1"/>
  <c r="AQ34" i="61" s="1"/>
  <c r="AQ25" i="61" a="1"/>
  <c r="AQ25" i="61" s="1"/>
  <c r="AQ20" i="61" a="1"/>
  <c r="AQ20" i="61" s="1"/>
  <c r="AQ31" i="61" a="1"/>
  <c r="AQ31" i="61" s="1"/>
  <c r="AQ15" i="61" a="1"/>
  <c r="AQ15" i="61" s="1"/>
  <c r="AQ51" i="61" a="1"/>
  <c r="AQ51" i="61" s="1"/>
  <c r="AQ30" i="61" a="1"/>
  <c r="AQ30" i="61" s="1"/>
  <c r="AQ27" i="61" a="1"/>
  <c r="AQ27"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50" i="61" a="1"/>
  <c r="AQ50" i="61" s="1"/>
  <c r="AQ46" i="61" a="1"/>
  <c r="AQ46" i="61" s="1"/>
  <c r="AQ28" i="61" a="1"/>
  <c r="AQ28" i="61" s="1"/>
  <c r="AQ24" i="61" a="1"/>
  <c r="AQ24" i="61" s="1"/>
  <c r="AQ2" i="61"/>
  <c r="AR1" i="61"/>
  <c r="AR4" i="61" l="1"/>
  <c r="AR5" i="61"/>
  <c r="AR55" i="61" a="1"/>
  <c r="AR55" i="61" s="1"/>
  <c r="AR44" i="61" a="1"/>
  <c r="AR44" i="61" s="1"/>
  <c r="AR52" i="61" a="1"/>
  <c r="AR52" i="61" s="1"/>
  <c r="AR48" i="61" a="1"/>
  <c r="AR48" i="61" s="1"/>
  <c r="AR37" i="61" a="1"/>
  <c r="AR37" i="61" s="1"/>
  <c r="AR30" i="61" a="1"/>
  <c r="AR30" i="61" s="1"/>
  <c r="AR45" i="61" a="1"/>
  <c r="AR45" i="61" s="1"/>
  <c r="AR35" i="61" a="1"/>
  <c r="AR35" i="61" s="1"/>
  <c r="AR56" i="61" a="1"/>
  <c r="AR56" i="61" s="1"/>
  <c r="AR49" i="61" a="1"/>
  <c r="AR49" i="61" s="1"/>
  <c r="AR28" i="61" a="1"/>
  <c r="AR28" i="61" s="1"/>
  <c r="AR53" i="61" a="1"/>
  <c r="AR53" i="61" s="1"/>
  <c r="AR42" i="61" a="1"/>
  <c r="AR42" i="61" s="1"/>
  <c r="AR41" i="61" a="1"/>
  <c r="AR41" i="61" s="1"/>
  <c r="AR33" i="61" a="1"/>
  <c r="AR33" i="61" s="1"/>
  <c r="AR38" i="61" a="1"/>
  <c r="AR38" i="61" s="1"/>
  <c r="AR26" i="61" a="1"/>
  <c r="AR26" i="61" s="1"/>
  <c r="AR50" i="61" a="1"/>
  <c r="AR50" i="61" s="1"/>
  <c r="AR46" i="61" a="1"/>
  <c r="AR46" i="61" s="1"/>
  <c r="AR31" i="61" a="1"/>
  <c r="AR31" i="61" s="1"/>
  <c r="AR54" i="61" a="1"/>
  <c r="AR54" i="61" s="1"/>
  <c r="AR51" i="61" a="1"/>
  <c r="AR51" i="61" s="1"/>
  <c r="AR34" i="61" a="1"/>
  <c r="AR34" i="61" s="1"/>
  <c r="AR12" i="61" a="1"/>
  <c r="AR12" i="61" s="1"/>
  <c r="AR25" i="61" a="1"/>
  <c r="AR25" i="61" s="1"/>
  <c r="AR20" i="61" a="1"/>
  <c r="AR20" i="61" s="1"/>
  <c r="AR57" i="61" a="1"/>
  <c r="AR57" i="61" s="1"/>
  <c r="AR27" i="61" a="1"/>
  <c r="AR27" i="61" s="1"/>
  <c r="AR23" i="61" a="1"/>
  <c r="AR23" i="61" s="1"/>
  <c r="AR11" i="61" a="1"/>
  <c r="AR11" i="61" s="1"/>
  <c r="AR47" i="61" a="1"/>
  <c r="AR47" i="61" s="1"/>
  <c r="AR16" i="61" a="1"/>
  <c r="AR16" i="61" s="1"/>
  <c r="AR14" i="61" a="1"/>
  <c r="AR14" i="61" s="1"/>
  <c r="AR10" i="61" a="1"/>
  <c r="AR10" i="61" s="1"/>
  <c r="AR9" i="61" a="1"/>
  <c r="AR9" i="61" s="1"/>
  <c r="AR43" i="61" a="1"/>
  <c r="AR43" i="61" s="1"/>
  <c r="AR39" i="61" a="1"/>
  <c r="AR39" i="61" s="1"/>
  <c r="AR21" i="61" a="1"/>
  <c r="AR21" i="61" s="1"/>
  <c r="AR17" i="61" a="1"/>
  <c r="AR17" i="61" s="1"/>
  <c r="AR32" i="61" a="1"/>
  <c r="AR32" i="61" s="1"/>
  <c r="AR29" i="61" a="1"/>
  <c r="AR29" i="61" s="1"/>
  <c r="AR13" i="61" a="1"/>
  <c r="AR13" i="61" s="1"/>
  <c r="AR40" i="61" a="1"/>
  <c r="AR40" i="61" s="1"/>
  <c r="AR36" i="61" a="1"/>
  <c r="AR36" i="61" s="1"/>
  <c r="AR24" i="61" a="1"/>
  <c r="AR24" i="61" s="1"/>
  <c r="AR22" i="61" a="1"/>
  <c r="AR22" i="61" s="1"/>
  <c r="AR19" i="61" a="1"/>
  <c r="AR19" i="61" s="1"/>
  <c r="AR15" i="61" a="1"/>
  <c r="AR15" i="61" s="1"/>
  <c r="AR18" i="61" a="1"/>
  <c r="AR18" i="61" s="1"/>
  <c r="AR2" i="61"/>
  <c r="AS1" i="61"/>
  <c r="AS4" i="61" l="1"/>
  <c r="AS5" i="6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45" i="61" a="1"/>
  <c r="AU45" i="61" s="1"/>
  <c r="AU56" i="61" a="1"/>
  <c r="AU56" i="61" s="1"/>
  <c r="AU49" i="61" a="1"/>
  <c r="AU49" i="61" s="1"/>
  <c r="AU28" i="61" a="1"/>
  <c r="AU28" i="61" s="1"/>
  <c r="AU53" i="61" a="1"/>
  <c r="AU53" i="61" s="1"/>
  <c r="AU42" i="61" a="1"/>
  <c r="AU42" i="61" s="1"/>
  <c r="AU33" i="61" a="1"/>
  <c r="AU33" i="61" s="1"/>
  <c r="AU38" i="61" a="1"/>
  <c r="AU38" i="61" s="1"/>
  <c r="AU50" i="61" a="1"/>
  <c r="AU50" i="61" s="1"/>
  <c r="AU46" i="61" a="1"/>
  <c r="AU46" i="61" s="1"/>
  <c r="AU39" i="61" a="1"/>
  <c r="AU39" i="61" s="1"/>
  <c r="AU31" i="61" a="1"/>
  <c r="AU31" i="61" s="1"/>
  <c r="AU57" i="61" a="1"/>
  <c r="AU57" i="61" s="1"/>
  <c r="AU43" i="61" a="1"/>
  <c r="AU43" i="61" s="1"/>
  <c r="AU40" i="61" a="1"/>
  <c r="AU40" i="61" s="1"/>
  <c r="AU36" i="61" a="1"/>
  <c r="AU36" i="61" s="1"/>
  <c r="AU54" i="61" a="1"/>
  <c r="AU54" i="61" s="1"/>
  <c r="AU29" i="61" a="1"/>
  <c r="AU29" i="61" s="1"/>
  <c r="AU51" i="61" a="1"/>
  <c r="AU51" i="61" s="1"/>
  <c r="AU34" i="61" a="1"/>
  <c r="AU34" i="61" s="1"/>
  <c r="AU48" i="61" a="1"/>
  <c r="AU48" i="61" s="1"/>
  <c r="AU44" i="61" a="1"/>
  <c r="AU44" i="61" s="1"/>
  <c r="AU32" i="61" a="1"/>
  <c r="AU32" i="61" s="1"/>
  <c r="AU52" i="61" a="1"/>
  <c r="AU52" i="61" s="1"/>
  <c r="AU37" i="61" a="1"/>
  <c r="AU37" i="61" s="1"/>
  <c r="AU14" i="61" a="1"/>
  <c r="AU14" i="61" s="1"/>
  <c r="AU11" i="61" a="1"/>
  <c r="AU11" i="61" s="1"/>
  <c r="AU10" i="61" a="1"/>
  <c r="AU10" i="61" s="1"/>
  <c r="AU9" i="61" a="1"/>
  <c r="AU9" i="61" s="1"/>
  <c r="AU23" i="61" a="1"/>
  <c r="AU23" i="61" s="1"/>
  <c r="AU27" i="61" a="1"/>
  <c r="AU27" i="61" s="1"/>
  <c r="AU55" i="61" a="1"/>
  <c r="AU55" i="61" s="1"/>
  <c r="AU30" i="61" a="1"/>
  <c r="AU30" i="61" s="1"/>
  <c r="AU21" i="61" a="1"/>
  <c r="AU21" i="61" s="1"/>
  <c r="AU13" i="61" a="1"/>
  <c r="AU13" i="61" s="1"/>
  <c r="AU47" i="61" a="1"/>
  <c r="AU47" i="61" s="1"/>
  <c r="AU35" i="61" a="1"/>
  <c r="AU35" i="61" s="1"/>
  <c r="AU18" i="61" a="1"/>
  <c r="AU18" i="61" s="1"/>
  <c r="AU24" i="61" a="1"/>
  <c r="AU24" i="61" s="1"/>
  <c r="AU22" i="61" a="1"/>
  <c r="AU22" i="61" s="1"/>
  <c r="AU41" i="61" a="1"/>
  <c r="AU41" i="61" s="1"/>
  <c r="AU25" i="61" a="1"/>
  <c r="AU25" i="61" s="1"/>
  <c r="AU20" i="61" a="1"/>
  <c r="AU20" i="61" s="1"/>
  <c r="AU17" i="61" a="1"/>
  <c r="AU17" i="61" s="1"/>
  <c r="AU16" i="61" a="1"/>
  <c r="AU16" i="61" s="1"/>
  <c r="AU15" i="61" a="1"/>
  <c r="AU15" i="61" s="1"/>
  <c r="AU26" i="61" a="1"/>
  <c r="AU26" i="61" s="1"/>
  <c r="AU12" i="61" a="1"/>
  <c r="AU12" i="61" s="1"/>
  <c r="AU19" i="61" a="1"/>
  <c r="AU19" i="61" s="1"/>
  <c r="AU2" i="61"/>
  <c r="AV1" i="61"/>
  <c r="AV4" i="61" l="1"/>
  <c r="AV5" i="61"/>
  <c r="AV56" i="61" a="1"/>
  <c r="AV56" i="61" s="1"/>
  <c r="AV49" i="61" a="1"/>
  <c r="AV49" i="61" s="1"/>
  <c r="AV53" i="61" a="1"/>
  <c r="AV53" i="61" s="1"/>
  <c r="AV42" i="61" a="1"/>
  <c r="AV42" i="61" s="1"/>
  <c r="AV33" i="61" a="1"/>
  <c r="AV33" i="61" s="1"/>
  <c r="AV38" i="61" a="1"/>
  <c r="AV38" i="61" s="1"/>
  <c r="AV50" i="61" a="1"/>
  <c r="AV50" i="61" s="1"/>
  <c r="AV46" i="61" a="1"/>
  <c r="AV46" i="61" s="1"/>
  <c r="AV39" i="61" a="1"/>
  <c r="AV39" i="61" s="1"/>
  <c r="AV57" i="61" a="1"/>
  <c r="AV57" i="61" s="1"/>
  <c r="AV43" i="61" a="1"/>
  <c r="AV43" i="61" s="1"/>
  <c r="AV40" i="61" a="1"/>
  <c r="AV40" i="61" s="1"/>
  <c r="AV36" i="61" a="1"/>
  <c r="AV36" i="61" s="1"/>
  <c r="AV54" i="61" a="1"/>
  <c r="AV54" i="61" s="1"/>
  <c r="AV51" i="61" a="1"/>
  <c r="AV51" i="61" s="1"/>
  <c r="AV34" i="61" a="1"/>
  <c r="AV34" i="61" s="1"/>
  <c r="AV55" i="61" a="1"/>
  <c r="AV55" i="61" s="1"/>
  <c r="AV47" i="61" a="1"/>
  <c r="AV47" i="61" s="1"/>
  <c r="AV52" i="61" a="1"/>
  <c r="AV52" i="61" s="1"/>
  <c r="AV37" i="61" a="1"/>
  <c r="AV37" i="61" s="1"/>
  <c r="AV41" i="61" a="1"/>
  <c r="AV41" i="61" s="1"/>
  <c r="AV30" i="61" a="1"/>
  <c r="AV30" i="61" s="1"/>
  <c r="AV23" i="61" a="1"/>
  <c r="AV23" i="61" s="1"/>
  <c r="AV9" i="61" a="1"/>
  <c r="AV9" i="61" s="1"/>
  <c r="AV27" i="61" a="1"/>
  <c r="AV27" i="61" s="1"/>
  <c r="AV17" i="61" a="1"/>
  <c r="AV17" i="61" s="1"/>
  <c r="AV16" i="61" a="1"/>
  <c r="AV16" i="61" s="1"/>
  <c r="AV21" i="61" a="1"/>
  <c r="AV21" i="61" s="1"/>
  <c r="AV31" i="61" a="1"/>
  <c r="AV3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48" i="61" a="1"/>
  <c r="AV48" i="61" s="1"/>
  <c r="AV28" i="61" a="1"/>
  <c r="AV28"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W1" i="61"/>
  <c r="AW5" i="61" l="1"/>
  <c r="AW4" i="61"/>
  <c r="AW53" i="61" a="1"/>
  <c r="AW53" i="61" s="1"/>
  <c r="AW38" i="61" a="1"/>
  <c r="AW38" i="61" s="1"/>
  <c r="AW26" i="61" a="1"/>
  <c r="AW26" i="61" s="1"/>
  <c r="AW50" i="61" a="1"/>
  <c r="AW50" i="61" s="1"/>
  <c r="AW46" i="61" a="1"/>
  <c r="AW46" i="61" s="1"/>
  <c r="AW40" i="61" a="1"/>
  <c r="AW40" i="61" s="1"/>
  <c r="AW39" i="61" a="1"/>
  <c r="AW39" i="61" s="1"/>
  <c r="AW31" i="61" a="1"/>
  <c r="AW31" i="61" s="1"/>
  <c r="AW57" i="61" a="1"/>
  <c r="AW57" i="61" s="1"/>
  <c r="AW43" i="61" a="1"/>
  <c r="AW43" i="61" s="1"/>
  <c r="AW36" i="61" a="1"/>
  <c r="AW36" i="61" s="1"/>
  <c r="AW54" i="61" a="1"/>
  <c r="AW54" i="61" s="1"/>
  <c r="AW29" i="61" a="1"/>
  <c r="AW29" i="61" s="1"/>
  <c r="AW51" i="61" a="1"/>
  <c r="AW51" i="61" s="1"/>
  <c r="AW34" i="61" a="1"/>
  <c r="AW34" i="61" s="1"/>
  <c r="AW55" i="61" a="1"/>
  <c r="AW55" i="61" s="1"/>
  <c r="AW47" i="61" a="1"/>
  <c r="AW47" i="61" s="1"/>
  <c r="AW27" i="61" a="1"/>
  <c r="AW27" i="61" s="1"/>
  <c r="AW48" i="61" a="1"/>
  <c r="AW48" i="61" s="1"/>
  <c r="AW44" i="61" a="1"/>
  <c r="AW44" i="61" s="1"/>
  <c r="AW32" i="61" a="1"/>
  <c r="AW32" i="61" s="1"/>
  <c r="AW41" i="61" a="1"/>
  <c r="AW41" i="61" s="1"/>
  <c r="AW45" i="61" a="1"/>
  <c r="AW45" i="61" s="1"/>
  <c r="AW35" i="61" a="1"/>
  <c r="AW35" i="61" s="1"/>
  <c r="AW17" i="61" a="1"/>
  <c r="AW17" i="61" s="1"/>
  <c r="AW16" i="61" a="1"/>
  <c r="AW16" i="61" s="1"/>
  <c r="AW42" i="61" a="1"/>
  <c r="AW42" i="61" s="1"/>
  <c r="AW21" i="61" a="1"/>
  <c r="AW21" i="61" s="1"/>
  <c r="AW13" i="61" a="1"/>
  <c r="AW13" i="61" s="1"/>
  <c r="AW30" i="61" a="1"/>
  <c r="AW30" i="61" s="1"/>
  <c r="AW49" i="61" a="1"/>
  <c r="AW49" i="61" s="1"/>
  <c r="AW24" i="61" a="1"/>
  <c r="AW24" i="61" s="1"/>
  <c r="AW22" i="61" a="1"/>
  <c r="AW22" i="61" s="1"/>
  <c r="AW19" i="61" a="1"/>
  <c r="AW19" i="61" s="1"/>
  <c r="AW12" i="61" a="1"/>
  <c r="AW12" i="61" s="1"/>
  <c r="AW28" i="61" a="1"/>
  <c r="AW28" i="61" s="1"/>
  <c r="AW56" i="61" a="1"/>
  <c r="AW56" i="61" s="1"/>
  <c r="AW52" i="61" a="1"/>
  <c r="AW5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X5" i="61" l="1"/>
  <c r="AX4" i="61"/>
  <c r="AX57" i="61" a="1"/>
  <c r="AX57" i="61" s="1"/>
  <c r="AX50" i="61" a="1"/>
  <c r="AX50" i="61" s="1"/>
  <c r="AX46" i="61" a="1"/>
  <c r="AX46" i="61" s="1"/>
  <c r="AX40" i="61" a="1"/>
  <c r="AX40" i="61" s="1"/>
  <c r="AX39" i="61" a="1"/>
  <c r="AX39" i="61" s="1"/>
  <c r="AX31" i="61" a="1"/>
  <c r="AX31" i="61" s="1"/>
  <c r="AX43" i="61" a="1"/>
  <c r="AX43" i="61" s="1"/>
  <c r="AX36" i="61" a="1"/>
  <c r="AX36" i="61" s="1"/>
  <c r="AX54" i="61" a="1"/>
  <c r="AX54" i="61" s="1"/>
  <c r="AX51" i="61" a="1"/>
  <c r="AX51" i="61" s="1"/>
  <c r="AX34" i="61" a="1"/>
  <c r="AX34" i="61" s="1"/>
  <c r="AX55" i="61" a="1"/>
  <c r="AX55" i="61" s="1"/>
  <c r="AX47" i="61" a="1"/>
  <c r="AX47" i="61" s="1"/>
  <c r="AX48" i="61" a="1"/>
  <c r="AX48" i="61" s="1"/>
  <c r="AX44" i="61" a="1"/>
  <c r="AX44" i="61" s="1"/>
  <c r="AX32" i="61" a="1"/>
  <c r="AX32" i="61" s="1"/>
  <c r="AX52" i="61" a="1"/>
  <c r="AX52" i="61" s="1"/>
  <c r="AX37" i="61" a="1"/>
  <c r="AX37" i="61" s="1"/>
  <c r="AX35" i="61" a="1"/>
  <c r="AX35" i="61" s="1"/>
  <c r="AX56" i="61" a="1"/>
  <c r="AX56" i="61" s="1"/>
  <c r="AX49" i="61" a="1"/>
  <c r="AX49" i="61" s="1"/>
  <c r="AX28" i="61" a="1"/>
  <c r="AX28" i="61" s="1"/>
  <c r="AX42" i="61" a="1"/>
  <c r="AX42" i="61" s="1"/>
  <c r="AX27" i="61" a="1"/>
  <c r="AX27" i="61" s="1"/>
  <c r="AX21" i="61" a="1"/>
  <c r="AX21" i="61" s="1"/>
  <c r="AX13" i="61" a="1"/>
  <c r="AX13" i="61" s="1"/>
  <c r="AX30" i="61" a="1"/>
  <c r="AX30"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6" i="61" a="1"/>
  <c r="AX26" i="61" s="1"/>
  <c r="AX25" i="61" a="1"/>
  <c r="AX25" i="61" s="1"/>
  <c r="AX41" i="61" a="1"/>
  <c r="AX41"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Y1" i="61"/>
  <c r="AY5" i="61" l="1"/>
  <c r="AY4" i="61"/>
  <c r="AY57" i="61" a="1"/>
  <c r="AY57" i="61" s="1"/>
  <c r="AY46" i="61" a="1"/>
  <c r="AY46" i="61" s="1"/>
  <c r="AY43" i="61" a="1"/>
  <c r="AY43" i="61" s="1"/>
  <c r="AY36" i="61" a="1"/>
  <c r="AY36" i="61" s="1"/>
  <c r="AY54" i="61" a="1"/>
  <c r="AY54" i="61" s="1"/>
  <c r="AY51" i="61" a="1"/>
  <c r="AY51" i="61" s="1"/>
  <c r="AY29" i="61" a="1"/>
  <c r="AY29" i="61" s="1"/>
  <c r="AY34" i="61" a="1"/>
  <c r="AY34" i="61" s="1"/>
  <c r="AY55" i="61" a="1"/>
  <c r="AY55" i="61" s="1"/>
  <c r="AY47" i="61" a="1"/>
  <c r="AY47" i="61" s="1"/>
  <c r="AY44" i="61" a="1"/>
  <c r="AY44" i="61" s="1"/>
  <c r="AY27" i="61" a="1"/>
  <c r="AY27" i="61" s="1"/>
  <c r="AY48" i="61" a="1"/>
  <c r="AY48" i="61" s="1"/>
  <c r="AY32" i="61" a="1"/>
  <c r="AY32" i="61" s="1"/>
  <c r="AY52" i="61" a="1"/>
  <c r="AY52" i="61" s="1"/>
  <c r="AY37" i="61" a="1"/>
  <c r="AY37" i="61" s="1"/>
  <c r="AY45" i="61" a="1"/>
  <c r="AY45" i="61" s="1"/>
  <c r="AY41" i="61" a="1"/>
  <c r="AY41" i="61" s="1"/>
  <c r="AY30" i="61" a="1"/>
  <c r="AY30" i="61" s="1"/>
  <c r="AY49" i="61" a="1"/>
  <c r="AY49" i="61" s="1"/>
  <c r="AY53" i="61" a="1"/>
  <c r="AY53" i="61" s="1"/>
  <c r="AY42" i="61" a="1"/>
  <c r="AY42" i="61" s="1"/>
  <c r="AY33" i="61" a="1"/>
  <c r="AY33" i="61" s="1"/>
  <c r="AY38" i="61" a="1"/>
  <c r="AY38" i="61" s="1"/>
  <c r="AY31" i="61" a="1"/>
  <c r="AY31" i="61" s="1"/>
  <c r="AY24" i="61" a="1"/>
  <c r="AY24" i="61" s="1"/>
  <c r="AY35" i="61" a="1"/>
  <c r="AY35" i="61" s="1"/>
  <c r="AY12" i="61" a="1"/>
  <c r="AY12" i="61" s="1"/>
  <c r="AY39" i="61" a="1"/>
  <c r="AY39" i="61" s="1"/>
  <c r="AY22" i="61" a="1"/>
  <c r="AY22" i="61" s="1"/>
  <c r="AY19" i="61" a="1"/>
  <c r="AY19" i="61" s="1"/>
  <c r="AY15" i="61" a="1"/>
  <c r="AY15" i="61" s="1"/>
  <c r="AY11" i="61" a="1"/>
  <c r="AY11" i="61" s="1"/>
  <c r="AY10" i="61" a="1"/>
  <c r="AY10" i="61" s="1"/>
  <c r="AY20" i="61" a="1"/>
  <c r="AY20" i="61" s="1"/>
  <c r="AY28" i="61" a="1"/>
  <c r="AY28" i="61" s="1"/>
  <c r="AY26" i="61" a="1"/>
  <c r="AY26" i="61" s="1"/>
  <c r="AY25" i="61" a="1"/>
  <c r="AY25" i="61" s="1"/>
  <c r="AY14" i="61" a="1"/>
  <c r="AY14" i="61" s="1"/>
  <c r="AY56" i="61" a="1"/>
  <c r="AY56" i="61" s="1"/>
  <c r="AY40" i="61" a="1"/>
  <c r="AY40" i="61" s="1"/>
  <c r="AY23" i="61" a="1"/>
  <c r="AY23" i="61" s="1"/>
  <c r="AY16" i="61" a="1"/>
  <c r="AY16" i="61" s="1"/>
  <c r="AY21" i="61" a="1"/>
  <c r="AY21" i="61" s="1"/>
  <c r="AY18" i="61" a="1"/>
  <c r="AY18" i="61" s="1"/>
  <c r="AY50" i="61" a="1"/>
  <c r="AY50" i="61" s="1"/>
  <c r="AY9" i="61" a="1"/>
  <c r="AY9" i="61" s="1"/>
  <c r="AY17" i="61" a="1"/>
  <c r="AY17" i="61" s="1"/>
  <c r="AY13" i="61" a="1"/>
  <c r="AY13" i="61" s="1"/>
  <c r="AY2" i="61"/>
  <c r="AZ1" i="61"/>
  <c r="AZ5" i="61" l="1"/>
  <c r="AZ4" i="6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4" i="61" l="1"/>
  <c r="BA5"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4" i="61" l="1"/>
  <c r="BB5" i="61"/>
  <c r="BB47" i="61" a="1"/>
  <c r="BB47" i="61" s="1"/>
  <c r="BB55" i="61" a="1"/>
  <c r="BB55" i="61" s="1"/>
  <c r="BB44" i="61" a="1"/>
  <c r="BB44" i="61" s="1"/>
  <c r="BB27" i="61" a="1"/>
  <c r="BB27" i="61" s="1"/>
  <c r="BB48" i="61" a="1"/>
  <c r="BB48" i="61" s="1"/>
  <c r="BB32" i="61" a="1"/>
  <c r="BB32" i="61" s="1"/>
  <c r="BB52" i="61" a="1"/>
  <c r="BB52" i="61" s="1"/>
  <c r="BB41" i="61" a="1"/>
  <c r="BB41" i="61" s="1"/>
  <c r="BB37" i="61" a="1"/>
  <c r="BB37" i="61" s="1"/>
  <c r="BB45" i="61" a="1"/>
  <c r="BB45" i="61" s="1"/>
  <c r="BB30" i="61" a="1"/>
  <c r="BB30" i="61" s="1"/>
  <c r="BB56" i="61" a="1"/>
  <c r="BB56" i="61" s="1"/>
  <c r="BB49" i="61" a="1"/>
  <c r="BB49" i="61" s="1"/>
  <c r="BB35" i="61" a="1"/>
  <c r="BB35" i="61" s="1"/>
  <c r="BB42" i="61" a="1"/>
  <c r="BB42" i="61" s="1"/>
  <c r="BB28" i="61" a="1"/>
  <c r="BB28" i="61" s="1"/>
  <c r="BB53" i="61" a="1"/>
  <c r="BB53" i="61" s="1"/>
  <c r="BB33" i="61" a="1"/>
  <c r="BB33" i="61" s="1"/>
  <c r="BB57" i="61" a="1"/>
  <c r="BB57" i="61" s="1"/>
  <c r="BB46" i="61" a="1"/>
  <c r="BB46" i="61" s="1"/>
  <c r="BB43" i="61" a="1"/>
  <c r="BB43" i="61" s="1"/>
  <c r="BB31" i="61" a="1"/>
  <c r="BB31" i="61" s="1"/>
  <c r="BB54" i="61" a="1"/>
  <c r="BB54" i="61" s="1"/>
  <c r="BB36" i="61" a="1"/>
  <c r="BB36" i="61" s="1"/>
  <c r="BB34" i="61" a="1"/>
  <c r="BB34" i="61" s="1"/>
  <c r="BB19" i="61" a="1"/>
  <c r="BB19" i="61" s="1"/>
  <c r="BB38" i="61" a="1"/>
  <c r="BB38" i="61" s="1"/>
  <c r="BB22" i="61" a="1"/>
  <c r="BB22" i="61" s="1"/>
  <c r="BB29" i="61" a="1"/>
  <c r="BB29" i="61" s="1"/>
  <c r="BB51" i="61" a="1"/>
  <c r="BB51" i="61" s="1"/>
  <c r="BB39" i="61" a="1"/>
  <c r="BB39" i="61" s="1"/>
  <c r="BB14" i="61" a="1"/>
  <c r="BB14" i="61" s="1"/>
  <c r="BB10" i="61" a="1"/>
  <c r="BB10" i="61" s="1"/>
  <c r="BB25" i="61" a="1"/>
  <c r="BB25" i="61" s="1"/>
  <c r="BB20" i="61" a="1"/>
  <c r="BB20" i="61" s="1"/>
  <c r="BB15" i="61" a="1"/>
  <c r="BB15" i="61" s="1"/>
  <c r="BB26" i="61" a="1"/>
  <c r="BB26" i="61" s="1"/>
  <c r="BB9" i="61" a="1"/>
  <c r="BB9" i="61" s="1"/>
  <c r="BB40" i="61" a="1"/>
  <c r="BB40" i="61" s="1"/>
  <c r="BB23" i="61" a="1"/>
  <c r="BB23" i="61" s="1"/>
  <c r="BB17" i="61" a="1"/>
  <c r="BB17" i="61" s="1"/>
  <c r="BB16" i="61" a="1"/>
  <c r="BB16" i="61" s="1"/>
  <c r="BB13" i="61" a="1"/>
  <c r="BB13" i="61" s="1"/>
  <c r="BB21" i="61" a="1"/>
  <c r="BB21" i="61" s="1"/>
  <c r="BB50" i="61" a="1"/>
  <c r="BB50" i="61" s="1"/>
  <c r="BB24" i="61" a="1"/>
  <c r="BB24" i="61" s="1"/>
  <c r="BB18" i="61" a="1"/>
  <c r="BB18" i="61" s="1"/>
  <c r="BB12" i="61" a="1"/>
  <c r="BB12" i="61" s="1"/>
  <c r="BB11" i="61" a="1"/>
  <c r="BB11" i="61" s="1"/>
  <c r="BC1" i="61"/>
  <c r="BB2" i="61"/>
  <c r="BC5" i="61" l="1"/>
  <c r="BC4" i="61"/>
  <c r="BC55" i="61" a="1"/>
  <c r="BC55" i="61" s="1"/>
  <c r="BC44" i="61" a="1"/>
  <c r="BC44" i="61" s="1"/>
  <c r="BC52" i="61" a="1"/>
  <c r="BC52" i="61" s="1"/>
  <c r="BC48" i="61" a="1"/>
  <c r="BC48" i="61" s="1"/>
  <c r="BC32" i="61" a="1"/>
  <c r="BC32" i="61" s="1"/>
  <c r="BC41" i="61" a="1"/>
  <c r="BC41" i="61" s="1"/>
  <c r="BC37" i="61" a="1"/>
  <c r="BC37" i="61" s="1"/>
  <c r="BC45" i="61" a="1"/>
  <c r="BC45" i="61" s="1"/>
  <c r="BC56" i="61" a="1"/>
  <c r="BC56" i="61" s="1"/>
  <c r="BC49" i="61" a="1"/>
  <c r="BC49" i="61" s="1"/>
  <c r="BC35" i="61" a="1"/>
  <c r="BC35" i="61" s="1"/>
  <c r="BC42" i="61" a="1"/>
  <c r="BC42" i="61" s="1"/>
  <c r="BC53" i="61" a="1"/>
  <c r="BC53" i="61" s="1"/>
  <c r="BC40" i="61" a="1"/>
  <c r="BC40" i="61" s="1"/>
  <c r="BC33" i="61" a="1"/>
  <c r="BC33" i="61" s="1"/>
  <c r="BC50" i="61" a="1"/>
  <c r="BC50" i="61" s="1"/>
  <c r="BC39" i="61" a="1"/>
  <c r="BC39" i="61" s="1"/>
  <c r="BC38" i="61" a="1"/>
  <c r="BC38" i="61" s="1"/>
  <c r="BC54" i="61" a="1"/>
  <c r="BC54" i="61" s="1"/>
  <c r="BC36" i="61" a="1"/>
  <c r="BC36" i="61" s="1"/>
  <c r="BC51" i="61" a="1"/>
  <c r="BC51" i="61" s="1"/>
  <c r="BC29" i="61" a="1"/>
  <c r="BC29" i="61" s="1"/>
  <c r="BC31" i="61" a="1"/>
  <c r="BC31" i="61" s="1"/>
  <c r="BC30" i="61" a="1"/>
  <c r="BC30" i="61" s="1"/>
  <c r="BC22" i="61" a="1"/>
  <c r="BC22" i="61" s="1"/>
  <c r="BC11" i="61" a="1"/>
  <c r="BC11" i="61" s="1"/>
  <c r="BC10" i="61" a="1"/>
  <c r="BC10" i="61" s="1"/>
  <c r="BC57" i="61" a="1"/>
  <c r="BC57" i="61" s="1"/>
  <c r="BC47" i="61" a="1"/>
  <c r="BC47" i="61" s="1"/>
  <c r="BC25" i="61" a="1"/>
  <c r="BC25" i="61" s="1"/>
  <c r="BC20" i="61" a="1"/>
  <c r="BC20" i="61" s="1"/>
  <c r="BC15" i="61" a="1"/>
  <c r="BC15" i="61" s="1"/>
  <c r="BC43" i="61" a="1"/>
  <c r="BC43" i="61" s="1"/>
  <c r="BC26" i="61" a="1"/>
  <c r="BC26" i="61" s="1"/>
  <c r="BC17" i="61" a="1"/>
  <c r="BC17" i="61" s="1"/>
  <c r="BC9" i="61" a="1"/>
  <c r="BC9" i="61" s="1"/>
  <c r="BC28" i="61" a="1"/>
  <c r="BC28"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27" i="61" a="1"/>
  <c r="BC27" i="61" s="1"/>
  <c r="BC12" i="61" a="1"/>
  <c r="BC12" i="61" s="1"/>
  <c r="BC2" i="61"/>
  <c r="BD1" i="61"/>
  <c r="BD5" i="61" l="1"/>
  <c r="BD4" i="61"/>
  <c r="BD52" i="61" a="1"/>
  <c r="BD52" i="61" s="1"/>
  <c r="BD48" i="61" a="1"/>
  <c r="BD48" i="61" s="1"/>
  <c r="BD41" i="61" a="1"/>
  <c r="BD41" i="61" s="1"/>
  <c r="BD37" i="61" a="1"/>
  <c r="BD37" i="61" s="1"/>
  <c r="BD45" i="61" a="1"/>
  <c r="BD45" i="61" s="1"/>
  <c r="BD30" i="61" a="1"/>
  <c r="BD30" i="61" s="1"/>
  <c r="BD56" i="61" a="1"/>
  <c r="BD56" i="61" s="1"/>
  <c r="BD49" i="61" a="1"/>
  <c r="BD49" i="61" s="1"/>
  <c r="BD35" i="61" a="1"/>
  <c r="BD35" i="61" s="1"/>
  <c r="BD42" i="61" a="1"/>
  <c r="BD42" i="61" s="1"/>
  <c r="BD40" i="61" a="1"/>
  <c r="BD40" i="61" s="1"/>
  <c r="BD28" i="61" a="1"/>
  <c r="BD28" i="61" s="1"/>
  <c r="BD53" i="61" a="1"/>
  <c r="BD53" i="61" s="1"/>
  <c r="BD39" i="61" a="1"/>
  <c r="BD39" i="61" s="1"/>
  <c r="BD33" i="61" a="1"/>
  <c r="BD33" i="61" s="1"/>
  <c r="BD57" i="61" a="1"/>
  <c r="BD57" i="61" s="1"/>
  <c r="BD50" i="61" a="1"/>
  <c r="BD50" i="61" s="1"/>
  <c r="BD38" i="61" a="1"/>
  <c r="BD38" i="61" s="1"/>
  <c r="BD26" i="61" a="1"/>
  <c r="BD26" i="61" s="1"/>
  <c r="BD46" i="61" a="1"/>
  <c r="BD46" i="61" s="1"/>
  <c r="BD43" i="61" a="1"/>
  <c r="BD43" i="61" s="1"/>
  <c r="BD31" i="61" a="1"/>
  <c r="BD31" i="61" s="1"/>
  <c r="BD51" i="61" a="1"/>
  <c r="BD51" i="61" s="1"/>
  <c r="BD47" i="61" a="1"/>
  <c r="BD47"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32" i="61" a="1"/>
  <c r="BD32" i="61" s="1"/>
  <c r="BD23" i="61" a="1"/>
  <c r="BD23" i="61" s="1"/>
  <c r="BD13" i="61" a="1"/>
  <c r="BD13" i="61" s="1"/>
  <c r="BD36" i="61" a="1"/>
  <c r="BD36"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44" i="61" a="1"/>
  <c r="BD44" i="61" s="1"/>
  <c r="BD2" i="61"/>
  <c r="BE1" i="61"/>
  <c r="BE5" i="61" l="1"/>
  <c r="BE4" i="61"/>
  <c r="BE45" i="61" a="1"/>
  <c r="BE45" i="61" s="1"/>
  <c r="BE30" i="61" a="1"/>
  <c r="BE30" i="61" s="1"/>
  <c r="BE56" i="61" a="1"/>
  <c r="BE56" i="61" s="1"/>
  <c r="BE49" i="61" a="1"/>
  <c r="BE49" i="61" s="1"/>
  <c r="BE35" i="61" a="1"/>
  <c r="BE35" i="61" s="1"/>
  <c r="BE42" i="61" a="1"/>
  <c r="BE42" i="61" s="1"/>
  <c r="BE40" i="61" a="1"/>
  <c r="BE40" i="61" s="1"/>
  <c r="BE39" i="61" a="1"/>
  <c r="BE39" i="61" s="1"/>
  <c r="BE53" i="61" a="1"/>
  <c r="BE53" i="61" s="1"/>
  <c r="BE50" i="61" a="1"/>
  <c r="BE50" i="61" s="1"/>
  <c r="BE33" i="61" a="1"/>
  <c r="BE33" i="61" s="1"/>
  <c r="BE57" i="61" a="1"/>
  <c r="BE57" i="61" s="1"/>
  <c r="BE38" i="61" a="1"/>
  <c r="BE38" i="61" s="1"/>
  <c r="BE46" i="61" a="1"/>
  <c r="BE46" i="61" s="1"/>
  <c r="BE43" i="61" a="1"/>
  <c r="BE43" i="61" s="1"/>
  <c r="BE31" i="61" a="1"/>
  <c r="BE31" i="61" s="1"/>
  <c r="BE54" i="61" a="1"/>
  <c r="BE54" i="61" s="1"/>
  <c r="BE36" i="61" a="1"/>
  <c r="BE36" i="61" s="1"/>
  <c r="BE47" i="61" a="1"/>
  <c r="BE47" i="61" s="1"/>
  <c r="BE34" i="61" a="1"/>
  <c r="BE34" i="61" s="1"/>
  <c r="BE55" i="61" a="1"/>
  <c r="BE55" i="61" s="1"/>
  <c r="BE44" i="61" a="1"/>
  <c r="BE44" i="61" s="1"/>
  <c r="BE27" i="61" a="1"/>
  <c r="BE27" i="61" s="1"/>
  <c r="BE29" i="61" a="1"/>
  <c r="BE29" i="61" s="1"/>
  <c r="BE25" i="61" a="1"/>
  <c r="BE25" i="61" s="1"/>
  <c r="BE20" i="61" a="1"/>
  <c r="BE20" i="61" s="1"/>
  <c r="BE15" i="61" a="1"/>
  <c r="BE15" i="61" s="1"/>
  <c r="BE51" i="61" a="1"/>
  <c r="BE51" i="61" s="1"/>
  <c r="BE32" i="61" a="1"/>
  <c r="BE32" i="61" s="1"/>
  <c r="BE26" i="61" a="1"/>
  <c r="BE26" i="61" s="1"/>
  <c r="BE23" i="61" a="1"/>
  <c r="BE23" i="61" s="1"/>
  <c r="BE13" i="61" a="1"/>
  <c r="BE13" i="61" s="1"/>
  <c r="BE28" i="61" a="1"/>
  <c r="BE28" i="61" s="1"/>
  <c r="BE21" i="61" a="1"/>
  <c r="BE21" i="61" s="1"/>
  <c r="BE18" i="61" a="1"/>
  <c r="BE18" i="61" s="1"/>
  <c r="BE12" i="61" a="1"/>
  <c r="BE12" i="61" s="1"/>
  <c r="BE52" i="61" a="1"/>
  <c r="BE52" i="61" s="1"/>
  <c r="BE48" i="61" a="1"/>
  <c r="BE48" i="61" s="1"/>
  <c r="BE41" i="61" a="1"/>
  <c r="BE41" i="61" s="1"/>
  <c r="BE24" i="61" a="1"/>
  <c r="BE24" i="61" s="1"/>
  <c r="BE17" i="61" a="1"/>
  <c r="BE17" i="61" s="1"/>
  <c r="BE16" i="61" a="1"/>
  <c r="BE16" i="61" s="1"/>
  <c r="BE14" i="61" a="1"/>
  <c r="BE14" i="61" s="1"/>
  <c r="BE9" i="61" a="1"/>
  <c r="BE9" i="61" s="1"/>
  <c r="BE11" i="61" a="1"/>
  <c r="BE11" i="61" s="1"/>
  <c r="BE10" i="61" a="1"/>
  <c r="BE10" i="61" s="1"/>
  <c r="BE22" i="61" a="1"/>
  <c r="BE22" i="61" s="1"/>
  <c r="BE37" i="61" a="1"/>
  <c r="BE37" i="61" s="1"/>
  <c r="BE19" i="61" a="1"/>
  <c r="BE19" i="61" s="1"/>
  <c r="BE2" i="61"/>
  <c r="BF1" i="61"/>
  <c r="BF5" i="61" l="1"/>
  <c r="BF4" i="61"/>
  <c r="BF45" i="61" a="1"/>
  <c r="BF45" i="61" s="1"/>
  <c r="BF56" i="61" a="1"/>
  <c r="BF56" i="61" s="1"/>
  <c r="BF49" i="61" a="1"/>
  <c r="BF49" i="61" s="1"/>
  <c r="BF35" i="61" a="1"/>
  <c r="BF35"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26" i="61" a="1"/>
  <c r="BF26" i="61" s="1"/>
  <c r="BF46" i="61" a="1"/>
  <c r="BF46" i="61" s="1"/>
  <c r="BF43" i="61" a="1"/>
  <c r="BF43" i="61" s="1"/>
  <c r="BF31" i="61" a="1"/>
  <c r="BF31" i="61" s="1"/>
  <c r="BF54" i="61" a="1"/>
  <c r="BF54" i="61" s="1"/>
  <c r="BF36" i="61" a="1"/>
  <c r="BF36" i="61" s="1"/>
  <c r="BF51" i="61" a="1"/>
  <c r="BF51" i="61" s="1"/>
  <c r="BF29" i="61" a="1"/>
  <c r="BF29" i="61" s="1"/>
  <c r="BF55" i="61" a="1"/>
  <c r="BF55" i="61" s="1"/>
  <c r="BF44" i="61" a="1"/>
  <c r="BF44" i="61" s="1"/>
  <c r="BF52" i="61" a="1"/>
  <c r="BF52" i="61" s="1"/>
  <c r="BF48" i="61" a="1"/>
  <c r="BF48" i="61" s="1"/>
  <c r="BF32" i="61" a="1"/>
  <c r="BF32" i="61" s="1"/>
  <c r="BF25" i="61" a="1"/>
  <c r="BF25" i="61" s="1"/>
  <c r="BF15" i="61" a="1"/>
  <c r="BF15" i="61" s="1"/>
  <c r="BF9" i="61" a="1"/>
  <c r="BF9" i="61" s="1"/>
  <c r="BF13" i="61" a="1"/>
  <c r="BF13" i="61" s="1"/>
  <c r="BF17" i="61" a="1"/>
  <c r="BF17" i="61" s="1"/>
  <c r="BF16" i="61" a="1"/>
  <c r="BF16" i="61" s="1"/>
  <c r="BF47" i="61" a="1"/>
  <c r="BF47" i="61" s="1"/>
  <c r="BF23" i="61" a="1"/>
  <c r="BF23" i="61" s="1"/>
  <c r="BF21" i="61" a="1"/>
  <c r="BF21" i="61" s="1"/>
  <c r="BF18" i="61" a="1"/>
  <c r="BF18" i="61" s="1"/>
  <c r="BF12" i="61" a="1"/>
  <c r="BF12" i="61" s="1"/>
  <c r="BF41" i="61" a="1"/>
  <c r="BF41" i="61" s="1"/>
  <c r="BF24" i="61" a="1"/>
  <c r="BF24" i="61" s="1"/>
  <c r="BF19" i="61" a="1"/>
  <c r="BF19" i="61" s="1"/>
  <c r="BF27" i="61" a="1"/>
  <c r="BF27" i="61" s="1"/>
  <c r="BF37" i="61" a="1"/>
  <c r="BF37" i="61" s="1"/>
  <c r="BF22" i="61" a="1"/>
  <c r="BF22" i="61" s="1"/>
  <c r="BF11" i="61" a="1"/>
  <c r="BF11" i="61" s="1"/>
  <c r="BF30" i="61" a="1"/>
  <c r="BF30" i="61" s="1"/>
  <c r="BF20" i="61" a="1"/>
  <c r="BF20" i="61" s="1"/>
  <c r="BF34" i="61" a="1"/>
  <c r="BF34" i="61" s="1"/>
  <c r="BF10" i="61" a="1"/>
  <c r="BF10" i="61" s="1"/>
  <c r="BF14" i="61" a="1"/>
  <c r="BF14" i="61" s="1"/>
  <c r="BF2" i="61"/>
  <c r="BG1" i="61"/>
  <c r="BG5" i="61" l="1"/>
  <c r="BG4" i="6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U5" i="53" l="1"/>
  <c r="U3" i="53"/>
  <c r="N3" i="53"/>
  <c r="AA3" i="53" s="1"/>
  <c r="AB3" i="53" s="1"/>
  <c r="N5" i="53"/>
  <c r="AA5" i="53" s="1"/>
  <c r="O119" i="32" l="1" a="1"/>
  <c r="O119" i="32" s="1"/>
  <c r="O116" i="32" s="1"/>
  <c r="O115" i="32" s="1"/>
  <c r="P119" i="32" a="1"/>
  <c r="P119" i="32" s="1"/>
  <c r="K119" i="32" a="1"/>
  <c r="K119" i="32" s="1"/>
  <c r="J119" i="32" a="1"/>
  <c r="J119" i="32" s="1"/>
  <c r="J116" i="32" s="1"/>
  <c r="J115" i="32" s="1"/>
  <c r="F119" i="32" a="1"/>
  <c r="F119" i="32" s="1"/>
  <c r="E119" i="32" a="1"/>
  <c r="E119" i="32" s="1"/>
  <c r="AB5" i="53"/>
  <c r="S53" i="68" l="1"/>
  <c r="C53" i="68"/>
  <c r="J170" i="32"/>
  <c r="J138" i="32"/>
  <c r="J158" i="32"/>
  <c r="J129" i="32"/>
  <c r="O170" i="32"/>
  <c r="O138" i="32"/>
  <c r="O158" i="32"/>
  <c r="O129" i="32"/>
  <c r="D21" i="68" l="1"/>
  <c r="F24" i="32" a="1"/>
  <c r="F24" i="32" s="1"/>
  <c r="E21" i="68" l="1"/>
  <c r="F21" i="32"/>
  <c r="F21" i="68" l="1"/>
  <c r="G21" i="68"/>
  <c r="H21" i="68" l="1"/>
  <c r="F15" i="32" a="1"/>
  <c r="F15" i="32" s="1"/>
  <c r="P12" i="32" s="1"/>
  <c r="P20" i="32" l="1"/>
  <c r="P147" i="32"/>
  <c r="P148" i="32" s="1"/>
  <c r="P149" i="32" s="1"/>
  <c r="I21" i="68"/>
  <c r="E24" i="32" a="1"/>
  <c r="E24" i="32" s="1"/>
  <c r="P40" i="32" l="1"/>
  <c r="P132" i="32" s="1"/>
  <c r="P164" i="32"/>
  <c r="P125" i="32"/>
  <c r="F34" i="32" a="1"/>
  <c r="F34" i="32" s="1"/>
  <c r="J21" i="68"/>
  <c r="E21" i="32"/>
  <c r="P48" i="32" l="1"/>
  <c r="P50" i="32" s="1"/>
  <c r="P127" i="32" s="1"/>
  <c r="P136" i="32"/>
  <c r="P135" i="32"/>
  <c r="P165" i="32"/>
  <c r="P126" i="32"/>
  <c r="P131" i="32"/>
  <c r="P130" i="32"/>
  <c r="F32" i="32"/>
  <c r="P128" i="32" l="1"/>
  <c r="P166" i="32"/>
  <c r="M21" i="68"/>
  <c r="K21" i="68"/>
  <c r="E15" i="32" l="1" a="1"/>
  <c r="E15" i="32" s="1"/>
  <c r="K12" i="32" s="1"/>
  <c r="L21" i="68"/>
  <c r="N21" i="68"/>
  <c r="C83" i="40" a="1"/>
  <c r="C83" i="40" s="1"/>
  <c r="C84" i="40" s="1"/>
  <c r="K20" i="32" l="1"/>
  <c r="K40" i="32" s="1"/>
  <c r="K147" i="32"/>
  <c r="K148" i="32" s="1"/>
  <c r="K131" i="32" l="1"/>
  <c r="K126" i="32"/>
  <c r="K165" i="32"/>
  <c r="K136" i="32"/>
  <c r="K135" i="32"/>
  <c r="K125" i="32"/>
  <c r="K164" i="32"/>
  <c r="K48" i="32"/>
  <c r="K50" i="32" s="1"/>
  <c r="O21" i="68"/>
  <c r="C21" i="68"/>
  <c r="E34" i="32" a="1"/>
  <c r="E34" i="32" s="1"/>
  <c r="K127" i="32" l="1"/>
  <c r="K166" i="32"/>
  <c r="CW43" i="71" a="1"/>
  <c r="CW43" i="71" s="1"/>
  <c r="E32" i="32"/>
  <c r="CW29" i="71" l="1"/>
  <c r="CX29" i="71" s="1"/>
  <c r="CY43" i="71" a="1"/>
  <c r="CY43" i="71" s="1"/>
  <c r="DA43" i="71" s="1"/>
  <c r="D13" i="40" l="1"/>
  <c r="C15" i="40"/>
  <c r="D12" i="40" l="1"/>
  <c r="C13" i="40"/>
  <c r="D37" i="40"/>
  <c r="D21" i="40"/>
  <c r="D22" i="40"/>
  <c r="D161" i="40" l="1"/>
  <c r="D162" i="40" s="1"/>
  <c r="D34" i="40"/>
  <c r="D42" i="40" s="1"/>
  <c r="C22" i="40"/>
  <c r="C12" i="40"/>
  <c r="C37" i="40"/>
  <c r="C21" i="40"/>
  <c r="D8" i="40"/>
  <c r="D9" i="40" s="1"/>
  <c r="D10" i="40" s="1"/>
  <c r="D33" i="40"/>
  <c r="J47" i="40" l="1" a="1"/>
  <c r="J47" i="40" s="1"/>
  <c r="G47" i="40" a="1"/>
  <c r="G47" i="40" s="1"/>
  <c r="N47" i="40" a="1"/>
  <c r="N47" i="40" s="1"/>
  <c r="H47" i="40" a="1"/>
  <c r="H47" i="40" s="1"/>
  <c r="M47" i="40" a="1"/>
  <c r="M47" i="40" s="1"/>
  <c r="D47" i="40" a="1"/>
  <c r="D47" i="40" s="1"/>
  <c r="I47" i="40" a="1"/>
  <c r="I47" i="40" s="1"/>
  <c r="K47" i="40" a="1"/>
  <c r="K47" i="40" s="1"/>
  <c r="L47" i="40" a="1"/>
  <c r="L47" i="40" s="1"/>
  <c r="O47" i="40" a="1"/>
  <c r="O47" i="40" s="1"/>
  <c r="E47" i="40" a="1"/>
  <c r="E47" i="40" s="1"/>
  <c r="F47" i="40" a="1"/>
  <c r="F47" i="40" s="1"/>
  <c r="D31" i="40"/>
  <c r="C31" i="40" s="1"/>
  <c r="C34" i="40"/>
  <c r="C42" i="40" s="1"/>
  <c r="C9" i="40"/>
  <c r="C10" i="40" s="1"/>
  <c r="C8" i="40"/>
  <c r="C33" i="40"/>
  <c r="C47" i="40" l="1" a="1"/>
  <c r="C47" i="40" s="1"/>
  <c r="D11" i="68" l="1"/>
  <c r="D41" i="68" l="1"/>
  <c r="D20" i="68"/>
  <c r="D10" i="68"/>
  <c r="D19" i="68"/>
  <c r="D31" i="68" l="1"/>
  <c r="D32" i="68" s="1"/>
  <c r="D6" i="68"/>
  <c r="D7" i="68" s="1"/>
  <c r="D8" i="68" s="1"/>
  <c r="CW14" i="71" a="1"/>
  <c r="CW14" i="71" s="1"/>
  <c r="CQ5" i="71" a="1"/>
  <c r="CQ5" i="71" s="1"/>
  <c r="CT5" i="71" l="1" a="1"/>
  <c r="CT5" i="71" s="1"/>
  <c r="CR5" i="71" s="1" a="1"/>
  <c r="CR5" i="71" s="1"/>
  <c r="CS5" i="71" s="1"/>
  <c r="CZ14" i="71" a="1"/>
  <c r="CZ14" i="71" s="1"/>
  <c r="CX14" i="71" s="1" a="1"/>
  <c r="CX14" i="71" s="1"/>
  <c r="CY14" i="71" s="1"/>
  <c r="E41" i="68" l="1"/>
  <c r="E11" i="68"/>
  <c r="E19" i="68" l="1"/>
  <c r="E10" i="68"/>
  <c r="E20" i="68"/>
  <c r="F11" i="68" l="1"/>
  <c r="CW15" i="71" a="1"/>
  <c r="CW15" i="71" s="1"/>
  <c r="E6" i="68"/>
  <c r="E7" i="68" s="1"/>
  <c r="E8" i="68" s="1"/>
  <c r="E31" i="68"/>
  <c r="E32" i="68" s="1"/>
  <c r="F41" i="68" l="1"/>
  <c r="CZ15" i="71" a="1"/>
  <c r="CZ15" i="71" s="1"/>
  <c r="CX15" i="71" s="1" a="1"/>
  <c r="CX15" i="71" s="1"/>
  <c r="CY15" i="71" s="1"/>
  <c r="F20" i="68"/>
  <c r="F19" i="68"/>
  <c r="F10" i="68"/>
  <c r="CW16" i="71" l="1" a="1"/>
  <c r="CW16" i="71" s="1"/>
  <c r="F6" i="68"/>
  <c r="F7" i="68" s="1"/>
  <c r="F8" i="68" s="1"/>
  <c r="F31" i="68"/>
  <c r="F32" i="68" s="1"/>
  <c r="G11" i="68" l="1"/>
  <c r="G41" i="68"/>
  <c r="CZ16" i="71" a="1"/>
  <c r="CZ16" i="71" s="1"/>
  <c r="CX16" i="71" s="1" a="1"/>
  <c r="CX16" i="71" s="1"/>
  <c r="CY16" i="71" s="1"/>
  <c r="G10" i="68" l="1"/>
  <c r="G20" i="68"/>
  <c r="G19" i="68"/>
  <c r="G31" i="68" l="1"/>
  <c r="G32" i="68" s="1"/>
  <c r="G6" i="68"/>
  <c r="G7" i="68" s="1"/>
  <c r="G8" i="68" s="1"/>
  <c r="CW17" i="71" a="1"/>
  <c r="CW17" i="71" s="1"/>
  <c r="CZ17" i="71" l="1" a="1"/>
  <c r="CZ17" i="71" s="1"/>
  <c r="CX17" i="71" s="1" a="1"/>
  <c r="CX17" i="71" s="1"/>
  <c r="CY17" i="71" s="1"/>
  <c r="CY9" i="71" l="1" a="1"/>
  <c r="CY9" i="71" s="1"/>
  <c r="H41" i="68"/>
  <c r="H11" i="68"/>
  <c r="I41" i="68" l="1"/>
  <c r="I11" i="68"/>
  <c r="H19" i="68"/>
  <c r="H20" i="68"/>
  <c r="H10" i="68"/>
  <c r="DC9" i="71" a="1"/>
  <c r="DC9" i="71" s="1"/>
  <c r="DD9" i="71" a="1"/>
  <c r="DD9" i="71" s="1"/>
  <c r="CW18" i="71" l="1" a="1"/>
  <c r="CW18" i="71" s="1"/>
  <c r="I10" i="68"/>
  <c r="I20" i="68"/>
  <c r="I19" i="68"/>
  <c r="H6" i="68"/>
  <c r="H7" i="68" s="1"/>
  <c r="H8" i="68" s="1"/>
  <c r="H31" i="68"/>
  <c r="H32" i="68" s="1"/>
  <c r="I6" i="68" l="1"/>
  <c r="I7" i="68" s="1"/>
  <c r="I8" i="68" s="1"/>
  <c r="I31" i="68"/>
  <c r="I32" i="68" s="1"/>
  <c r="CZ18" i="71" a="1"/>
  <c r="CZ18" i="71" s="1"/>
  <c r="CX18" i="71" s="1" a="1"/>
  <c r="CX18" i="71" s="1"/>
  <c r="CY18" i="71" s="1"/>
  <c r="CW19" i="71" l="1" a="1"/>
  <c r="CW19" i="71" s="1"/>
  <c r="F13" i="32" a="1"/>
  <c r="F13" i="32" s="1"/>
  <c r="CZ19" i="71" l="1" a="1"/>
  <c r="CZ19" i="71" s="1"/>
  <c r="CX19" i="71" s="1" a="1"/>
  <c r="CX19" i="71" s="1"/>
  <c r="CY19" i="71" s="1"/>
  <c r="J11" i="68"/>
  <c r="J41" i="68"/>
  <c r="F12" i="32"/>
  <c r="F147" i="32" s="1"/>
  <c r="F148" i="32" s="1"/>
  <c r="J19" i="68" l="1"/>
  <c r="J20" i="68"/>
  <c r="J10" i="68"/>
  <c r="F20" i="32"/>
  <c r="F125" i="32" l="1"/>
  <c r="F164" i="32"/>
  <c r="F40" i="32"/>
  <c r="J6" i="68"/>
  <c r="J7" i="68" s="1"/>
  <c r="J8" i="68" s="1"/>
  <c r="J31" i="68"/>
  <c r="J32" i="68" s="1"/>
  <c r="F126" i="32" l="1"/>
  <c r="F136" i="32"/>
  <c r="F135" i="32"/>
  <c r="F165" i="32"/>
  <c r="F131" i="32"/>
  <c r="F130" i="32"/>
  <c r="F132" i="32"/>
  <c r="F48" i="32"/>
  <c r="CW20" i="71" a="1"/>
  <c r="CW20" i="71" s="1"/>
  <c r="CZ20" i="71" l="1" a="1"/>
  <c r="CZ20" i="71" s="1"/>
  <c r="CX20" i="71" s="1" a="1"/>
  <c r="CX20" i="71" s="1"/>
  <c r="F50" i="32"/>
  <c r="F166" i="32" l="1"/>
  <c r="F127" i="32"/>
  <c r="CY20" i="71"/>
  <c r="K11" i="68" l="1"/>
  <c r="K41" i="68"/>
  <c r="L41" i="68" l="1"/>
  <c r="L11" i="68"/>
  <c r="K19" i="68"/>
  <c r="K10" i="68"/>
  <c r="K20" i="68"/>
  <c r="K6" i="68" l="1"/>
  <c r="K7" i="68" s="1"/>
  <c r="K8" i="68" s="1"/>
  <c r="K31" i="68"/>
  <c r="K32" i="68" s="1"/>
  <c r="L10" i="68"/>
  <c r="L20" i="68"/>
  <c r="L19" i="68"/>
  <c r="L31" i="68" l="1"/>
  <c r="L32" i="68" s="1"/>
  <c r="L6" i="68"/>
  <c r="L7" i="68" s="1"/>
  <c r="L8" i="68" s="1"/>
  <c r="CW21" i="71" a="1"/>
  <c r="CW21" i="71" s="1"/>
  <c r="C78" i="40" a="1"/>
  <c r="C78" i="40" s="1"/>
  <c r="C79" i="40" s="1"/>
  <c r="M41" i="68" l="1"/>
  <c r="M11" i="68"/>
  <c r="CW22" i="71" a="1"/>
  <c r="CW22" i="71" s="1"/>
  <c r="CZ21" i="71" a="1"/>
  <c r="CZ21" i="71" s="1"/>
  <c r="CX21" i="71" s="1" a="1"/>
  <c r="CX21" i="71" s="1"/>
  <c r="CY21" i="71" l="1"/>
  <c r="CZ22" i="71" a="1"/>
  <c r="CZ22" i="71" s="1"/>
  <c r="CX22" i="71" s="1" a="1"/>
  <c r="CX22" i="71" s="1"/>
  <c r="CY22" i="71" s="1"/>
  <c r="M20" i="68"/>
  <c r="M10" i="68"/>
  <c r="M19" i="68"/>
  <c r="AU8" i="73" l="1"/>
  <c r="M31" i="68"/>
  <c r="M32" i="68" s="1"/>
  <c r="M6" i="68"/>
  <c r="M7" i="68" s="1"/>
  <c r="M8" i="68" s="1"/>
  <c r="BB8" i="73"/>
  <c r="AS5" i="73" l="1"/>
  <c r="AU5" i="73"/>
  <c r="AS6" i="73"/>
  <c r="AU6" i="73"/>
  <c r="CW23" i="71" a="1"/>
  <c r="CW23" i="71" s="1"/>
  <c r="BG8" i="73"/>
  <c r="AV10" i="73" l="1" a="1"/>
  <c r="AV10" i="73" s="1"/>
  <c r="AV9" i="73" a="1"/>
  <c r="AV9" i="73" s="1"/>
  <c r="AV8" i="73" a="1"/>
  <c r="AV8" i="73" s="1"/>
  <c r="BC8" i="73"/>
  <c r="AS3" i="73" l="1"/>
  <c r="N41" i="68"/>
  <c r="N11" i="68"/>
  <c r="N10" i="68" l="1"/>
  <c r="N20" i="68"/>
  <c r="N19" i="68"/>
  <c r="N31" i="68" l="1"/>
  <c r="N32" i="68" s="1"/>
  <c r="N6" i="68"/>
  <c r="N7" i="68" s="1"/>
  <c r="N8" i="68" s="1"/>
  <c r="BO22" i="34" l="1" a="1"/>
  <c r="BO22" i="34" s="1"/>
  <c r="CZ23" i="71" a="1"/>
  <c r="CZ23" i="71" s="1"/>
  <c r="CX23" i="71" s="1" a="1"/>
  <c r="CX23" i="71" s="1"/>
  <c r="CY23" i="71" s="1"/>
  <c r="P116" i="32"/>
  <c r="P115" i="32" s="1"/>
  <c r="E13" i="32" a="1"/>
  <c r="E13" i="32" s="1"/>
  <c r="CW35" i="71" a="1"/>
  <c r="CW35" i="71" s="1"/>
  <c r="CX48" i="71" s="1"/>
  <c r="CW24" i="71" a="1"/>
  <c r="CW24" i="71" s="1"/>
  <c r="BN22" i="34" l="1"/>
  <c r="P1" i="58"/>
  <c r="P170" i="32"/>
  <c r="P138" i="32"/>
  <c r="P158" i="32"/>
  <c r="P129" i="32"/>
  <c r="K87" i="32" a="1"/>
  <c r="K87" i="32" s="1"/>
  <c r="J87" i="32" a="1"/>
  <c r="J87" i="32" s="1"/>
  <c r="F116" i="32"/>
  <c r="K116" i="32"/>
  <c r="K115" i="32" s="1"/>
  <c r="E116" i="32"/>
  <c r="E86" i="32"/>
  <c r="E143" i="32" s="1"/>
  <c r="E144" i="32" s="1"/>
  <c r="F86" i="32"/>
  <c r="F143" i="32" s="1"/>
  <c r="F144" i="32" s="1"/>
  <c r="F149" i="32" s="1"/>
  <c r="CX40" i="71"/>
  <c r="CX44" i="71"/>
  <c r="CX38" i="71"/>
  <c r="CX37" i="71"/>
  <c r="CX36" i="71"/>
  <c r="CY35" i="71" a="1"/>
  <c r="CY35" i="71" s="1"/>
  <c r="DA35" i="71" s="1"/>
  <c r="CY55" i="71" s="1" a="1"/>
  <c r="CY55" i="71" s="1"/>
  <c r="CZ55" i="71" s="1" a="1"/>
  <c r="CZ55" i="71" s="1"/>
  <c r="CX42" i="71"/>
  <c r="CX47" i="71"/>
  <c r="CW55" i="71" a="1"/>
  <c r="CW55" i="71" s="1"/>
  <c r="CX50" i="71"/>
  <c r="CW28" i="71"/>
  <c r="CX28" i="71" s="1"/>
  <c r="CX46" i="71"/>
  <c r="CW54" i="71" a="1"/>
  <c r="CW54" i="71" s="1"/>
  <c r="CX43" i="71"/>
  <c r="CX34" i="71"/>
  <c r="CX35" i="71"/>
  <c r="CX41" i="71"/>
  <c r="CX45" i="71"/>
  <c r="CW53" i="71" a="1"/>
  <c r="CW53" i="71" s="1"/>
  <c r="CX39" i="71"/>
  <c r="CX49" i="71"/>
  <c r="C11" i="68"/>
  <c r="O11" i="68"/>
  <c r="O41" i="68"/>
  <c r="E12" i="32"/>
  <c r="E147" i="32" s="1"/>
  <c r="E148" i="32" s="1"/>
  <c r="CZ24" i="71" a="1"/>
  <c r="CZ24" i="71" s="1"/>
  <c r="CX24" i="71" s="1" a="1"/>
  <c r="CX24" i="71" s="1"/>
  <c r="S48" i="68" l="1"/>
  <c r="C48" i="68"/>
  <c r="S32" i="68"/>
  <c r="E149" i="32"/>
  <c r="J86" i="32"/>
  <c r="J143" i="32" s="1"/>
  <c r="J144" i="32" s="1"/>
  <c r="J149" i="32" s="1"/>
  <c r="J139" i="32"/>
  <c r="J141" i="32"/>
  <c r="J130" i="32"/>
  <c r="J132" i="32"/>
  <c r="K86" i="32"/>
  <c r="K77" i="32" s="1"/>
  <c r="K141" i="32"/>
  <c r="K139" i="32"/>
  <c r="K132" i="32"/>
  <c r="K130" i="32"/>
  <c r="K170" i="32"/>
  <c r="V53" i="68" s="1"/>
  <c r="K138" i="32"/>
  <c r="K158" i="32"/>
  <c r="K129" i="32"/>
  <c r="F77" i="32"/>
  <c r="E77" i="32"/>
  <c r="E115" i="32"/>
  <c r="F115" i="32"/>
  <c r="CZ40" i="71"/>
  <c r="CZ41" i="71"/>
  <c r="CY53" i="71" a="1"/>
  <c r="CY53" i="71" s="1"/>
  <c r="CZ53" i="71" s="1" a="1"/>
  <c r="CZ53" i="71" s="1"/>
  <c r="CY54" i="71" a="1"/>
  <c r="CY54" i="71" s="1"/>
  <c r="CZ54" i="71" s="1" a="1"/>
  <c r="CZ54" i="71" s="1"/>
  <c r="CZ34" i="71"/>
  <c r="CZ44" i="71"/>
  <c r="CZ35" i="71"/>
  <c r="CZ36" i="71"/>
  <c r="CZ39" i="71"/>
  <c r="CX53" i="71" a="1"/>
  <c r="CX53" i="71" s="1"/>
  <c r="CZ50" i="71"/>
  <c r="CZ49" i="71"/>
  <c r="CX32" i="71"/>
  <c r="CZ38" i="71"/>
  <c r="CZ45" i="71"/>
  <c r="CX54" i="71" a="1"/>
  <c r="CX54" i="71" s="1"/>
  <c r="CZ43" i="71"/>
  <c r="CX55" i="71" a="1"/>
  <c r="CX55" i="71" s="1"/>
  <c r="CZ48" i="71"/>
  <c r="CZ37" i="71"/>
  <c r="CZ47" i="71"/>
  <c r="CZ42" i="71"/>
  <c r="CZ46" i="71"/>
  <c r="E20" i="32"/>
  <c r="O20" i="68"/>
  <c r="O10" i="68"/>
  <c r="O19" i="68"/>
  <c r="DE8" i="71" a="1"/>
  <c r="DE8" i="71" s="1"/>
  <c r="DF8" i="71" s="1" a="1"/>
  <c r="DF8" i="71" s="1"/>
  <c r="C10" i="68"/>
  <c r="C20" i="68"/>
  <c r="C19" i="68"/>
  <c r="CY24" i="71"/>
  <c r="J77" i="32" l="1"/>
  <c r="J152" i="32" s="1"/>
  <c r="K143" i="32"/>
  <c r="K144" i="32" s="1"/>
  <c r="K149" i="32" s="1"/>
  <c r="F158" i="32"/>
  <c r="F170" i="32"/>
  <c r="F138" i="32"/>
  <c r="F129" i="32"/>
  <c r="E170" i="32"/>
  <c r="E138" i="32"/>
  <c r="E158" i="32"/>
  <c r="E169" i="32"/>
  <c r="E156" i="32"/>
  <c r="E153" i="32"/>
  <c r="E137" i="32"/>
  <c r="E152" i="32"/>
  <c r="E157" i="32"/>
  <c r="E125" i="32"/>
  <c r="E164" i="32"/>
  <c r="F153" i="32"/>
  <c r="F152" i="32"/>
  <c r="F157" i="32"/>
  <c r="F169" i="32"/>
  <c r="F156" i="32"/>
  <c r="F137" i="32"/>
  <c r="F128" i="32"/>
  <c r="K169" i="32"/>
  <c r="K153" i="32"/>
  <c r="K152" i="32"/>
  <c r="K137" i="32"/>
  <c r="K157" i="32"/>
  <c r="K156" i="32"/>
  <c r="K128" i="32"/>
  <c r="E2" i="32"/>
  <c r="F2" i="32"/>
  <c r="CZ32" i="71"/>
  <c r="O31" i="68"/>
  <c r="O32" i="68" s="1"/>
  <c r="O6" i="68"/>
  <c r="O7" i="68" s="1"/>
  <c r="O8" i="68" s="1"/>
  <c r="E40" i="32"/>
  <c r="C6" i="68"/>
  <c r="C31" i="68"/>
  <c r="C32" i="68" s="1"/>
  <c r="C7" i="68"/>
  <c r="C8" i="68" s="1"/>
  <c r="J156" i="32" l="1"/>
  <c r="J137" i="32"/>
  <c r="J157" i="32"/>
  <c r="J128" i="32"/>
  <c r="J153" i="32"/>
  <c r="J169" i="32"/>
  <c r="E126" i="32"/>
  <c r="E136" i="32"/>
  <c r="E132" i="32"/>
  <c r="E165" i="32"/>
  <c r="E135" i="32"/>
  <c r="E131" i="32"/>
  <c r="E130" i="32"/>
  <c r="CW6" i="71" a="1"/>
  <c r="CW6" i="71" s="1"/>
  <c r="CY5" i="71" s="1"/>
  <c r="CW25" i="71" a="1"/>
  <c r="CW25" i="71" s="1"/>
  <c r="CW8" i="71" a="1"/>
  <c r="CW8" i="71" s="1"/>
  <c r="E48" i="32"/>
  <c r="DA8" i="71" l="1" a="1"/>
  <c r="DA8" i="71" s="1"/>
  <c r="CY8" i="71" a="1"/>
  <c r="CY8" i="71" s="1"/>
  <c r="CZ8" i="71" a="1"/>
  <c r="CZ8" i="71" s="1"/>
  <c r="DB8" i="71" s="1"/>
  <c r="CX8" i="71"/>
  <c r="CZ25" i="71" a="1"/>
  <c r="CZ25" i="71" s="1"/>
  <c r="CX25" i="71" s="1" a="1"/>
  <c r="CX25" i="71" s="1"/>
  <c r="E50" i="32"/>
  <c r="E127" i="32" l="1"/>
  <c r="E166" i="32"/>
  <c r="E129" i="32"/>
  <c r="E128" i="32"/>
  <c r="CX12" i="71"/>
  <c r="CY25" i="71"/>
  <c r="CX11" i="71"/>
  <c r="DC8" i="71" a="1"/>
  <c r="DC8" i="71" s="1"/>
  <c r="DD8" i="71" a="1"/>
  <c r="DD8" i="71" s="1"/>
  <c r="I3" i="29" l="1"/>
  <c r="U3" i="29" s="1"/>
  <c r="AM22" i="59" l="1"/>
  <c r="AM20" i="59" s="1"/>
  <c r="K19" i="37" l="1"/>
  <c r="K18" i="37"/>
  <c r="K20" i="37"/>
  <c r="K21" i="37" s="1"/>
  <c r="K17"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5BFF10-C4EA-440F-B71B-22327E4C7FB6}" name="WorksheetConnection_Dashboard.xlsx!Ref_Dates" type="102" refreshedVersion="8" minRefreshableVersion="5">
    <extLst>
      <ext xmlns:x15="http://schemas.microsoft.com/office/spreadsheetml/2010/11/main" uri="{DE250136-89BD-433C-8126-D09CA5730AF9}">
        <x15:connection id="Ref_Dates">
          <x15:rangePr sourceName="_xlcn.WorksheetConnection_Dashboard.xlsxRef_Dates"/>
        </x15:connection>
      </ext>
    </extLst>
  </connection>
  <connection id="3" xr16:uid="{7048F2A2-F120-4CA1-B6D1-46F79E022B62}" name="WorksheetConnection_Dashboard.xlsx!Ref_Periods" type="102" refreshedVersion="8" minRefreshableVersion="5">
    <extLst>
      <ext xmlns:x15="http://schemas.microsoft.com/office/spreadsheetml/2010/11/main" uri="{DE250136-89BD-433C-8126-D09CA5730AF9}">
        <x15:connection id="Ref_Periods">
          <x15:rangePr sourceName="_xlcn.WorksheetConnection_Dashboard.xlsxRef_Periods"/>
        </x15:connection>
      </ext>
    </extLst>
  </connection>
  <connection id="4" xr16:uid="{B39D36C0-3F54-42AC-B575-0AA584B06E61}" name="WorksheetConnection_Dashboard.xlsx!Table_ChuongTrinh" type="102" refreshedVersion="8" minRefreshableVersion="5">
    <extLst>
      <ext xmlns:x15="http://schemas.microsoft.com/office/spreadsheetml/2010/11/main" uri="{DE250136-89BD-433C-8126-D09CA5730AF9}">
        <x15:connection id="Table_ChuongTrinh">
          <x15:rangePr sourceName="_xlcn.WorksheetConnection_Dashboard.xlsxTable_ChuongTrinh"/>
        </x15:connection>
      </ext>
    </extLst>
  </connection>
  <connection id="5"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 id="6" xr16:uid="{378B2894-B558-4FCF-9585-1F5F46C5F7C3}" name="WorksheetConnection_Dashboard.xlsx!Table_DonBan" type="102" refreshedVersion="8" minRefreshableVersion="5">
    <extLst>
      <ext xmlns:x15="http://schemas.microsoft.com/office/spreadsheetml/2010/11/main" uri="{DE250136-89BD-433C-8126-D09CA5730AF9}">
        <x15:connection id="Table_DonBan">
          <x15:rangePr sourceName="_xlcn.WorksheetConnection_Dashboard.xlsxTable_DonBan"/>
        </x15:connection>
      </ext>
    </extLst>
  </connection>
  <connection id="7" xr16:uid="{F43FE6C8-D4C0-4384-84A2-2FD978B38911}" name="WorksheetConnection_Dashboard.xlsx!Table_Kenh" type="102" refreshedVersion="7" minRefreshableVersion="5">
    <extLst>
      <ext xmlns:x15="http://schemas.microsoft.com/office/spreadsheetml/2010/11/main" uri="{DE250136-89BD-433C-8126-D09CA5730AF9}">
        <x15:connection id="Table_Kenh">
          <x15:rangePr sourceName="_xlcn.WorksheetConnection_Dashboard.xlsxTable_Kenh"/>
        </x15:connection>
      </ext>
    </extLst>
  </connection>
  <connection id="8" xr16:uid="{83686662-CE34-4810-8342-341B830C552D}" name="WorksheetConnection_Dashboard.xlsx!Table_KhachHang" type="102" refreshedVersion="7" minRefreshableVersion="5">
    <extLst>
      <ext xmlns:x15="http://schemas.microsoft.com/office/spreadsheetml/2010/11/main" uri="{DE250136-89BD-433C-8126-D09CA5730AF9}">
        <x15:connection id="Table_KhachHang">
          <x15:rangePr sourceName="_xlcn.WorksheetConnection_Dashboard.xlsxTable_KhachHang"/>
        </x15:connection>
      </ext>
    </extLst>
  </connection>
  <connection id="9" xr16:uid="{BE04EAC1-589E-46B9-B5C9-F58F53119525}" name="WorksheetConnection_Dashboard.xlsx!Table_KPI" type="102" refreshedVersion="7" minRefreshableVersion="5">
    <extLst>
      <ext xmlns:x15="http://schemas.microsoft.com/office/spreadsheetml/2010/11/main" uri="{DE250136-89BD-433C-8126-D09CA5730AF9}">
        <x15:connection id="Table_KPI">
          <x15:rangePr sourceName="_xlcn.WorksheetConnection_Dashboard.xlsxTable_KPI"/>
        </x15:connection>
      </ext>
    </extLst>
  </connection>
  <connection id="10" xr16:uid="{2F61F466-A62F-44E0-9F5B-E80962210233}" name="WorksheetConnection_Dashboard.xlsx!Table_Main" type="102" refreshedVersion="8" minRefreshableVersion="5">
    <extLst>
      <ext xmlns:x15="http://schemas.microsoft.com/office/spreadsheetml/2010/11/main" uri="{DE250136-89BD-433C-8126-D09CA5730AF9}">
        <x15:connection id="Table_Main">
          <x15:rangePr sourceName="_xlcn.WorksheetConnection_Dashboard.xlsxTable_Main"/>
        </x15:connection>
      </ext>
    </extLst>
  </connection>
  <connection id="11" xr16:uid="{D66C0B12-2084-407E-88C1-8923A16B5C73}" name="WorksheetConnection_Dashboard.xlsx!Table_NhanVien" type="102" refreshedVersion="7" minRefreshableVersion="5">
    <extLst>
      <ext xmlns:x15="http://schemas.microsoft.com/office/spreadsheetml/2010/11/main" uri="{DE250136-89BD-433C-8126-D09CA5730AF9}">
        <x15:connection id="Table_NhanVien">
          <x15:rangePr sourceName="_xlcn.WorksheetConnection_Dashboard.xlsxTable_NhanVien"/>
        </x15:connection>
      </ext>
    </extLst>
  </connection>
  <connection id="12" xr16:uid="{1302FD37-C10E-4E8C-8198-43BA4A7140ED}" name="WorksheetConnection_Dashboard.xlsx!Table_SKU" type="102" refreshedVersion="7" minRefreshableVersion="5">
    <extLst>
      <ext xmlns:x15="http://schemas.microsoft.com/office/spreadsheetml/2010/11/main" uri="{DE250136-89BD-433C-8126-D09CA5730AF9}">
        <x15:connection id="Table_SKU">
          <x15:rangePr sourceName="_xlcn.WorksheetConnection_Dashboard.xlsxTable_SKU"/>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<sst xmlns="http://schemas.openxmlformats.org/spreadsheetml/2006/main" count="5563" uniqueCount="1260">
  <si>
    <t>Ngày</t>
  </si>
  <si>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</si>
  <si>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</si>
  <si>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</si>
  <si>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</si>
  <si>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</si>
  <si>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</si>
  <si>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</si>
  <si>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</si>
  <si>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</si>
  <si>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</si>
  <si>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</si>
  <si>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</si>
  <si>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</si>
  <si>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</si>
  <si>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</si>
  <si>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Nội dung</t>
  </si>
  <si>
    <t>Tồn kho</t>
  </si>
  <si>
    <t>Phải thu</t>
  </si>
  <si>
    <t>a</t>
  </si>
  <si>
    <t>b</t>
  </si>
  <si>
    <t>Giá trị</t>
  </si>
  <si>
    <t>Format</t>
  </si>
  <si>
    <t>Row Labels</t>
  </si>
  <si>
    <t>Mã KH</t>
  </si>
  <si>
    <t>Phân khúc</t>
  </si>
  <si>
    <t>Tỉnh</t>
  </si>
  <si>
    <t>Mã Đơn bán</t>
  </si>
  <si>
    <t>STT đơn của khách</t>
  </si>
  <si>
    <t>Nhóm 1</t>
  </si>
  <si>
    <t>Số lượng</t>
  </si>
  <si>
    <t>Mã SKU</t>
  </si>
  <si>
    <t>Loại</t>
  </si>
  <si>
    <t>Doanh thu</t>
  </si>
  <si>
    <t>Mã Kênh</t>
  </si>
  <si>
    <t>Mã NV</t>
  </si>
  <si>
    <t>Sum of Giá trị bán trước VAT</t>
  </si>
  <si>
    <t>Nhân viên</t>
  </si>
  <si>
    <t>Kênh</t>
  </si>
  <si>
    <t>Sum of Doanh thu KPI</t>
  </si>
  <si>
    <t>Sum of Doanh thu thực tế</t>
  </si>
  <si>
    <t>Sum of Tỷ lệ KPI</t>
  </si>
  <si>
    <t>Khách</t>
  </si>
  <si>
    <t>TT Khách</t>
  </si>
  <si>
    <t>Ctr Đơn</t>
  </si>
  <si>
    <t>CK Đơn</t>
  </si>
  <si>
    <t>Phân Nhóm</t>
  </si>
  <si>
    <t>SKU</t>
  </si>
  <si>
    <t>Ctr SKU</t>
  </si>
  <si>
    <t>CK SKU</t>
  </si>
  <si>
    <t>Dthu SKU</t>
  </si>
  <si>
    <t>#,##,,,.0"tỷ"</t>
  </si>
  <si>
    <t>TP-Aa1-1</t>
  </si>
  <si>
    <t>Xuất</t>
  </si>
  <si>
    <t>NV02</t>
  </si>
  <si>
    <t>(blank)</t>
  </si>
  <si>
    <t>SP</t>
  </si>
  <si>
    <t>#,##,,.0"tr"</t>
  </si>
  <si>
    <t>Nhóm 2</t>
  </si>
  <si>
    <t>TP-Bb2-2</t>
  </si>
  <si>
    <t>TT</t>
  </si>
  <si>
    <t>#,##,.0"k"</t>
  </si>
  <si>
    <t>Nhóm 3</t>
  </si>
  <si>
    <t>TP-Cc3-3</t>
  </si>
  <si>
    <t>#,##</t>
  </si>
  <si>
    <t>NV03</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</si>
  <si>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</si>
  <si>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</si>
  <si>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</si>
  <si>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</si>
  <si>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</si>
  <si>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</si>
  <si>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</si>
  <si>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</si>
  <si>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</si>
  <si>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</si>
  <si>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</si>
  <si>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</si>
  <si>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</si>
  <si>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</si>
  <si>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</si>
  <si>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</si>
  <si>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</si>
  <si>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</si>
  <si>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</si>
  <si>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</si>
  <si>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</si>
  <si>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</si>
  <si>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</si>
  <si>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</si>
  <si>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</si>
  <si>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</si>
  <si>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</si>
  <si>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</si>
  <si>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</si>
  <si>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</si>
  <si>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</si>
  <si>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</si>
  <si>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</si>
  <si>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</si>
  <si>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</si>
  <si>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</si>
  <si>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</si>
  <si>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</si>
  <si>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</si>
  <si>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</si>
  <si>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</si>
  <si>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</si>
  <si>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</si>
  <si>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</si>
  <si>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</si>
  <si>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</si>
  <si>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</si>
  <si>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</si>
  <si>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</si>
  <si>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</si>
  <si>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</si>
  <si>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</si>
  <si>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</si>
  <si>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</si>
  <si>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</si>
  <si>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</si>
  <si>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</si>
  <si>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</si>
  <si>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</si>
  <si>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</si>
  <si>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</si>
  <si>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</si>
  <si>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</si>
  <si>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</si>
  <si>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</si>
  <si>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</si>
  <si>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</si>
  <si>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</si>
  <si>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</si>
  <si>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</si>
  <si>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</si>
  <si>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</si>
  <si>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</si>
  <si>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</si>
  <si>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</si>
  <si>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</si>
  <si>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</si>
  <si>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</si>
  <si>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</si>
  <si>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</si>
  <si>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</si>
  <si>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</si>
  <si>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</si>
  <si>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</si>
  <si>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</si>
  <si>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</si>
  <si>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</si>
  <si>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</si>
  <si>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</si>
  <si>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</si>
  <si>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</si>
  <si>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</si>
  <si>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Tên</t>
  </si>
  <si>
    <t>Nhóm</t>
  </si>
  <si>
    <t>Rank Doanh thu</t>
  </si>
  <si>
    <t>Nhóm rank</t>
  </si>
  <si>
    <t>Doanh thu ngày</t>
  </si>
  <si>
    <t>Rank Doanh thu bq</t>
  </si>
  <si>
    <t>Bình quân ngày mua</t>
  </si>
  <si>
    <t>Rank tần suất</t>
  </si>
  <si>
    <t>Từ lần mua cuối</t>
  </si>
  <si>
    <t>Tình trạng</t>
  </si>
  <si>
    <t>Mức độ trễ</t>
  </si>
  <si>
    <t>Dư nợ</t>
  </si>
  <si>
    <t>Tình trạng nợ</t>
  </si>
  <si>
    <t>Tỷ trọng nợ</t>
  </si>
  <si>
    <t>Số khách</t>
  </si>
  <si>
    <t>Khách hàng</t>
  </si>
  <si>
    <t>Doanh thu / ngày</t>
  </si>
  <si>
    <t>Số ngày chưa mua</t>
  </si>
  <si>
    <t>Nhóm khách</t>
  </si>
  <si>
    <t>Vượt TB</t>
  </si>
  <si>
    <t>Giá trị tổng</t>
  </si>
  <si>
    <t>Tỷ trọng</t>
  </si>
  <si>
    <t>Số khách mới</t>
  </si>
  <si>
    <t>Doanh thu / khách</t>
  </si>
  <si>
    <t>Tần suất / khách</t>
  </si>
  <si>
    <t>Giá trị mới</t>
  </si>
  <si>
    <t>Tỉnh thành</t>
  </si>
  <si>
    <t>Ngày mua đầu</t>
  </si>
  <si>
    <t>Tổng khách</t>
  </si>
  <si>
    <t>Khách mới</t>
  </si>
  <si>
    <t>Số đơn mua</t>
  </si>
  <si>
    <t>Tổng doanh thu</t>
  </si>
  <si>
    <t>Từ ngày đầu</t>
  </si>
  <si>
    <t>Ngày mua cuối</t>
  </si>
  <si>
    <t>Từ ngày cuối</t>
  </si>
  <si>
    <t>Tổng đơn mua</t>
  </si>
  <si>
    <t>Khách năm trước</t>
  </si>
  <si>
    <t>Đơn năm trước</t>
  </si>
  <si>
    <t>Tỷ lệ vượt trung bình</t>
  </si>
  <si>
    <t>Thị trường</t>
  </si>
  <si>
    <t>Nhóm sản phẩm</t>
  </si>
  <si>
    <t>Sản lượng trong kỳ</t>
  </si>
  <si>
    <t>Sản lượng của khách</t>
  </si>
  <si>
    <t>Sản lượng bình quân</t>
  </si>
  <si>
    <t>Số ngày bán</t>
  </si>
  <si>
    <t>Số lượng bq ngày</t>
  </si>
  <si>
    <t>Doanh thu bq ngày</t>
  </si>
  <si>
    <t>Bình quân ngày</t>
  </si>
  <si>
    <t>Ngày bán đầu</t>
  </si>
  <si>
    <t>Ngày cuối</t>
  </si>
  <si>
    <t>Lượng năm trước</t>
  </si>
  <si>
    <t>Doanh thu trước</t>
  </si>
  <si>
    <t>Lượng / ngày</t>
  </si>
  <si>
    <t>Kênh phân phối</t>
  </si>
  <si>
    <t>Mã kênh</t>
  </si>
  <si>
    <t>Tỷ lệ chi phí</t>
  </si>
  <si>
    <t>Doanh thu / tỷ lệ</t>
  </si>
  <si>
    <t>KPI</t>
  </si>
  <si>
    <t>Tỷ lệ KPI</t>
  </si>
  <si>
    <t>Đạt KPI</t>
  </si>
  <si>
    <t>Tỷ lệ Kênh</t>
  </si>
  <si>
    <t>Tỷ lệ NV</t>
  </si>
  <si>
    <t>Phân nhóm</t>
  </si>
  <si>
    <t>Chi phí Kênh</t>
  </si>
  <si>
    <t>Doanh thu kênh</t>
  </si>
  <si>
    <t>Hiệu quả trên tỷ lệ</t>
  </si>
  <si>
    <t>Chi phí Hoa hồng</t>
  </si>
  <si>
    <t>Doanh thu nhân sự</t>
  </si>
  <si>
    <t>Doanh thu / tỷ lệ phí</t>
  </si>
  <si>
    <t>Chi phí NV</t>
  </si>
  <si>
    <t>Dthu Kênh</t>
  </si>
  <si>
    <t>KPI Kênh</t>
  </si>
  <si>
    <t>Tỷ lệ KPI kênh</t>
  </si>
  <si>
    <t>Dthu NV</t>
  </si>
  <si>
    <t>KPI NV</t>
  </si>
  <si>
    <t>Tỷ lệ KPI NV</t>
  </si>
  <si>
    <t>Đạt KPI Kênh</t>
  </si>
  <si>
    <t>Đạt KPI NV</t>
  </si>
  <si>
    <t>Đơn</t>
  </si>
  <si>
    <t>Chương trình</t>
  </si>
  <si>
    <t>Dthu</t>
  </si>
  <si>
    <t>Tăng DT</t>
  </si>
  <si>
    <t>HQ Dthu</t>
  </si>
  <si>
    <t>HQ khách mới</t>
  </si>
  <si>
    <t>Tăng TS Đơn</t>
  </si>
  <si>
    <t>HQ Đơn</t>
  </si>
  <si>
    <t>Tăng TS SKU</t>
  </si>
  <si>
    <t>HQ SKU</t>
  </si>
  <si>
    <t>Dthu tổng</t>
  </si>
  <si>
    <t>Dthu CT</t>
  </si>
  <si>
    <t>Ctrinh</t>
  </si>
  <si>
    <t>Số đơn</t>
  </si>
  <si>
    <t>Số lượng SKU</t>
  </si>
  <si>
    <t>Bắt đầu</t>
  </si>
  <si>
    <t>Kết thúc</t>
  </si>
  <si>
    <t>Thời lượng</t>
  </si>
  <si>
    <t>Tần suất đơn</t>
  </si>
  <si>
    <t>Tần suất SKU</t>
  </si>
  <si>
    <t>Dthu ngày</t>
  </si>
  <si>
    <t>Giá trị KM</t>
  </si>
  <si>
    <t>Tổng chi phí</t>
  </si>
  <si>
    <t>Hiệu quả cp</t>
  </si>
  <si>
    <t>Tăng dthu</t>
  </si>
  <si>
    <t>Hiệu quả tăng DT</t>
  </si>
  <si>
    <t>Tăng TS đơn</t>
  </si>
  <si>
    <t>Hiệu quả cphi</t>
  </si>
  <si>
    <t>Tham chiếu từ</t>
  </si>
  <si>
    <t>Năm kế hoạch</t>
  </si>
  <si>
    <t>đến</t>
  </si>
  <si>
    <t>Tài khoản</t>
  </si>
  <si>
    <t>Tham chiếu</t>
  </si>
  <si>
    <t>Tháng 1</t>
  </si>
  <si>
    <t>Tháng 2</t>
  </si>
  <si>
    <t>Tháng 3</t>
  </si>
  <si>
    <t>Tháng 4</t>
  </si>
  <si>
    <t>Tháng 5</t>
  </si>
  <si>
    <t>Tháng 6</t>
  </si>
  <si>
    <t>Tháng 7</t>
  </si>
  <si>
    <t>Tháng 8</t>
  </si>
  <si>
    <t>Tháng 9</t>
  </si>
  <si>
    <t>Tháng 10</t>
  </si>
  <si>
    <t>Tháng 11</t>
  </si>
  <si>
    <t>Tháng 12</t>
  </si>
  <si>
    <t>Thêm</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</si>
  <si>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</si>
  <si>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</si>
  <si>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</si>
  <si>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</si>
  <si>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</si>
  <si>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</si>
  <si>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</si>
  <si>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</si>
  <si>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</si>
  <si>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</si>
  <si>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</si>
  <si>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</si>
  <si>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</si>
  <si>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</si>
  <si>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</si>
  <si>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</si>
  <si>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</si>
  <si>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</si>
  <si>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</si>
  <si>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</si>
  <si>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</si>
  <si>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</si>
  <si>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</si>
  <si>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</si>
  <si>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</si>
  <si>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</si>
  <si>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</si>
  <si>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</si>
  <si>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</si>
  <si>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</si>
  <si>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</si>
  <si>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</si>
  <si>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</si>
  <si>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</si>
  <si>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</si>
  <si>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</si>
  <si>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</si>
  <si>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</si>
  <si>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</si>
  <si>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Tăng trưởng sản lượng</t>
  </si>
  <si>
    <t>Đơn vị</t>
  </si>
  <si>
    <t>Tăng trưởng năm</t>
  </si>
  <si>
    <t>Kế hoạch sản lượng</t>
  </si>
  <si>
    <t>Kế hoạch giá niêm yết thành phẩm</t>
  </si>
  <si>
    <t>Kế hoạch doanh thu</t>
  </si>
  <si>
    <t>Kế hoạch chiết khấu thương mại</t>
  </si>
  <si>
    <t>Tỷ lệ chiết khấu / doanh thu</t>
  </si>
  <si>
    <t>VND</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</si>
  <si>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</si>
  <si>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</si>
  <si>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</si>
  <si>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</si>
  <si>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</si>
  <si>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</si>
  <si>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</si>
  <si>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</si>
  <si>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</si>
  <si>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</si>
  <si>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</si>
  <si>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</si>
  <si>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</si>
  <si>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</si>
  <si>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</si>
  <si>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</si>
  <si>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</si>
  <si>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</si>
  <si>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</si>
  <si>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</si>
  <si>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</si>
  <si>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</si>
  <si>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</si>
  <si>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Năm / Đầu năm</t>
  </si>
  <si>
    <t>GIÁ TRỊ THỰC TẾ</t>
  </si>
  <si>
    <t>Chi phí Vận hành Kênh phân phối</t>
  </si>
  <si>
    <t>Kỳ Báo cáo (Tháng - Năm)</t>
  </si>
  <si>
    <t>Code</t>
  </si>
  <si>
    <t>Đầu kỳ</t>
  </si>
  <si>
    <t>Năm / Đầu kỳ</t>
  </si>
  <si>
    <t>Tháng / Cuối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</si>
  <si>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</si>
  <si>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</si>
  <si>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</si>
  <si>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</si>
  <si>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</si>
  <si>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</si>
  <si>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</si>
  <si>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</si>
  <si>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</si>
  <si>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</si>
  <si>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</si>
  <si>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</si>
  <si>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</si>
  <si>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</si>
  <si>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</si>
  <si>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</si>
  <si>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</si>
  <si>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</si>
  <si>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</si>
  <si>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</si>
  <si>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</si>
  <si>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</si>
  <si>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</si>
  <si>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</si>
  <si>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</si>
  <si>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</si>
  <si>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</si>
  <si>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</si>
  <si>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</si>
  <si>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</si>
  <si>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</si>
  <si>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</si>
  <si>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</si>
  <si>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</si>
  <si>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</si>
  <si>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</si>
  <si>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</si>
  <si>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</si>
  <si>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</si>
  <si>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</si>
  <si>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</si>
  <si>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</si>
  <si>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</si>
  <si>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</si>
  <si>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</si>
  <si>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</si>
  <si>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</si>
  <si>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</si>
  <si>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</si>
  <si>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</si>
  <si>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</si>
  <si>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</si>
  <si>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</si>
  <si>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</si>
  <si>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</si>
  <si>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</si>
  <si>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</si>
  <si>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</si>
  <si>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</si>
  <si>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</si>
  <si>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</si>
  <si>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</si>
  <si>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</si>
  <si>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</si>
  <si>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</si>
  <si>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</si>
  <si>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</si>
  <si>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</si>
  <si>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</si>
  <si>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</si>
  <si>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</si>
  <si>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</si>
  <si>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</si>
  <si>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</si>
  <si>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</si>
  <si>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</si>
  <si>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</si>
  <si>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</si>
  <si>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</si>
  <si>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</si>
  <si>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</si>
  <si>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</si>
  <si>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</si>
  <si>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</si>
  <si>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</si>
  <si>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</si>
  <si>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</si>
  <si>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</si>
  <si>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</si>
  <si>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</si>
  <si>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</si>
  <si>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</si>
  <si>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</si>
  <si>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</si>
  <si>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</si>
  <si>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</si>
  <si>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</si>
  <si>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</si>
  <si>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</si>
  <si>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</si>
  <si>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</si>
  <si>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</si>
  <si>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</si>
  <si>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</si>
  <si>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</si>
  <si>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</si>
  <si>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</si>
  <si>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</si>
  <si>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</si>
  <si>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</si>
  <si>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</si>
  <si>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</si>
  <si>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</si>
  <si>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</si>
  <si>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</si>
  <si>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</si>
  <si>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</si>
  <si>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</si>
  <si>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</si>
  <si>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</si>
  <si>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</si>
  <si>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</si>
  <si>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</si>
  <si>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</si>
  <si>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</si>
  <si>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</si>
  <si>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</si>
  <si>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</si>
  <si>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</si>
  <si>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</si>
  <si>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</si>
  <si>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</si>
  <si>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</si>
  <si>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</si>
  <si>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</si>
  <si>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</si>
  <si>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</si>
  <si>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</si>
  <si>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</si>
  <si>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</si>
  <si>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</si>
  <si>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</si>
  <si>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</si>
  <si>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</si>
  <si>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</si>
  <si>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</si>
  <si>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</si>
  <si>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</si>
  <si>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</si>
  <si>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</si>
  <si>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</si>
  <si>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</si>
  <si>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</si>
  <si>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</si>
  <si>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</si>
  <si>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</si>
  <si>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</si>
  <si>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</si>
  <si>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</si>
  <si>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</si>
  <si>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</si>
  <si>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</si>
  <si>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</si>
  <si>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</si>
  <si>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</si>
  <si>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</si>
  <si>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</si>
  <si>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</si>
  <si>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</si>
  <si>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</si>
  <si>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Đối tượng áp dụng</t>
  </si>
  <si>
    <t>Loại KPI</t>
  </si>
  <si>
    <t>Tỷ lệ KPI min</t>
  </si>
  <si>
    <t>Tỷ lệ KPI max</t>
  </si>
  <si>
    <t>Mức thưởng</t>
  </si>
  <si>
    <t>Doanh thu KPI</t>
  </si>
  <si>
    <t>Doanh thu thực tế</t>
  </si>
  <si>
    <t>Ngày theo dõi</t>
  </si>
  <si>
    <t>Ngày lập phiếu</t>
  </si>
  <si>
    <t>Tên Khách hàng</t>
  </si>
  <si>
    <t>Mã số thuế</t>
  </si>
  <si>
    <t>Số điện thoại</t>
  </si>
  <si>
    <t>Đơn hàng</t>
  </si>
  <si>
    <t>Ghi chú:</t>
  </si>
  <si>
    <t>Tuổi nợ min</t>
  </si>
  <si>
    <t>Tuổi nợ max</t>
  </si>
  <si>
    <t>Tỷ lệ dự phòng</t>
  </si>
  <si>
    <t>Ngày lên đơn</t>
  </si>
  <si>
    <t>Tuổi nợ</t>
  </si>
  <si>
    <t>Ngày thanh toán</t>
  </si>
  <si>
    <t>Mã đối tác</t>
  </si>
  <si>
    <t>Dự phòng lũy kế</t>
  </si>
  <si>
    <t>Tổng phải thu</t>
  </si>
  <si>
    <t>Trong đó: Dài hạn</t>
  </si>
  <si>
    <t>Tổng ứng trước</t>
  </si>
  <si>
    <t>Đối tác</t>
  </si>
  <si>
    <t>Dư đầu kỳ</t>
  </si>
  <si>
    <t>Thương mại</t>
  </si>
  <si>
    <t>Tổng phải trả</t>
  </si>
  <si>
    <t>Nội bộ</t>
  </si>
  <si>
    <t>Nhóm đối tác</t>
  </si>
  <si>
    <t>Kỳ tham chiếu</t>
  </si>
  <si>
    <t>Ngày đặt hàng</t>
  </si>
  <si>
    <t>Mã hàng</t>
  </si>
  <si>
    <t>Tồn đầu ngày</t>
  </si>
  <si>
    <t>Tiêu thụ / ngày</t>
  </si>
  <si>
    <t>Ngày tồn kho</t>
  </si>
  <si>
    <t>Hạn đặt hàng</t>
  </si>
  <si>
    <t>SL cần đặt</t>
  </si>
  <si>
    <t>Giá trị cần đặt</t>
  </si>
  <si>
    <t>Sản phẩm</t>
  </si>
  <si>
    <t>Tiện ích sản xuất</t>
  </si>
  <si>
    <t>Định mức</t>
  </si>
  <si>
    <t>Đơn giá</t>
  </si>
  <si>
    <t>Hao hụt</t>
  </si>
  <si>
    <t>Giá trị tiêu thụ</t>
  </si>
  <si>
    <t>Tồn kho hiện tại</t>
  </si>
  <si>
    <t>Số lượng tiêu thụ</t>
  </si>
  <si>
    <t>Số lượng cần đặt</t>
  </si>
  <si>
    <t>Giá vốn mục tiêu</t>
  </si>
  <si>
    <t>Giá vốn thực tế</t>
  </si>
  <si>
    <t>Ngày dự phòng</t>
  </si>
  <si>
    <t>Kho</t>
  </si>
  <si>
    <t>Ngày tồn min</t>
  </si>
  <si>
    <t>Ngày tồn max</t>
  </si>
  <si>
    <t>Ngày nhập</t>
  </si>
  <si>
    <t>Ngày tồn</t>
  </si>
  <si>
    <t>Chức năng</t>
  </si>
  <si>
    <t>SL Đầu kỳ</t>
  </si>
  <si>
    <t>SL nhập</t>
  </si>
  <si>
    <t>SL xuất</t>
  </si>
  <si>
    <t>SL Cuối kỳ</t>
  </si>
  <si>
    <t>KQ kiểm kê</t>
  </si>
  <si>
    <t>Chênh lệch</t>
  </si>
  <si>
    <t>Sản xuất</t>
  </si>
  <si>
    <t>Tiêu thụ</t>
  </si>
  <si>
    <t>Giá trị xuất</t>
  </si>
  <si>
    <t>Chi phí ghi nhận</t>
  </si>
  <si>
    <t>Giá trị cuối kỳ</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</si>
  <si>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</si>
  <si>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</si>
  <si>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</si>
  <si>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</si>
  <si>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</si>
  <si>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</si>
  <si>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</si>
  <si>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</si>
  <si>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</si>
  <si>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</si>
  <si>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</si>
  <si>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</si>
  <si>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</si>
  <si>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</si>
  <si>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</si>
  <si>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</si>
  <si>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</si>
  <si>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</si>
  <si>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</si>
  <si>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</si>
  <si>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</si>
  <si>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</si>
  <si>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</si>
  <si>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</si>
  <si>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</si>
  <si>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</si>
  <si>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</si>
  <si>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</si>
  <si>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</si>
  <si>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</si>
  <si>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</si>
  <si>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</si>
  <si>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</si>
  <si>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</si>
  <si>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</si>
  <si>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</si>
  <si>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</si>
  <si>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</si>
  <si>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</si>
  <si>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</si>
  <si>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</si>
  <si>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</si>
  <si>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</si>
  <si>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STT</t>
  </si>
  <si>
    <t>Mã chi phí</t>
  </si>
  <si>
    <t>Phân bổ từ</t>
  </si>
  <si>
    <t>Phân bổ đến</t>
  </si>
  <si>
    <t>Phụ thuộc</t>
  </si>
  <si>
    <t>Lương thực tế</t>
  </si>
  <si>
    <t>Chịu thuế phân bổ khác</t>
  </si>
  <si>
    <t>Chịu thuế chưa phân bổ khác</t>
  </si>
  <si>
    <t>Trợ cấp miễn thuế</t>
  </si>
  <si>
    <t>Thu nhập chịu thuế</t>
  </si>
  <si>
    <t>Thuế TNCN</t>
  </si>
  <si>
    <t>Chi phí bảo hiểm</t>
  </si>
  <si>
    <t>Bảo hiểm nộp hộ</t>
  </si>
  <si>
    <t>Lương net</t>
  </si>
  <si>
    <t>Chi phí tính thuế</t>
  </si>
  <si>
    <t>Giá trị tính thuế</t>
  </si>
  <si>
    <t>Khoản vay</t>
  </si>
  <si>
    <t>Ngày vay</t>
  </si>
  <si>
    <t>Ngày kết thúc</t>
  </si>
  <si>
    <t>Dư nợ đầu kỳ</t>
  </si>
  <si>
    <t>Trả gốc trong kỳ</t>
  </si>
  <si>
    <t>Tài sản đầu tư</t>
  </si>
  <si>
    <t>Nhận gốc</t>
  </si>
  <si>
    <t>Nhận lãi</t>
  </si>
  <si>
    <t>Thu nhập tính thuế</t>
  </si>
  <si>
    <t>Loại thuế</t>
  </si>
  <si>
    <t>Tên Đối tác</t>
  </si>
  <si>
    <t>Thuế VAT</t>
  </si>
  <si>
    <t>Thuế TNDN</t>
  </si>
  <si>
    <t>Thuế môn bài</t>
  </si>
  <si>
    <t>Bảo hiểm bắt buộc</t>
  </si>
  <si>
    <t>Sử dụng đất</t>
  </si>
  <si>
    <t>Ngân sách</t>
  </si>
  <si>
    <t>Giá trị phải nộp</t>
  </si>
  <si>
    <t>Giá trị khấu trừ</t>
  </si>
  <si>
    <t>Thuế suất TNDN</t>
  </si>
  <si>
    <t>Mã Nguyên liệu</t>
  </si>
  <si>
    <t>Ngày xuất nhập</t>
  </si>
  <si>
    <t>Tháng lên đơn</t>
  </si>
  <si>
    <t>Đơn Mua</t>
  </si>
  <si>
    <t>Giá nhập</t>
  </si>
  <si>
    <t>Giá trị hàng nhập</t>
  </si>
  <si>
    <t>Tỷ suất VAT khấu trừ</t>
  </si>
  <si>
    <t>VAT khấu trừ</t>
  </si>
  <si>
    <t>Đơn bán</t>
  </si>
  <si>
    <t>Giá bán niêm yết</t>
  </si>
  <si>
    <t>Thành tiền niêm yết</t>
  </si>
  <si>
    <t>Tỷ lệ CK</t>
  </si>
  <si>
    <t>Giá trị CK</t>
  </si>
  <si>
    <t>Giá trị bán trước VAT</t>
  </si>
  <si>
    <t>VAT</t>
  </si>
  <si>
    <t>NV Bán hàng</t>
  </si>
  <si>
    <t>Tỷ lệ hoa hồng</t>
  </si>
  <si>
    <t>Vận đơn bán</t>
  </si>
  <si>
    <t>ĐƠN MUA HÀNG</t>
  </si>
  <si>
    <t>Mã Đối tác</t>
  </si>
  <si>
    <t>Mã đơn</t>
  </si>
  <si>
    <t>Ngày lập</t>
  </si>
  <si>
    <t>Kho nhập</t>
  </si>
  <si>
    <t>Người lập</t>
  </si>
  <si>
    <t>ĐỊA CHỈ NHẬN HÀNG</t>
  </si>
  <si>
    <t>Tên Kho hàng</t>
  </si>
  <si>
    <t>Địa chỉ nhận hàng</t>
  </si>
  <si>
    <t>Mã nguyên liệu</t>
  </si>
  <si>
    <t>Mô tả</t>
  </si>
  <si>
    <t>Giá sau VAT</t>
  </si>
  <si>
    <t>Thành tiền</t>
  </si>
  <si>
    <t>Tỷ suất VAT</t>
  </si>
  <si>
    <t>Thành tiền sau VAT</t>
  </si>
  <si>
    <t>Phụ phí</t>
  </si>
  <si>
    <t>Khuyến mãi khác</t>
  </si>
  <si>
    <t>Tổng VAT khấu trừ</t>
  </si>
  <si>
    <t>TỔNG PHẢI TRẢ</t>
  </si>
  <si>
    <t>Đại diện mua hàng</t>
  </si>
  <si>
    <t>Mã Đơn mua</t>
  </si>
  <si>
    <t>Kho Nhập</t>
  </si>
  <si>
    <t>Tiền hàng</t>
  </si>
  <si>
    <t>VAT hàng</t>
  </si>
  <si>
    <t>Khuyến mãi</t>
  </si>
  <si>
    <t>Phải trả</t>
  </si>
  <si>
    <t>ĐƠN BÁN HÀNG</t>
  </si>
  <si>
    <t>Mã khách</t>
  </si>
  <si>
    <t>Đơn bán hàng</t>
  </si>
  <si>
    <t>Chi nhánh</t>
  </si>
  <si>
    <t>KHÁCH HÀNG</t>
  </si>
  <si>
    <t>Giá trước VAT</t>
  </si>
  <si>
    <t>Tổng hợp ĐK</t>
  </si>
  <si>
    <t>ĐK - Phân loại</t>
  </si>
  <si>
    <t>ĐK - Thời gian</t>
  </si>
  <si>
    <t>ĐK - Giá trị</t>
  </si>
  <si>
    <t>ĐK - Số lượng</t>
  </si>
  <si>
    <t>Tổng thành tiền</t>
  </si>
  <si>
    <t>Khuyến mãi đơn hàng</t>
  </si>
  <si>
    <t>Tổng VAT</t>
  </si>
  <si>
    <t>TỔNG CỘNG</t>
  </si>
  <si>
    <t>Đại diện bán hàng</t>
  </si>
  <si>
    <t>Mã Khách</t>
  </si>
  <si>
    <t>Tỷ lệ CK kênh</t>
  </si>
  <si>
    <t>PHIẾU GIAO HÀNG</t>
  </si>
  <si>
    <t>Mã shipper</t>
  </si>
  <si>
    <t>Mã Vận đơn</t>
  </si>
  <si>
    <t>Shipper</t>
  </si>
  <si>
    <t>Nhân viên lập</t>
  </si>
  <si>
    <t>Bên chịu phí</t>
  </si>
  <si>
    <t>Đơn chưa giao</t>
  </si>
  <si>
    <t>Số lượng đặt</t>
  </si>
  <si>
    <t>Số lượng giao</t>
  </si>
  <si>
    <t>Thành tiền đặt</t>
  </si>
  <si>
    <t>Thành tiền giao</t>
  </si>
  <si>
    <t>Tỷ trọng thành tiền</t>
  </si>
  <si>
    <t>SKU chưa giao</t>
  </si>
  <si>
    <t>Phí ship</t>
  </si>
  <si>
    <t>Đại diện giao hàng</t>
  </si>
  <si>
    <t>Ngày hoàn tất</t>
  </si>
  <si>
    <t>Đơn vị vận tải</t>
  </si>
  <si>
    <t>Kho đối tác</t>
  </si>
  <si>
    <t>Phải trả ship</t>
  </si>
  <si>
    <t>Bộ phận</t>
  </si>
  <si>
    <t>Tỷ lệ phân bổ</t>
  </si>
  <si>
    <t>Nhóm vendor</t>
  </si>
  <si>
    <t>Vendor</t>
  </si>
  <si>
    <t>Tỷ suất VAT kháu trừ</t>
  </si>
  <si>
    <t>Bán hàng</t>
  </si>
  <si>
    <t>Văn phòng</t>
  </si>
  <si>
    <t>Chi phí tiện ích - Năng lượng</t>
  </si>
  <si>
    <t>Chưa phân bổ</t>
  </si>
  <si>
    <t>Chi phí tiện ích - Cấp thoát nước</t>
  </si>
  <si>
    <t>Chi phí tiện ích - Môi trường</t>
  </si>
  <si>
    <t>Chi phí tiện ích - Nhiên liệu</t>
  </si>
  <si>
    <t>Chi phí tiện ích - Viễn thông</t>
  </si>
  <si>
    <t>Phân loại</t>
  </si>
  <si>
    <t>Giá trị VAT</t>
  </si>
  <si>
    <t>Nội dung GD</t>
  </si>
  <si>
    <t>NSNN</t>
  </si>
  <si>
    <t>Mã phiếu thu chi</t>
  </si>
  <si>
    <t>Ngày GD</t>
  </si>
  <si>
    <t>Loại GD</t>
  </si>
  <si>
    <t>TK GD</t>
  </si>
  <si>
    <t>Giá trị GD</t>
  </si>
  <si>
    <t>Phí suất GD</t>
  </si>
  <si>
    <t>Phí GD</t>
  </si>
  <si>
    <t>Giá trị sau phí</t>
  </si>
  <si>
    <t>Các hạng mục giao dịch</t>
  </si>
  <si>
    <t>Ngày đáo hạn</t>
  </si>
  <si>
    <t>Mã Cổ đông</t>
  </si>
  <si>
    <t>Tên Cổ đông</t>
  </si>
  <si>
    <t>Tỷ lệ sở hữu</t>
  </si>
  <si>
    <t>Tỷ lệ chia lợi nhuận</t>
  </si>
  <si>
    <t>MST / CCCD</t>
  </si>
  <si>
    <t>Địa chỉ</t>
  </si>
  <si>
    <t>SĐT</t>
  </si>
  <si>
    <t>Mã khoản vay</t>
  </si>
  <si>
    <t>Bên cho vay</t>
  </si>
  <si>
    <t>Thời hạn (năm)</t>
  </si>
  <si>
    <t>Thời hạn (tháng)</t>
  </si>
  <si>
    <t>Lãi suất (năm)</t>
  </si>
  <si>
    <t>Bắt đầu trả gốc</t>
  </si>
  <si>
    <t>Kết thúc trả gốc</t>
  </si>
  <si>
    <t>Trả gốc hàng kỳ</t>
  </si>
  <si>
    <t>Mã Tài khoản</t>
  </si>
  <si>
    <t>Loại tài khoản</t>
  </si>
  <si>
    <t>Số Tài khoản</t>
  </si>
  <si>
    <t>Phí Thanh toán</t>
  </si>
  <si>
    <t>Tất cả</t>
  </si>
  <si>
    <t>Tên phòng ban</t>
  </si>
  <si>
    <t>Trưởng phòng</t>
  </si>
  <si>
    <t>Tên bộ phận</t>
  </si>
  <si>
    <t>Phòng trực thuộc</t>
  </si>
  <si>
    <t>Trưởng bộ phận</t>
  </si>
  <si>
    <t>Tên NV</t>
  </si>
  <si>
    <t>Phòng</t>
  </si>
  <si>
    <t>Vị trí</t>
  </si>
  <si>
    <t>Lương gross</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</si>
  <si>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</si>
  <si>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</si>
  <si>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</si>
  <si>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</si>
  <si>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</si>
  <si>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</si>
  <si>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</si>
  <si>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</si>
  <si>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</si>
  <si>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</si>
  <si>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</si>
  <si>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</si>
  <si>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</si>
  <si>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Công suất</t>
  </si>
  <si>
    <t>Đơn vị công suất</t>
  </si>
  <si>
    <t>Giá trị sổ sách</t>
  </si>
  <si>
    <t>Ngày mua</t>
  </si>
  <si>
    <t>Năm khấu hao</t>
  </si>
  <si>
    <t>Tháng khấu hao</t>
  </si>
  <si>
    <t>Ngày vận hành</t>
  </si>
  <si>
    <t>Ngày thanh lý</t>
  </si>
  <si>
    <t>Giá trị khấu hao (tháng)</t>
  </si>
  <si>
    <t>Tình trạng VAT</t>
  </si>
  <si>
    <t>Mã Kho</t>
  </si>
  <si>
    <t>Tên Kho</t>
  </si>
  <si>
    <t>Địa điểm</t>
  </si>
  <si>
    <t>Tên Nguyên liệu</t>
  </si>
  <si>
    <t>Hàng hóa</t>
  </si>
  <si>
    <t>Thành phẩm</t>
  </si>
  <si>
    <t>Thêm nhóm</t>
  </si>
  <si>
    <t>Loại hình</t>
  </si>
  <si>
    <t>Giá bán</t>
  </si>
  <si>
    <t>Hàng hóa - Nguyên liệu vật tư</t>
  </si>
  <si>
    <t>Vận tải</t>
  </si>
  <si>
    <t>Dịch vụ tài chính</t>
  </si>
  <si>
    <t>Máy móc - Thiết bị</t>
  </si>
  <si>
    <t>Dịch vụ sản xuất</t>
  </si>
  <si>
    <t>Marketing - Thương mại</t>
  </si>
  <si>
    <t>Dịch vụ quản lý</t>
  </si>
  <si>
    <t>Loại đối tác</t>
  </si>
  <si>
    <t>Phân khúc 1</t>
  </si>
  <si>
    <t>Tên KH</t>
  </si>
  <si>
    <t>Tên Kênh</t>
  </si>
  <si>
    <t>Nhóm Kênh</t>
  </si>
  <si>
    <t>Mã Chương trình</t>
  </si>
  <si>
    <t>Đối tượng CK</t>
  </si>
  <si>
    <t>Nội dung Chương trình</t>
  </si>
  <si>
    <t>Giá trị tối thiểu</t>
  </si>
  <si>
    <t>Mã khoản đầu tư</t>
  </si>
  <si>
    <t>Giá trị đầu tư</t>
  </si>
  <si>
    <t>Kỳ đầu tư</t>
  </si>
  <si>
    <t>Kỳ đáo hạn</t>
  </si>
  <si>
    <t>Lãi hàng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</si>
  <si>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</si>
  <si>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</si>
  <si>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</si>
  <si>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</si>
  <si>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</si>
  <si>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</si>
  <si>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</si>
  <si>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</si>
  <si>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</si>
  <si>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</si>
  <si>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</si>
  <si>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</si>
  <si>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</si>
  <si>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Phường</t>
  </si>
  <si>
    <t>Add</t>
  </si>
  <si>
    <t>Gtri</t>
  </si>
  <si>
    <t>Mã Nhân viên</t>
  </si>
  <si>
    <t>Đối tượng</t>
  </si>
  <si>
    <t>CK kênh</t>
  </si>
  <si>
    <t>Nhóm kênh</t>
  </si>
  <si>
    <t>Ngày bắt đầu</t>
  </si>
  <si>
    <t>Vốn góp ban đầu</t>
  </si>
  <si>
    <t>Vốn góp hiện tại</t>
  </si>
  <si>
    <t>Giá trị vay</t>
  </si>
  <si>
    <t>Số dư ban đầu</t>
  </si>
  <si>
    <t>Miễn thuế tăng ca</t>
  </si>
  <si>
    <t>Thưởng KPI tháng</t>
  </si>
  <si>
    <t>Thường KPI năm</t>
  </si>
  <si>
    <t xml:space="preserve">Lương thực trả </t>
  </si>
  <si>
    <t>Doanh thu ròng</t>
  </si>
  <si>
    <t>Tính thuế</t>
  </si>
  <si>
    <t>Nguyên giá TSCĐ</t>
  </si>
  <si>
    <t>Năm đầu</t>
  </si>
  <si>
    <t>Tháng đầu</t>
  </si>
  <si>
    <t>Dòng tiền kinh doanh trên Thu chi kinh doanh</t>
  </si>
  <si>
    <t>VAT hàng xuất</t>
  </si>
  <si>
    <t>Phân bổ lãi tháng</t>
  </si>
  <si>
    <t>EasyFIRM</t>
  </si>
  <si>
    <t>Nhập mã cần in</t>
  </si>
  <si>
    <t>Kích thước 30x40</t>
  </si>
  <si>
    <t>Kích thước 35x22</t>
  </si>
  <si>
    <t>Tổng cộng</t>
  </si>
  <si>
    <t>Kích thước 100x150</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</si>
  <si>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</si>
  <si>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</si>
  <si>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</si>
  <si>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</si>
  <si>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</si>
  <si>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</si>
  <si>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</si>
  <si>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</si>
  <si>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</si>
  <si>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</si>
  <si>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</si>
  <si>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</si>
  <si>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</si>
  <si>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</si>
  <si>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</si>
  <si>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</si>
  <si>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Ngày sinh</t>
  </si>
  <si>
    <t>Sinh nhật</t>
  </si>
  <si>
    <t>ĐK - Sinh nhật</t>
  </si>
  <si>
    <t>ĐK - Ngày mua cuối</t>
  </si>
  <si>
    <t>TONKHODAU</t>
  </si>
  <si>
    <t>Ngày phải trả</t>
  </si>
  <si>
    <t>Khấu hao sản xuất</t>
  </si>
  <si>
    <t>Khấu hao bán hàng</t>
  </si>
  <si>
    <t>Khấu hao quản lý</t>
  </si>
  <si>
    <t>Cước phí</t>
  </si>
  <si>
    <t>CK05%</t>
  </si>
  <si>
    <t>KH01</t>
  </si>
  <si>
    <t>KH02</t>
  </si>
  <si>
    <t>KH03</t>
  </si>
  <si>
    <t>KH04</t>
  </si>
  <si>
    <t>KH05</t>
  </si>
  <si>
    <t>KH06</t>
  </si>
  <si>
    <t>KH07</t>
  </si>
  <si>
    <t>NV01</t>
  </si>
  <si>
    <t>NV04</t>
  </si>
  <si>
    <t>NV05</t>
  </si>
  <si>
    <t>ST</t>
  </si>
  <si>
    <t>FB</t>
  </si>
  <si>
    <t>LZ</t>
  </si>
  <si>
    <t>TK</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</si>
  <si>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</si>
  <si>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</si>
  <si>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</si>
  <si>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</si>
  <si>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</si>
  <si>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</si>
  <si>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</si>
  <si>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</si>
  <si>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</si>
  <si>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</si>
  <si>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</si>
  <si>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</si>
  <si>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</si>
  <si>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</si>
  <si>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</si>
  <si>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</si>
  <si>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</si>
  <si>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</si>
  <si>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</si>
  <si>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</si>
  <si>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</si>
  <si>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</si>
  <si>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</si>
  <si>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</si>
  <si>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</si>
  <si>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</si>
  <si>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</si>
  <si>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</si>
  <si>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</si>
  <si>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</si>
  <si>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</si>
  <si>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</si>
  <si>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</si>
  <si>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</si>
  <si>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</si>
  <si>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</si>
  <si>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</si>
  <si>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</si>
  <si>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</si>
  <si>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</si>
  <si>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</si>
  <si>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</si>
  <si>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2024-05tr</t>
  </si>
  <si>
    <t>Lào Cai</t>
  </si>
  <si>
    <t>Yên Bái</t>
  </si>
  <si>
    <t>Nghệ An</t>
  </si>
  <si>
    <t>Hà Tĩnh</t>
  </si>
  <si>
    <t>Thanh Hóa</t>
  </si>
  <si>
    <t>Thái Bình</t>
  </si>
  <si>
    <t>Nam Định</t>
  </si>
  <si>
    <t>CK10%</t>
  </si>
  <si>
    <t>2024-10tr</t>
  </si>
  <si>
    <t>B2B</t>
  </si>
  <si>
    <t>B2C</t>
  </si>
  <si>
    <t>A</t>
  </si>
  <si>
    <t xml:space="preserve"> -</t>
  </si>
  <si>
    <t>r</t>
  </si>
  <si>
    <t>Thời điểm</t>
  </si>
  <si>
    <t>Giờ</t>
  </si>
  <si>
    <t>Tần suất trả nợ</t>
  </si>
  <si>
    <t>Tần suất</t>
  </si>
  <si>
    <t>Lương gross tiêu chuẩn</t>
  </si>
  <si>
    <t>Số lượng mục tiêu</t>
  </si>
  <si>
    <t>Số lượng hiện tại</t>
  </si>
  <si>
    <t>Kế hoạch cổ tức</t>
  </si>
  <si>
    <t>Tỷ lệ lợi ích</t>
  </si>
  <si>
    <t>EASY-FULL</t>
  </si>
  <si>
    <t>X</t>
  </si>
  <si>
    <t>Tồn kho đầu ngày</t>
  </si>
  <si>
    <t>Tồn kho cuối ngày</t>
  </si>
  <si>
    <t>Giá trị tồn đầu ngày</t>
  </si>
  <si>
    <t>Giá trị tồn cuối ngày</t>
  </si>
  <si>
    <t>Giá trị bình quân đầu ngày</t>
  </si>
  <si>
    <t>Giá trị bình quân cuối ngày</t>
  </si>
  <si>
    <t>Thời hạn hiệu lực</t>
  </si>
  <si>
    <t>Tỷ lệ tính điểm</t>
  </si>
  <si>
    <t>Điểm tích lũy</t>
  </si>
  <si>
    <t>Đơn vị SKU</t>
  </si>
  <si>
    <t>Sản lượng kế hoạch</t>
  </si>
  <si>
    <t>Số ngày lưu kho</t>
  </si>
  <si>
    <t>Tồn tối thiểu</t>
  </si>
  <si>
    <t>Tồn tối đa</t>
  </si>
  <si>
    <t>Ngày giao / sản xuất</t>
  </si>
  <si>
    <t>Tăng trưởng tiêu thụ</t>
  </si>
  <si>
    <t>Thuế phí nộp NS</t>
  </si>
  <si>
    <t>Lệ phí môn bài</t>
  </si>
  <si>
    <t>Total</t>
  </si>
  <si>
    <t>Thuế phí khác</t>
  </si>
  <si>
    <t>Column1</t>
  </si>
  <si>
    <t>Dòng tiền ròng - FCFE</t>
  </si>
  <si>
    <t>NPV Vốn chủ đầu tư</t>
  </si>
  <si>
    <t>IRR Vốn chủ đầu tư</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</si>
  <si>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</si>
  <si>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</si>
  <si>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sản phẩm (hàng hóa, thành phẩm, dịch vụ kinh doanh)</t>
  </si>
  <si>
    <t>Liệt kê danh sách sản phẩm (hàng hóa, thành phẩm, dịch vụ kinh doanh) &amp; dự kiến sản lượng bán từng đơn vị sản phẩm từng tháng trong năm, tham khảo tốc độ tăng trưởng trên</t>
  </si>
  <si>
    <t>Dự kiến tỷ lệ giá trị chiết khấu, giảm giá, khuyến mãi trung bình trên doanh thu tổng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</si>
  <si>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</si>
  <si>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</si>
  <si>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</si>
  <si>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</si>
  <si>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</si>
  <si>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</si>
  <si>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</si>
  <si>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</si>
  <si>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</si>
  <si>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</si>
  <si>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</si>
  <si>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</si>
  <si>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</si>
  <si>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</si>
  <si>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</si>
  <si>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</si>
  <si>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</si>
  <si>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</si>
  <si>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</si>
  <si>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</si>
  <si>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</si>
  <si>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</si>
  <si>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</si>
  <si>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</si>
  <si>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</si>
  <si>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</si>
  <si>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</si>
  <si>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Liệt kê danh sách sản phẩm và tỷ lệ hoa hồng áp dụng cho từng đơn vị được áp dụng</t>
  </si>
  <si>
    <t>Liệt kê danh sách sản phẩm. Chi phí hoa hồng được tự động tính toán</t>
  </si>
  <si>
    <t>Kế hoạch chi phí nhân sự (+ bảo hiểm)</t>
  </si>
  <si>
    <t>Dòng tiền đầu tư và thanh lý TSCĐ</t>
  </si>
  <si>
    <t>Liệt kê danh sách TSCĐ dự kiến chi trả tiền đầu tư (giá trị âm) hay thu tiền thanh lý (giá trị dương)</t>
  </si>
  <si>
    <t>Liệt kê danh sách các khoản đầu tư tài chính dự kiến đầu tư (giá trị âm)</t>
  </si>
  <si>
    <t>Dòng tiền đầu tư tài chính</t>
  </si>
  <si>
    <t>Liệt kê danh sách các khoản đầu tư tài chính dự kiến thu hồi (giá trị dương)</t>
  </si>
  <si>
    <t>Dòng tiền huy động vốn vay</t>
  </si>
  <si>
    <t>Liệt kê danh sách các khoản vay dự kiến có thể huy động thêm (giá trị dương)</t>
  </si>
  <si>
    <t>Dòng tiền huy động vốn góp</t>
  </si>
  <si>
    <t>Liệt kê danh sách các khoản vốn góp dự kiến có thể huy động thêm (giá trị dương)</t>
  </si>
  <si>
    <t>Dòng tiền thu hồi từ đầu tư tài chính</t>
  </si>
  <si>
    <t xml:space="preserve"> Total </t>
  </si>
  <si>
    <t xml:space="preserve">  Total  </t>
  </si>
  <si>
    <t xml:space="preserve">   Total   </t>
  </si>
  <si>
    <t xml:space="preserve">    Total    </t>
  </si>
  <si>
    <t xml:space="preserve">     Total     </t>
  </si>
  <si>
    <t xml:space="preserve">      Total      </t>
  </si>
  <si>
    <t>Tăng trưởng dòng tiền kỳ vọng</t>
  </si>
  <si>
    <t>Tỷ suất lợi nhuận yêu cầu</t>
  </si>
  <si>
    <t>PIybEyHvvhO7Rf2wifv7O0bHv5bzw64DdDUJ</t>
  </si>
  <si>
    <r>
      <t>Mục lục</t>
    </r>
    <r>
      <rPr>
        <sz val="24"/>
        <color theme="8"/>
        <rFont val="Calibri"/>
        <family val="2"/>
      </rPr>
      <t>↓</t>
    </r>
  </si>
  <si>
    <r>
      <t xml:space="preserve">Hướng dẫn sử dụng </t>
    </r>
    <r>
      <rPr>
        <sz val="24"/>
        <color theme="8"/>
        <rFont val="Calibri"/>
        <family val="2"/>
      </rPr>
      <t>→</t>
    </r>
  </si>
  <si>
    <t>LINK</t>
  </si>
  <si>
    <t>VAY4</t>
  </si>
  <si>
    <t>D</t>
  </si>
  <si>
    <t>Một lần</t>
  </si>
  <si>
    <t>VAY3</t>
  </si>
  <si>
    <t>C</t>
  </si>
  <si>
    <t>VAY2</t>
  </si>
  <si>
    <t>B</t>
  </si>
  <si>
    <t>Theo tháng</t>
  </si>
  <si>
    <t>VAY1</t>
  </si>
  <si>
    <t>Theo năm</t>
  </si>
  <si>
    <t>Grand Total</t>
  </si>
  <si>
    <t>2025</t>
  </si>
  <si>
    <t>2026</t>
  </si>
  <si>
    <t>2027</t>
  </si>
  <si>
    <t>Feb</t>
  </si>
  <si>
    <t>Apr</t>
  </si>
  <si>
    <t>May</t>
  </si>
  <si>
    <t>Jun</t>
  </si>
  <si>
    <t>Jul</t>
  </si>
  <si>
    <t>Aug</t>
  </si>
  <si>
    <t>Sep</t>
  </si>
  <si>
    <t>Oct</t>
  </si>
  <si>
    <t>Gốc</t>
  </si>
  <si>
    <t>Lãi</t>
  </si>
  <si>
    <t>(All)</t>
  </si>
  <si>
    <t xml:space="preserve">Năm </t>
  </si>
  <si>
    <t xml:space="preserve">Tháng </t>
  </si>
  <si>
    <t xml:space="preserve">Lãi vay </t>
  </si>
  <si>
    <t>(Multiple Items)</t>
  </si>
  <si>
    <t>TS6</t>
  </si>
  <si>
    <t>TS5</t>
  </si>
  <si>
    <t>TS4</t>
  </si>
  <si>
    <t>TS3</t>
  </si>
  <si>
    <t>TS2</t>
  </si>
  <si>
    <t>TS1</t>
  </si>
  <si>
    <t>Số ngày vận hành</t>
  </si>
  <si>
    <t>Khấu hao lũy kế theo ngày</t>
  </si>
  <si>
    <t>Tỷ lệ khấu hao</t>
  </si>
  <si>
    <t>Giá trị còn lại</t>
  </si>
  <si>
    <t>Số ngày còn lại</t>
  </si>
  <si>
    <t>Khấu hao lũy kế</t>
  </si>
  <si>
    <t xml:space="preserve">Tỷ lệ khấu hao </t>
  </si>
  <si>
    <t>CHI TIẾT TÀI SẢN</t>
  </si>
  <si>
    <t>GIÁ TRỊ KHẤU HAO THÁNG</t>
  </si>
  <si>
    <t>TỶ LỆ KHẤU HAO HIỆN TẠI</t>
  </si>
  <si>
    <t>NGÀY KẾT THÚC KHẤU HAO</t>
  </si>
  <si>
    <t>SỐ NGÀY KHẤU HAO CÒN LẠI</t>
  </si>
  <si>
    <t>GIÁ TRỊ ĐẦU TƯ BAN ĐẦU</t>
  </si>
  <si>
    <t>2023</t>
  </si>
  <si>
    <t>2024</t>
  </si>
  <si>
    <t>Nov</t>
  </si>
  <si>
    <t>Dec</t>
  </si>
  <si>
    <t>Jan</t>
  </si>
  <si>
    <t>Mar</t>
  </si>
  <si>
    <t xml:space="preserve">Khấu hao Bán hàng </t>
  </si>
  <si>
    <t xml:space="preserve">Khấu hao Sản xuất </t>
  </si>
  <si>
    <t xml:space="preserve">Khấu hao Quản lý </t>
  </si>
  <si>
    <t>HH1</t>
  </si>
  <si>
    <t>TP1</t>
  </si>
  <si>
    <t>TP2</t>
  </si>
  <si>
    <t>NL2</t>
  </si>
  <si>
    <t>NL1</t>
  </si>
  <si>
    <t>Nhập</t>
  </si>
  <si>
    <t>Kho1</t>
  </si>
  <si>
    <t>Column Labels</t>
  </si>
  <si>
    <t>Tồn cuối kỳ</t>
  </si>
  <si>
    <t>NCC1</t>
  </si>
  <si>
    <t>NCC2</t>
  </si>
  <si>
    <t>NCC3</t>
  </si>
  <si>
    <t>NHAP-NCC2-250304-</t>
  </si>
  <si>
    <t>NHAP-NCC1-250306-</t>
  </si>
  <si>
    <t>NHAP-NCC3-250312-</t>
  </si>
  <si>
    <t>NHAP-NCC2-250314-</t>
  </si>
  <si>
    <t>NHAP-NCC1-250316-</t>
  </si>
  <si>
    <t>NHAP-NCC1-250321-</t>
  </si>
  <si>
    <t>NHAP-NCC2-250328-</t>
  </si>
  <si>
    <t>NHAP-NCC1-250417-</t>
  </si>
  <si>
    <t>NHAP-NCC3-250420-</t>
  </si>
  <si>
    <t>NHAP-NCC2-250425-</t>
  </si>
  <si>
    <t>NHAP-NCC1-250428-</t>
  </si>
  <si>
    <t>NHAP-NCC2-250501-</t>
  </si>
  <si>
    <t>NHAP-NCC1-250505-</t>
  </si>
  <si>
    <t>NHAP-NCC2-250511-</t>
  </si>
  <si>
    <t>NHAP-NCC2-250520-</t>
  </si>
  <si>
    <t>NHAP-NCC2-250523-</t>
  </si>
  <si>
    <t>NHAP-NCC3-250525-</t>
  </si>
  <si>
    <t>NHAP-NCC2-250527-</t>
  </si>
  <si>
    <t>NHAP-NCC1-250528-</t>
  </si>
  <si>
    <t>Tồn kho cuối kỳ</t>
  </si>
  <si>
    <t>Giá vốn cuối kỳ</t>
  </si>
  <si>
    <t>Values</t>
  </si>
  <si>
    <t>Tồn kho chưa tiêu thụ</t>
  </si>
  <si>
    <t>Tồn kho giá vốn thành phẩm</t>
  </si>
  <si>
    <t>Đầu vào</t>
  </si>
  <si>
    <t>kWh</t>
  </si>
  <si>
    <t>Giá vốn bình quân</t>
  </si>
  <si>
    <t xml:space="preserve">Giá vốn bình quân </t>
  </si>
  <si>
    <t>Lit</t>
  </si>
  <si>
    <t>Điện</t>
  </si>
  <si>
    <t>Cần đặt</t>
  </si>
  <si>
    <t>Thực tế</t>
  </si>
  <si>
    <t xml:space="preserve">Hiệu quả </t>
  </si>
  <si>
    <t>Dự phòng tồn kho</t>
  </si>
  <si>
    <t>KH1</t>
  </si>
  <si>
    <t>KH2</t>
  </si>
  <si>
    <t>KH3</t>
  </si>
  <si>
    <t>BAN-KH2-250313-</t>
  </si>
  <si>
    <t>BAN-KH2-250319-</t>
  </si>
  <si>
    <t>BAN-KH1-250320-</t>
  </si>
  <si>
    <t>BAN-KH3-250325-</t>
  </si>
  <si>
    <t>BAN-KH1-250327-</t>
  </si>
  <si>
    <t>BAN-KH2-250330-</t>
  </si>
  <si>
    <t>BAN-KH1-250403-</t>
  </si>
  <si>
    <t>BAN-KH2-250408-</t>
  </si>
  <si>
    <t>BAN-KH3-250409-</t>
  </si>
  <si>
    <t>BAN-KH1-250411-</t>
  </si>
  <si>
    <t>BAN-KH2-250414-</t>
  </si>
  <si>
    <t>BAN-KH2-250415-</t>
  </si>
  <si>
    <t>BAN-KH3-250417-</t>
  </si>
  <si>
    <t>BAN-KH2-250424-</t>
  </si>
  <si>
    <t>BAN-KH2-250427-</t>
  </si>
  <si>
    <t>BAN-KH3-250429-</t>
  </si>
  <si>
    <t>BAN-KH3-250430-</t>
  </si>
  <si>
    <t>BAN-KH2-250502-</t>
  </si>
  <si>
    <t>BAN-KH1-250507-</t>
  </si>
  <si>
    <t>BAN-KH1-250509-</t>
  </si>
  <si>
    <t>BAN-KH2-250515-</t>
  </si>
  <si>
    <t>BAN-KH1-250516-</t>
  </si>
  <si>
    <t>BAN-KH1-250519-</t>
  </si>
  <si>
    <t>BAN-KH3-250531-</t>
  </si>
  <si>
    <t>03-2025</t>
  </si>
  <si>
    <t>04-2025</t>
  </si>
  <si>
    <t>05-2025</t>
  </si>
  <si>
    <t>THU</t>
  </si>
  <si>
    <t>TK1</t>
  </si>
  <si>
    <t>CHI</t>
  </si>
  <si>
    <t>Dự phòng</t>
  </si>
  <si>
    <t>Nghỉ phép</t>
  </si>
  <si>
    <t>Nghỉ phép năm</t>
  </si>
  <si>
    <t>Ngày nghỉ phép - Còn</t>
  </si>
  <si>
    <t>Ngày nghỉ phép</t>
  </si>
  <si>
    <t>Hạn sử dụng</t>
  </si>
  <si>
    <t>Người phụ thuộc</t>
  </si>
  <si>
    <t>Nhà cung cấp</t>
  </si>
  <si>
    <t>Hàng</t>
  </si>
  <si>
    <t>Người bán</t>
  </si>
  <si>
    <t>Giá trị nhập mua</t>
  </si>
  <si>
    <t>Ngày ship mua</t>
  </si>
  <si>
    <t>Ngày ship</t>
  </si>
  <si>
    <t>Giá trung bình</t>
  </si>
  <si>
    <t>Lượng đặt</t>
  </si>
  <si>
    <t>Còn lại</t>
  </si>
  <si>
    <t>Giá trị dự phòng</t>
  </si>
  <si>
    <t>Giá trị tồn</t>
  </si>
  <si>
    <t>Giá trị nợ</t>
  </si>
  <si>
    <t>Quan tri tong the</t>
  </si>
  <si>
    <t>4C68A711-89BE-412A-BD2D-CB33771CC62D</t>
  </si>
  <si>
    <t>EASY-33329183463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</si>
</sst>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43" formatCode="_(* #,##0.00_);_(* \(#,##0.00\);_(* &quot;-&quot;??_);_(@_)"/>
    <numFmt numFmtId="164" formatCode="_(* #,##0_);_(* \(#,##0\);_(* &quot;-&quot;??_);_(@_)"/>
    <numFmt numFmtId="165" formatCode="0.0%"/>
    <numFmt numFmtId="166" formatCode="mm\-yyyy"/>
    <numFmt numFmtId="167" formatCode="mm/yyyy"/>
    <numFmt numFmtId="168" formatCode="d/m/yyyy"/>
    <numFmt numFmtId="169" formatCode="0.0"/>
    <numFmt numFmtId="170" formatCode="m\-yyyy"/>
    <numFmt numFmtId="171" formatCode="m/yyyy"/>
    <numFmt numFmtId="172" formatCode="_(* #,##0.0000_);_(* \(#,##0.0000\);_(* &quot;-&quot;??_);_(@_)"/>
    <numFmt numFmtId="173" formatCode="[$-1010000]d/m/yyyy;@"/>
    <numFmt numFmtId="174" formatCode="_(#,##0_);_(\(#,##0\);_(\-_);_(@_)"/>
    <numFmt numFmtId="175" formatCode="dd/mm/yyyy"/>
    <numFmt numFmtId="176" formatCode="h:mm;@"/>
    <numFmt numFmtId="177" formatCode="[$-1000000]h:mm:ss;@"/>
    <numFmt numFmtId="178" formatCode="dd"/>
    <numFmt numFmtId="179" formatCode="mm"/>
  </numFmts>
  <fonts count="66" x14ac:knownFonts="1">
    <font>
      <sz val="11"/>
      <color theme="1"/>
      <name val="Segoe UI Light"/>
      <family val="2"/>
      <scheme val="minor"/>
    </font>
    <font>
      <sz val="11"/>
      <color theme="1"/>
      <name val="Segoe UI Light"/>
      <family val="2"/>
      <scheme val="minor"/>
    </font>
    <font>
      <sz val="12"/>
      <color theme="1"/>
      <name val="Segoe UI Light"/>
      <family val="2"/>
      <scheme val="minor"/>
    </font>
    <font>
      <sz val="24"/>
      <color theme="1"/>
      <name val="Segoe UI Light"/>
      <family val="2"/>
      <scheme val="minor"/>
    </font>
    <font>
      <b/>
      <sz val="12"/>
      <color theme="1"/>
      <name val="Segoe UI Light"/>
      <family val="2"/>
      <scheme val="minor"/>
    </font>
    <font>
      <sz val="24"/>
      <color theme="8"/>
      <name val="Segoe UI"/>
      <family val="2"/>
      <scheme val="major"/>
    </font>
    <font>
      <b/>
      <sz val="18"/>
      <color theme="5"/>
      <name val="Segoe UI"/>
      <family val="2"/>
      <scheme val="major"/>
    </font>
    <font>
      <b/>
      <sz val="12"/>
      <color theme="0"/>
      <name val="Segoe UI Light"/>
      <family val="2"/>
      <scheme val="minor"/>
    </font>
    <font>
      <b/>
      <sz val="12"/>
      <color theme="0"/>
      <name val="Segoe UI"/>
      <family val="2"/>
      <scheme val="major"/>
    </font>
    <font>
      <sz val="12"/>
      <color theme="0"/>
      <name val="Segoe UI Light"/>
      <family val="2"/>
      <scheme val="minor"/>
    </font>
    <font>
      <i/>
      <sz val="12"/>
      <color theme="1"/>
      <name val="Segoe UI Light"/>
      <family val="2"/>
      <scheme val="minor"/>
    </font>
    <font>
      <sz val="8"/>
      <color theme="1"/>
      <name val="Segoe UI Light"/>
      <family val="2"/>
      <scheme val="minor"/>
    </font>
    <font>
      <b/>
      <sz val="8"/>
      <color theme="0"/>
      <name val="Segoe UI Light"/>
      <family val="2"/>
      <scheme val="minor"/>
    </font>
    <font>
      <i/>
      <u/>
      <sz val="12"/>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b/>
      <sz val="12"/>
      <color theme="9"/>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sz val="8"/>
      <color theme="8"/>
      <name val="Segoe UI Light"/>
      <family val="2"/>
      <scheme val="minor"/>
    </font>
    <font>
      <b/>
      <sz val="8"/>
      <color theme="8"/>
      <name val="Segoe UI Light"/>
      <family val="2"/>
      <scheme val="minor"/>
    </font>
    <font>
      <b/>
      <i/>
      <sz val="8"/>
      <color theme="1"/>
      <name val="Segoe UI Light"/>
      <family val="2"/>
      <scheme val="minor"/>
    </font>
    <font>
      <sz val="8"/>
      <name val="Segoe UI Light"/>
      <family val="2"/>
    </font>
    <font>
      <sz val="8"/>
      <color theme="9"/>
      <name val="Segoe UI Light"/>
      <family val="2"/>
    </font>
    <font>
      <b/>
      <i/>
      <sz val="8"/>
      <color theme="1"/>
      <name val="Segoe UI Light"/>
      <family val="2"/>
    </font>
    <font>
      <b/>
      <i/>
      <sz val="8"/>
      <color theme="8"/>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8"/>
      <color theme="6" tint="0.79998168889431442"/>
      <name val="Segoe UI Light"/>
      <family val="2"/>
      <scheme val="minor"/>
    </font>
    <font>
      <i/>
      <sz val="8"/>
      <name val="Segoe UI Light"/>
      <family val="2"/>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sz val="11"/>
      <color theme="9"/>
      <name val="Segoe UI Light"/>
      <family val="2"/>
      <scheme val="minor"/>
    </font>
    <font>
      <b/>
      <sz val="11"/>
      <color theme="8"/>
      <name val="Segoe UI Light"/>
      <family val="2"/>
      <scheme val="minor"/>
    </font>
    <font>
      <sz val="8"/>
      <color rgb="FF000000"/>
      <name val="Segoe UI"/>
      <family val="2"/>
    </font>
    <font>
      <sz val="14"/>
      <color theme="8"/>
      <name val="Segoe UI"/>
      <family val="2"/>
      <scheme val="major"/>
    </font>
    <font>
      <sz val="11"/>
      <color theme="0"/>
      <name val="Segoe UI Light"/>
      <family val="2"/>
      <scheme val="minor"/>
    </font>
    <font>
      <b/>
      <sz val="18"/>
      <color theme="0"/>
      <name val="Segoe UI"/>
      <family val="2"/>
      <scheme val="major"/>
    </font>
    <font>
      <sz val="12"/>
      <name val="Segoe UI Light"/>
      <family val="2"/>
      <scheme val="minor"/>
    </font>
    <font>
      <i/>
      <sz val="12"/>
      <name val="Segoe UI Light"/>
      <family val="2"/>
      <scheme val="minor"/>
    </font>
    <font>
      <b/>
      <sz val="12"/>
      <name val="Segoe UI Light"/>
      <family val="2"/>
      <scheme val="minor"/>
    </font>
    <font>
      <sz val="10"/>
      <color theme="1"/>
      <name val="Segoe UI Light"/>
      <family val="2"/>
      <scheme val="minor"/>
    </font>
    <font>
      <sz val="10"/>
      <color theme="1"/>
      <name val="Code 128"/>
    </font>
    <font>
      <sz val="10"/>
      <name val="Segoe UI Light"/>
      <family val="2"/>
      <scheme val="minor"/>
    </font>
    <font>
      <b/>
      <sz val="10"/>
      <color theme="1"/>
      <name val="Segoe UI Light"/>
      <family val="2"/>
      <scheme val="minor"/>
    </font>
    <font>
      <sz val="10"/>
      <color theme="1"/>
      <name val="IDAutomationC128XS"/>
    </font>
    <font>
      <sz val="24"/>
      <color theme="1"/>
      <name val="IDAutomationC128XS"/>
    </font>
    <font>
      <b/>
      <sz val="8"/>
      <color rgb="FF000000"/>
      <name val="Segoe UI Light"/>
      <family val="2"/>
    </font>
    <font>
      <sz val="11"/>
      <color rgb="FF000000"/>
      <name val="Segoe UI Light"/>
      <family val="2"/>
    </font>
    <font>
      <sz val="8"/>
      <color theme="9" tint="-0.499984740745262"/>
      <name val="Segoe UI Light"/>
      <family val="2"/>
      <scheme val="minor"/>
    </font>
    <font>
      <b/>
      <sz val="8"/>
      <color theme="9" tint="-0.499984740745262"/>
      <name val="Segoe UI Light"/>
      <family val="2"/>
      <scheme val="minor"/>
    </font>
    <font>
      <u/>
      <sz val="12"/>
      <color theme="1"/>
      <name val="Segoe UI Light"/>
      <family val="2"/>
      <scheme val="minor"/>
    </font>
    <font>
      <sz val="24"/>
      <color theme="8"/>
      <name val="Calibri"/>
      <family val="2"/>
    </font>
    <font>
      <b/>
      <sz val="14"/>
      <color theme="6"/>
      <name val="Segoe UI Light"/>
      <family val="2"/>
      <scheme val="minor"/>
    </font>
    <font>
      <b/>
      <sz val="11"/>
      <color theme="9" tint="-0.499984740745262"/>
      <name val="Segoe UI Light"/>
      <family val="2"/>
      <scheme val="minor"/>
    </font>
    <font>
      <b/>
      <sz val="14"/>
      <color theme="9" tint="-0.499984740745262"/>
      <name val="Segoe UI Light"/>
      <family val="2"/>
      <scheme val="minor"/>
    </font>
    <font>
      <b/>
      <sz val="14"/>
      <color theme="0"/>
      <name val="Segoe UI Light"/>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5" tint="-0.249977111117893"/>
        <bgColor indexed="64"/>
      </patternFill>
    </fill>
    <fill>
      <patternFill patternType="solid">
        <fgColor theme="5"/>
        <bgColor theme="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79998168889431442"/>
        <bgColor theme="5" tint="0.79998168889431442"/>
      </patternFill>
    </fill>
  </fills>
  <borders count="28">
    <border>
      <left/>
      <right/>
      <top/>
      <bottom/>
      <diagonal/>
    </border>
    <border>
      <left/>
      <right/>
      <top/>
      <bottom style="thin">
        <color theme="7"/>
      </bottom>
      <diagonal/>
    </border>
    <border>
      <left/>
      <right style="thin">
        <color theme="7"/>
      </right>
      <top style="thin">
        <color theme="7"/>
      </top>
      <bottom/>
      <diagonal/>
    </border>
    <border>
      <left/>
      <right style="thin">
        <color theme="7"/>
      </right>
      <top/>
      <bottom/>
      <diagonal/>
    </border>
    <border>
      <left style="thin">
        <color theme="7"/>
      </left>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diagonal/>
    </border>
    <border>
      <left/>
      <right/>
      <top style="thin">
        <color theme="7"/>
      </top>
      <bottom/>
      <diagonal/>
    </border>
    <border>
      <left style="thin">
        <color theme="7"/>
      </left>
      <right/>
      <top/>
      <bottom/>
      <diagonal/>
    </border>
    <border>
      <left style="thin">
        <color theme="7"/>
      </left>
      <right/>
      <top/>
      <bottom style="thin">
        <color theme="7"/>
      </bottom>
      <diagonal/>
    </border>
    <border>
      <left/>
      <right style="thin">
        <color theme="7"/>
      </right>
      <top/>
      <bottom style="thin">
        <color theme="7"/>
      </bottom>
      <diagonal/>
    </border>
    <border>
      <left/>
      <right/>
      <top/>
      <bottom style="thin">
        <color theme="5" tint="0.39997558519241921"/>
      </bottom>
      <diagonal/>
    </border>
    <border>
      <left/>
      <right/>
      <top style="thin">
        <color theme="5" tint="0.39997558519241921"/>
      </top>
      <bottom/>
      <diagonal/>
    </border>
    <border>
      <left/>
      <right/>
      <top style="thin">
        <color theme="5"/>
      </top>
      <bottom/>
      <diagonal/>
    </border>
    <border>
      <left style="thin">
        <color theme="5" tint="0.39997558519241921"/>
      </left>
      <right/>
      <top style="thin">
        <color theme="5" tint="0.39997558519241921"/>
      </top>
      <bottom style="thin">
        <color theme="5" tint="0.39997558519241921"/>
      </bottom>
      <diagonal/>
    </border>
    <border>
      <left style="thin">
        <color theme="5"/>
      </left>
      <right style="thin">
        <color theme="5"/>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7"/>
      </left>
      <right style="thin">
        <color theme="7"/>
      </right>
      <top style="thin">
        <color theme="7"/>
      </top>
      <bottom style="thin">
        <color theme="7"/>
      </bottom>
      <diagonal/>
    </border>
    <border>
      <left style="thin">
        <color theme="5" tint="0.39994506668294322"/>
      </left>
      <right/>
      <top style="thin">
        <color theme="5" tint="0.39997558519241921"/>
      </top>
      <bottom style="thin">
        <color theme="5" tint="0.39997558519241921"/>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5" tint="0.39997558519241921"/>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5" tint="0.39997558519241921"/>
      </left>
      <right/>
      <top/>
      <bottom style="thin">
        <color theme="5" tint="0.39997558519241921"/>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6">
    <xf numFmtId="0" fontId="0" fillId="0" borderId="0" xfId="0"/>
    <xf numFmtId="0" fontId="2"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164" fontId="15" fillId="0" borderId="0" xfId="1" applyNumberFormat="1" applyFont="1" applyFill="1" applyBorder="1" applyAlignment="1" applyProtection="1">
      <alignment horizontal="center" vertical="center"/>
      <protection locked="0" hidden="1"/>
    </xf>
    <xf numFmtId="0" fontId="15" fillId="0" borderId="0" xfId="0" applyFont="1" applyAlignment="1" applyProtection="1">
      <alignment horizontal="center" vertical="center"/>
      <protection locked="0" hidden="1"/>
    </xf>
    <xf numFmtId="0" fontId="10" fillId="0" borderId="0" xfId="0" applyFont="1" applyAlignment="1" applyProtection="1">
      <alignment vertical="center"/>
      <protection locked="0" hidden="1"/>
    </xf>
    <xf numFmtId="0" fontId="4"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164" fontId="11" fillId="0" borderId="0" xfId="1" applyNumberFormat="1" applyFont="1" applyAlignment="1" applyProtection="1">
      <alignment horizontal="right" vertical="center"/>
      <protection locked="0" hidden="1"/>
    </xf>
    <xf numFmtId="164" fontId="24"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center" vertical="center"/>
      <protection locked="0" hidden="1"/>
    </xf>
    <xf numFmtId="0" fontId="11" fillId="0" borderId="0" xfId="0" applyFont="1" applyAlignment="1" applyProtection="1">
      <alignment horizontal="center" vertical="center"/>
      <protection locked="0" hidden="1"/>
    </xf>
    <xf numFmtId="9" fontId="11" fillId="0" borderId="0" xfId="0" applyNumberFormat="1" applyFont="1" applyAlignment="1" applyProtection="1">
      <alignment horizontal="center" vertical="center"/>
      <protection locked="0" hidden="1"/>
    </xf>
    <xf numFmtId="14" fontId="11" fillId="0" borderId="0" xfId="0" applyNumberFormat="1" applyFont="1" applyAlignment="1" applyProtection="1">
      <alignment vertical="center"/>
      <protection locked="0" hidden="1"/>
    </xf>
    <xf numFmtId="164" fontId="11" fillId="0" borderId="0" xfId="1" applyNumberFormat="1" applyFont="1" applyAlignment="1" applyProtection="1">
      <alignment vertical="center"/>
      <protection locked="0" hidden="1"/>
    </xf>
    <xf numFmtId="171" fontId="11" fillId="0" borderId="0" xfId="0" applyNumberFormat="1" applyFont="1" applyAlignment="1" applyProtection="1">
      <alignment horizontal="center" vertical="center"/>
      <protection locked="0" hidden="1"/>
    </xf>
    <xf numFmtId="164" fontId="17" fillId="0" borderId="0" xfId="1" applyNumberFormat="1" applyFont="1" applyFill="1" applyAlignment="1" applyProtection="1">
      <alignment vertical="center"/>
      <protection locked="0" hidden="1"/>
    </xf>
    <xf numFmtId="164" fontId="17" fillId="0" borderId="0" xfId="1" applyNumberFormat="1" applyFont="1" applyAlignment="1" applyProtection="1">
      <alignment vertical="center"/>
      <protection locked="0" hidden="1"/>
    </xf>
    <xf numFmtId="166" fontId="15" fillId="0" borderId="0" xfId="1" applyNumberFormat="1" applyFont="1" applyFill="1" applyBorder="1" applyAlignment="1" applyProtection="1">
      <alignment horizontal="center" vertical="center"/>
      <protection locked="0" hidden="1"/>
    </xf>
    <xf numFmtId="166" fontId="15" fillId="0" borderId="0" xfId="0" applyNumberFormat="1" applyFont="1" applyAlignment="1" applyProtection="1">
      <alignment horizontal="center" vertical="center"/>
      <protection locked="0" hidden="1"/>
    </xf>
    <xf numFmtId="0" fontId="14" fillId="0" borderId="0" xfId="0" applyFont="1" applyAlignment="1" applyProtection="1">
      <alignment vertical="center"/>
      <protection locked="0" hidden="1"/>
    </xf>
    <xf numFmtId="164" fontId="11" fillId="0" borderId="0" xfId="0" applyNumberFormat="1" applyFont="1" applyAlignment="1" applyProtection="1">
      <alignment vertical="center"/>
      <protection locked="0" hidden="1"/>
    </xf>
    <xf numFmtId="0" fontId="15" fillId="5" borderId="0" xfId="1" applyNumberFormat="1" applyFont="1" applyFill="1" applyAlignment="1" applyProtection="1">
      <alignment horizontal="center" vertical="center"/>
      <protection locked="0" hidden="1"/>
    </xf>
    <xf numFmtId="0" fontId="11" fillId="5" borderId="0" xfId="1" applyNumberFormat="1" applyFont="1" applyFill="1" applyAlignment="1" applyProtection="1">
      <alignment vertical="center"/>
      <protection locked="0" hidden="1"/>
    </xf>
    <xf numFmtId="0" fontId="14" fillId="0" borderId="0" xfId="0" applyFont="1" applyAlignment="1" applyProtection="1">
      <alignment horizontal="right" vertical="center"/>
      <protection locked="0" hidden="1"/>
    </xf>
    <xf numFmtId="0" fontId="14" fillId="5" borderId="0" xfId="0" applyFont="1" applyFill="1" applyAlignment="1" applyProtection="1">
      <alignment horizontal="center" vertical="center"/>
      <protection locked="0" hidden="1"/>
    </xf>
    <xf numFmtId="0" fontId="11" fillId="0" borderId="0" xfId="0" applyFont="1" applyAlignment="1" applyProtection="1">
      <alignment horizontal="right" vertical="center"/>
      <protection locked="0" hidden="1"/>
    </xf>
    <xf numFmtId="0" fontId="17" fillId="0" borderId="0" xfId="0" applyFont="1" applyAlignment="1" applyProtection="1">
      <alignment vertical="center"/>
      <protection locked="0" hidden="1"/>
    </xf>
    <xf numFmtId="164" fontId="17" fillId="0" borderId="0" xfId="0" applyNumberFormat="1" applyFont="1" applyAlignment="1" applyProtection="1">
      <alignment vertical="center"/>
      <protection locked="0" hidden="1"/>
    </xf>
    <xf numFmtId="165" fontId="11" fillId="0" borderId="0" xfId="0" applyNumberFormat="1" applyFont="1" applyAlignment="1" applyProtection="1">
      <alignment vertical="center"/>
      <protection locked="0" hidden="1"/>
    </xf>
    <xf numFmtId="9" fontId="11" fillId="0" borderId="0" xfId="0" applyNumberFormat="1" applyFont="1" applyAlignment="1" applyProtection="1">
      <alignment vertical="center"/>
      <protection locked="0" hidden="1"/>
    </xf>
    <xf numFmtId="9" fontId="11" fillId="0" borderId="0" xfId="2" applyFont="1" applyFill="1" applyAlignment="1" applyProtection="1">
      <alignment horizontal="center" vertical="center"/>
      <protection locked="0" hidden="1"/>
    </xf>
    <xf numFmtId="166" fontId="17" fillId="0" borderId="0" xfId="0" applyNumberFormat="1" applyFont="1" applyAlignment="1" applyProtection="1">
      <alignment vertical="center"/>
      <protection locked="0" hidden="1"/>
    </xf>
    <xf numFmtId="164" fontId="14" fillId="0" borderId="0" xfId="1" applyNumberFormat="1" applyFont="1" applyAlignment="1" applyProtection="1">
      <alignment vertical="center"/>
      <protection locked="0" hidden="1"/>
    </xf>
    <xf numFmtId="164" fontId="25" fillId="0" borderId="0" xfId="0" applyNumberFormat="1" applyFont="1" applyAlignment="1" applyProtection="1">
      <alignment vertical="center"/>
      <protection locked="0" hidden="1"/>
    </xf>
    <xf numFmtId="0" fontId="17" fillId="0" borderId="0" xfId="0" applyFont="1" applyAlignment="1" applyProtection="1">
      <alignment horizontal="center" vertical="center"/>
      <protection locked="0" hidden="1"/>
    </xf>
    <xf numFmtId="9" fontId="17" fillId="0" borderId="0" xfId="2" applyFont="1" applyAlignment="1" applyProtection="1">
      <alignment horizontal="center" vertical="center"/>
      <protection locked="0" hidden="1"/>
    </xf>
    <xf numFmtId="0" fontId="0" fillId="0" borderId="0" xfId="0" applyProtection="1">
      <protection locked="0" hidden="1"/>
    </xf>
    <xf numFmtId="0" fontId="12" fillId="4" borderId="14" xfId="0" applyFont="1" applyFill="1" applyBorder="1" applyAlignment="1" applyProtection="1">
      <alignment vertical="center"/>
      <protection locked="0" hidden="1"/>
    </xf>
    <xf numFmtId="0" fontId="0" fillId="0" borderId="0" xfId="0" applyAlignment="1" applyProtection="1">
      <alignment vertical="center"/>
      <protection locked="0" hidden="1"/>
    </xf>
    <xf numFmtId="0" fontId="15" fillId="0" borderId="0" xfId="0" applyFont="1" applyAlignment="1" applyProtection="1">
      <alignment vertical="center"/>
      <protection locked="0" hidden="1"/>
    </xf>
    <xf numFmtId="0" fontId="12" fillId="0" borderId="11" xfId="0" applyFont="1" applyBorder="1" applyAlignment="1" applyProtection="1">
      <alignment vertical="center"/>
      <protection locked="0" hidden="1"/>
    </xf>
    <xf numFmtId="9" fontId="11" fillId="0" borderId="0" xfId="2" applyFont="1" applyBorder="1" applyAlignment="1" applyProtection="1">
      <alignment vertical="center"/>
      <protection locked="0" hidden="1"/>
    </xf>
    <xf numFmtId="0" fontId="11" fillId="0" borderId="0" xfId="0" applyFont="1" applyProtection="1">
      <protection locked="0" hidden="1"/>
    </xf>
    <xf numFmtId="9" fontId="11" fillId="0" borderId="0" xfId="2" applyFont="1" applyAlignment="1" applyProtection="1">
      <alignment vertical="center"/>
      <protection locked="0" hidden="1"/>
    </xf>
    <xf numFmtId="0" fontId="22" fillId="0" borderId="0" xfId="0" applyFont="1" applyAlignment="1" applyProtection="1">
      <alignment vertical="center"/>
      <protection locked="0" hidden="1"/>
    </xf>
    <xf numFmtId="168" fontId="17" fillId="0" borderId="16" xfId="0" applyNumberFormat="1" applyFont="1" applyBorder="1" applyAlignment="1" applyProtection="1">
      <alignment vertical="center"/>
      <protection locked="0" hidden="1"/>
    </xf>
    <xf numFmtId="164" fontId="17" fillId="0" borderId="16" xfId="1" applyNumberFormat="1" applyFont="1" applyFill="1" applyBorder="1" applyAlignment="1" applyProtection="1">
      <alignment vertical="center"/>
      <protection locked="0" hidden="1"/>
    </xf>
    <xf numFmtId="166" fontId="17" fillId="0" borderId="14" xfId="0" applyNumberFormat="1" applyFont="1" applyBorder="1" applyAlignment="1" applyProtection="1">
      <alignment vertical="center"/>
      <protection locked="0" hidden="1"/>
    </xf>
    <xf numFmtId="164" fontId="18" fillId="0" borderId="0" xfId="1" applyNumberFormat="1" applyFont="1" applyAlignment="1" applyProtection="1">
      <alignment vertical="center"/>
      <protection locked="0" hidden="1"/>
    </xf>
    <xf numFmtId="0" fontId="17" fillId="0" borderId="16" xfId="0" applyFont="1" applyBorder="1" applyAlignment="1" applyProtection="1">
      <alignment vertical="center"/>
      <protection locked="0" hidden="1"/>
    </xf>
    <xf numFmtId="0" fontId="16" fillId="0" borderId="0" xfId="0" applyFont="1" applyAlignment="1" applyProtection="1">
      <alignment vertical="center"/>
      <protection locked="0" hidden="1"/>
    </xf>
    <xf numFmtId="0" fontId="19" fillId="0" borderId="0" xfId="0" applyFont="1" applyAlignment="1" applyProtection="1">
      <alignment vertical="center"/>
      <protection locked="0" hidden="1"/>
    </xf>
    <xf numFmtId="0" fontId="11" fillId="0" borderId="0" xfId="0" applyFont="1" applyAlignment="1" applyProtection="1">
      <alignment horizontal="left" vertical="center"/>
      <protection locked="0" hidden="1"/>
    </xf>
    <xf numFmtId="165" fontId="17" fillId="0" borderId="16" xfId="2" applyNumberFormat="1" applyFont="1" applyFill="1" applyBorder="1" applyAlignment="1" applyProtection="1">
      <alignment vertical="center"/>
      <protection locked="0" hidden="1"/>
    </xf>
    <xf numFmtId="0" fontId="5" fillId="0" borderId="0" xfId="0" applyFont="1" applyAlignment="1" applyProtection="1">
      <alignment vertical="center"/>
      <protection locked="0" hidden="1"/>
    </xf>
    <xf numFmtId="0" fontId="6" fillId="0" borderId="0" xfId="0" applyFont="1" applyAlignment="1" applyProtection="1">
      <alignment horizontal="right" vertical="center"/>
      <protection locked="0" hidden="1"/>
    </xf>
    <xf numFmtId="0" fontId="8" fillId="3" borderId="0" xfId="0" applyFont="1" applyFill="1" applyAlignment="1" applyProtection="1">
      <alignment vertical="center"/>
      <protection locked="0" hidden="1"/>
    </xf>
    <xf numFmtId="0" fontId="12" fillId="3" borderId="0" xfId="0" applyFont="1" applyFill="1" applyAlignment="1" applyProtection="1">
      <alignment horizontal="center" vertical="center"/>
      <protection locked="0" hidden="1"/>
    </xf>
    <xf numFmtId="0" fontId="12" fillId="3" borderId="0" xfId="0" applyFont="1" applyFill="1" applyAlignment="1" applyProtection="1">
      <alignment horizontal="center" vertical="center" wrapText="1"/>
      <protection locked="0" hidden="1"/>
    </xf>
    <xf numFmtId="0" fontId="13" fillId="0" borderId="6" xfId="0" applyFont="1" applyBorder="1" applyAlignment="1" applyProtection="1">
      <alignment vertical="center"/>
      <protection locked="0" hidden="1"/>
    </xf>
    <xf numFmtId="0" fontId="7" fillId="3" borderId="0" xfId="0" applyFont="1" applyFill="1" applyAlignment="1" applyProtection="1">
      <alignment vertical="center"/>
      <protection locked="0" hidden="1"/>
    </xf>
    <xf numFmtId="166" fontId="17" fillId="0" borderId="16" xfId="0" applyNumberFormat="1" applyFont="1" applyBorder="1" applyAlignment="1" applyProtection="1">
      <alignment vertical="center"/>
      <protection locked="0" hidden="1"/>
    </xf>
    <xf numFmtId="9" fontId="17" fillId="0" borderId="16" xfId="2" applyFont="1" applyFill="1" applyBorder="1" applyAlignment="1" applyProtection="1">
      <alignment vertical="center"/>
      <protection locked="0" hidden="1"/>
    </xf>
    <xf numFmtId="165" fontId="17" fillId="0" borderId="16" xfId="0" applyNumberFormat="1" applyFont="1" applyBorder="1" applyAlignment="1" applyProtection="1">
      <alignment vertical="center"/>
      <protection locked="0" hidden="1"/>
    </xf>
    <xf numFmtId="9" fontId="17" fillId="0" borderId="16" xfId="0" applyNumberFormat="1" applyFont="1" applyBorder="1" applyAlignment="1" applyProtection="1">
      <alignment vertical="center"/>
      <protection locked="0" hidden="1"/>
    </xf>
    <xf numFmtId="10" fontId="25" fillId="0" borderId="0" xfId="2" applyNumberFormat="1" applyFont="1" applyAlignment="1" applyProtection="1">
      <alignment vertical="center"/>
      <protection locked="0" hidden="1"/>
    </xf>
    <xf numFmtId="9" fontId="14" fillId="0" borderId="0" xfId="2" applyFont="1" applyAlignment="1" applyProtection="1">
      <alignment vertical="center"/>
      <protection locked="0" hidden="1"/>
    </xf>
    <xf numFmtId="0" fontId="26" fillId="0" borderId="0" xfId="0" applyFont="1" applyAlignment="1" applyProtection="1">
      <alignment vertical="center"/>
      <protection locked="0" hidden="1"/>
    </xf>
    <xf numFmtId="170" fontId="17" fillId="0" borderId="0" xfId="0" applyNumberFormat="1" applyFont="1" applyAlignment="1" applyProtection="1">
      <alignment vertical="center"/>
      <protection locked="0" hidden="1"/>
    </xf>
    <xf numFmtId="9" fontId="17" fillId="0" borderId="0" xfId="2" applyFont="1" applyAlignment="1" applyProtection="1">
      <alignment vertical="center"/>
      <protection locked="0" hidden="1"/>
    </xf>
    <xf numFmtId="0" fontId="19" fillId="0" borderId="0" xfId="0" applyFont="1" applyAlignment="1" applyProtection="1">
      <alignment horizontal="left" vertical="center" indent="4"/>
      <protection locked="0" hidden="1"/>
    </xf>
    <xf numFmtId="0" fontId="11" fillId="0" borderId="0" xfId="0" applyFont="1" applyAlignment="1" applyProtection="1">
      <alignment horizontal="left" vertical="center" indent="2"/>
      <protection locked="0" hidden="1"/>
    </xf>
    <xf numFmtId="0" fontId="15" fillId="0" borderId="0" xfId="0" applyFont="1" applyAlignment="1" applyProtection="1">
      <alignment horizontal="left" vertical="center"/>
      <protection locked="0" hidden="1"/>
    </xf>
    <xf numFmtId="0" fontId="15" fillId="0" borderId="0" xfId="1" applyNumberFormat="1" applyFont="1" applyFill="1" applyBorder="1" applyAlignment="1" applyProtection="1">
      <alignment horizontal="center" vertical="center"/>
      <protection locked="0" hidden="1"/>
    </xf>
    <xf numFmtId="166" fontId="15" fillId="0" borderId="0" xfId="1" applyNumberFormat="1" applyFont="1" applyFill="1" applyAlignment="1" applyProtection="1">
      <alignment horizontal="center" vertical="center"/>
      <protection locked="0" hidden="1"/>
    </xf>
    <xf numFmtId="0" fontId="23" fillId="0" borderId="0" xfId="0" applyFont="1" applyAlignment="1" applyProtection="1">
      <alignment vertical="center"/>
      <protection locked="0" hidden="1"/>
    </xf>
    <xf numFmtId="0" fontId="11" fillId="0" borderId="16" xfId="0" applyFont="1" applyBorder="1" applyAlignment="1" applyProtection="1">
      <alignment horizontal="left" vertical="center" indent="2"/>
      <protection locked="0" hidden="1"/>
    </xf>
    <xf numFmtId="0" fontId="15" fillId="0" borderId="16" xfId="0" applyFont="1" applyBorder="1" applyAlignment="1" applyProtection="1">
      <alignment horizontal="left" vertical="center"/>
      <protection locked="0" hidden="1"/>
    </xf>
    <xf numFmtId="165" fontId="11" fillId="0" borderId="0" xfId="2" applyNumberFormat="1" applyFont="1" applyFill="1" applyAlignment="1" applyProtection="1">
      <alignment horizontal="center" vertical="center"/>
      <protection locked="0" hidden="1"/>
    </xf>
    <xf numFmtId="169" fontId="11" fillId="0" borderId="0" xfId="2" applyNumberFormat="1" applyFont="1" applyFill="1" applyAlignment="1" applyProtection="1">
      <alignment horizontal="center" vertical="center"/>
      <protection locked="0" hidden="1"/>
    </xf>
    <xf numFmtId="0" fontId="15" fillId="0" borderId="12" xfId="0" applyFont="1" applyBorder="1" applyAlignment="1" applyProtection="1">
      <alignment horizontal="left" vertical="center"/>
      <protection locked="0" hidden="1"/>
    </xf>
    <xf numFmtId="0" fontId="14" fillId="5" borderId="0" xfId="1" applyNumberFormat="1" applyFont="1" applyFill="1" applyAlignment="1" applyProtection="1">
      <alignment horizontal="center" vertical="center"/>
      <protection locked="0" hidden="1"/>
    </xf>
    <xf numFmtId="166" fontId="11" fillId="0" borderId="0" xfId="0" applyNumberFormat="1" applyFont="1" applyAlignment="1" applyProtection="1">
      <alignment horizontal="center" vertical="center"/>
      <protection locked="0" hidden="1"/>
    </xf>
    <xf numFmtId="164" fontId="16" fillId="0" borderId="0" xfId="0" applyNumberFormat="1" applyFont="1" applyAlignment="1" applyProtection="1">
      <alignment vertical="center"/>
      <protection locked="0" hidden="1"/>
    </xf>
    <xf numFmtId="165" fontId="14" fillId="0" borderId="0" xfId="2" applyNumberFormat="1" applyFont="1" applyAlignment="1" applyProtection="1">
      <alignment vertical="center"/>
      <protection locked="0" hidden="1"/>
    </xf>
    <xf numFmtId="0" fontId="25" fillId="0" borderId="0" xfId="0" applyFont="1" applyAlignment="1" applyProtection="1">
      <alignment horizontal="left" vertical="center"/>
      <protection locked="0" hidden="1"/>
    </xf>
    <xf numFmtId="0" fontId="30" fillId="0" borderId="0" xfId="0" applyFont="1" applyAlignment="1" applyProtection="1">
      <alignment vertical="center"/>
      <protection locked="0" hidden="1"/>
    </xf>
    <xf numFmtId="49" fontId="2" fillId="0" borderId="0" xfId="0" applyNumberFormat="1" applyFont="1" applyAlignment="1" applyProtection="1">
      <alignment horizontal="left" vertical="center"/>
      <protection locked="0" hidden="1"/>
    </xf>
    <xf numFmtId="172" fontId="22" fillId="0" borderId="0" xfId="0" applyNumberFormat="1" applyFont="1" applyAlignment="1" applyProtection="1">
      <alignment vertical="center"/>
      <protection locked="0" hidden="1"/>
    </xf>
    <xf numFmtId="0" fontId="11" fillId="0" borderId="0" xfId="0" applyFont="1" applyAlignment="1">
      <alignment vertical="center"/>
    </xf>
    <xf numFmtId="0" fontId="2" fillId="0" borderId="0" xfId="0" applyFont="1" applyAlignment="1" applyProtection="1">
      <alignment horizontal="right" vertical="center"/>
      <protection locked="0" hidden="1"/>
    </xf>
    <xf numFmtId="0" fontId="10" fillId="0" borderId="0" xfId="0" applyFont="1" applyAlignment="1" applyProtection="1">
      <alignment horizontal="center" vertical="center"/>
      <protection locked="0" hidden="1"/>
    </xf>
    <xf numFmtId="0" fontId="2" fillId="0" borderId="8" xfId="0" applyFont="1" applyBorder="1" applyAlignment="1" applyProtection="1">
      <alignment vertical="center"/>
      <protection locked="0" hidden="1"/>
    </xf>
    <xf numFmtId="0" fontId="14" fillId="0" borderId="0" xfId="0" applyFont="1" applyAlignment="1" applyProtection="1">
      <alignment vertical="center"/>
      <protection locked="0"/>
    </xf>
    <xf numFmtId="14" fontId="11" fillId="0" borderId="0" xfId="0" applyNumberFormat="1" applyFont="1" applyAlignment="1">
      <alignment vertical="center"/>
    </xf>
    <xf numFmtId="0" fontId="0" fillId="0" borderId="0" xfId="0" pivotButton="1"/>
    <xf numFmtId="0" fontId="0" fillId="0" borderId="0" xfId="0" applyAlignment="1">
      <alignment horizontal="left"/>
    </xf>
    <xf numFmtId="9" fontId="19" fillId="0" borderId="0" xfId="2" applyFont="1" applyAlignment="1" applyProtection="1">
      <alignment horizontal="left" vertical="center" indent="2"/>
      <protection locked="0" hidden="1"/>
    </xf>
    <xf numFmtId="9" fontId="19" fillId="0" borderId="0" xfId="2" applyFont="1" applyAlignment="1" applyProtection="1">
      <alignment vertical="center"/>
      <protection locked="0" hidden="1"/>
    </xf>
    <xf numFmtId="9" fontId="11" fillId="0" borderId="0" xfId="2" applyFont="1" applyFill="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5" fillId="0" borderId="0" xfId="1" applyNumberFormat="1" applyFont="1" applyFill="1" applyBorder="1" applyAlignment="1" applyProtection="1">
      <alignment horizontal="right" vertical="center"/>
      <protection locked="0" hidden="1"/>
    </xf>
    <xf numFmtId="164" fontId="25" fillId="0" borderId="0" xfId="1" applyNumberFormat="1" applyFont="1" applyFill="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7" fillId="0" borderId="0" xfId="0" applyFont="1" applyAlignment="1" applyProtection="1">
      <alignment horizontal="right" vertical="center"/>
      <protection locked="0" hidden="1"/>
    </xf>
    <xf numFmtId="164" fontId="11" fillId="0" borderId="0" xfId="1" applyNumberFormat="1" applyFont="1" applyFill="1" applyBorder="1" applyAlignment="1" applyProtection="1">
      <alignment horizontal="right" vertical="center"/>
      <protection locked="0" hidden="1"/>
    </xf>
    <xf numFmtId="164" fontId="21" fillId="0" borderId="0" xfId="1" applyNumberFormat="1" applyFont="1" applyFill="1" applyBorder="1" applyAlignment="1" applyProtection="1">
      <alignment horizontal="right" vertical="center"/>
      <protection locked="0" hidden="1"/>
    </xf>
    <xf numFmtId="9" fontId="19" fillId="0" borderId="0" xfId="2" applyFont="1" applyAlignment="1" applyProtection="1">
      <alignment horizontal="right" vertical="center"/>
      <protection locked="0" hidden="1"/>
    </xf>
    <xf numFmtId="164" fontId="11" fillId="0" borderId="0" xfId="2" applyNumberFormat="1" applyFont="1" applyFill="1" applyAlignment="1" applyProtection="1">
      <alignment horizontal="right" vertical="center"/>
      <protection locked="0" hidden="1"/>
    </xf>
    <xf numFmtId="164" fontId="19" fillId="0" borderId="0" xfId="2" applyNumberFormat="1" applyFont="1" applyAlignment="1" applyProtection="1">
      <alignment horizontal="right" vertical="center"/>
      <protection locked="0" hidden="1"/>
    </xf>
    <xf numFmtId="0" fontId="11" fillId="0" borderId="0" xfId="0" applyFont="1" applyAlignment="1" applyProtection="1">
      <alignment vertical="center"/>
      <protection locked="0"/>
    </xf>
    <xf numFmtId="49" fontId="5" fillId="0" borderId="0" xfId="0" applyNumberFormat="1" applyFont="1" applyAlignment="1" applyProtection="1">
      <alignment vertical="center"/>
      <protection locked="0" hidden="1"/>
    </xf>
    <xf numFmtId="164" fontId="11" fillId="0" borderId="0" xfId="1" applyNumberFormat="1" applyFont="1" applyProtection="1">
      <protection locked="0" hidden="1"/>
    </xf>
    <xf numFmtId="164" fontId="17" fillId="0" borderId="0" xfId="1" applyNumberFormat="1" applyFont="1" applyBorder="1" applyAlignment="1" applyProtection="1">
      <alignment vertical="center"/>
      <protection locked="0" hidden="1"/>
    </xf>
    <xf numFmtId="168" fontId="17" fillId="0" borderId="16" xfId="1" applyNumberFormat="1" applyFont="1" applyFill="1" applyBorder="1" applyAlignment="1" applyProtection="1">
      <alignment vertical="center"/>
      <protection locked="0" hidden="1"/>
    </xf>
    <xf numFmtId="9" fontId="11" fillId="0" borderId="14" xfId="2" applyFont="1" applyBorder="1" applyAlignment="1" applyProtection="1">
      <alignment horizontal="center" vertical="center"/>
      <protection locked="0" hidden="1"/>
    </xf>
    <xf numFmtId="9" fontId="14" fillId="0" borderId="16" xfId="2" applyFont="1" applyBorder="1" applyAlignment="1" applyProtection="1">
      <alignment vertical="center"/>
      <protection locked="0" hidden="1"/>
    </xf>
    <xf numFmtId="9" fontId="18" fillId="0" borderId="0" xfId="2" applyFont="1" applyAlignment="1" applyProtection="1">
      <alignment vertical="center"/>
      <protection locked="0" hidden="1"/>
    </xf>
    <xf numFmtId="164" fontId="17" fillId="0" borderId="16" xfId="1" applyNumberFormat="1" applyFont="1" applyBorder="1" applyAlignment="1" applyProtection="1">
      <alignment vertical="center"/>
      <protection locked="0" hidden="1"/>
    </xf>
    <xf numFmtId="14" fontId="11" fillId="0" borderId="0" xfId="0" applyNumberFormat="1" applyFont="1" applyProtection="1">
      <protection locked="0" hidden="1"/>
    </xf>
    <xf numFmtId="165" fontId="33" fillId="0" borderId="0" xfId="2" applyNumberFormat="1" applyFont="1" applyFill="1" applyAlignment="1" applyProtection="1">
      <alignment horizontal="right" vertical="center"/>
      <protection locked="0" hidden="1"/>
    </xf>
    <xf numFmtId="10" fontId="33" fillId="0" borderId="0" xfId="2" applyNumberFormat="1" applyFont="1" applyFill="1" applyAlignment="1" applyProtection="1">
      <alignment horizontal="right" vertical="center"/>
      <protection locked="0" hidden="1"/>
    </xf>
    <xf numFmtId="9" fontId="11" fillId="0" borderId="0" xfId="2" applyFont="1" applyFill="1" applyAlignment="1" applyProtection="1">
      <alignment horizontal="left" vertical="center"/>
      <protection locked="0" hidden="1"/>
    </xf>
    <xf numFmtId="9" fontId="33" fillId="0" borderId="0" xfId="2" applyFont="1" applyFill="1" applyAlignment="1" applyProtection="1">
      <alignment horizontal="right" vertical="center"/>
      <protection locked="0" hidden="1"/>
    </xf>
    <xf numFmtId="0" fontId="23" fillId="0" borderId="0" xfId="0" applyFont="1" applyAlignment="1" applyProtection="1">
      <alignment horizontal="left" vertical="center"/>
      <protection locked="0" hidden="1"/>
    </xf>
    <xf numFmtId="164" fontId="23" fillId="0" borderId="0" xfId="1" applyNumberFormat="1" applyFont="1" applyFill="1" applyAlignment="1" applyProtection="1">
      <alignment horizontal="right" vertical="center"/>
      <protection locked="0" hidden="1"/>
    </xf>
    <xf numFmtId="10" fontId="25" fillId="0" borderId="0" xfId="2" applyNumberFormat="1" applyFont="1" applyFill="1" applyAlignment="1" applyProtection="1">
      <alignment horizontal="right" vertical="center"/>
      <protection locked="0" hidden="1"/>
    </xf>
    <xf numFmtId="165" fontId="19" fillId="0" borderId="0" xfId="2" applyNumberFormat="1" applyFont="1" applyFill="1" applyBorder="1" applyAlignment="1" applyProtection="1">
      <alignment horizontal="right" vertical="center"/>
      <protection locked="0" hidden="1"/>
    </xf>
    <xf numFmtId="0" fontId="11" fillId="6" borderId="0" xfId="0" applyFont="1" applyFill="1" applyAlignment="1" applyProtection="1">
      <alignment vertical="center"/>
      <protection locked="0" hidden="1"/>
    </xf>
    <xf numFmtId="0" fontId="11" fillId="6" borderId="0" xfId="0" applyFont="1" applyFill="1" applyProtection="1">
      <protection locked="0" hidden="1"/>
    </xf>
    <xf numFmtId="0" fontId="14" fillId="6" borderId="0" xfId="0" applyFont="1" applyFill="1" applyAlignment="1" applyProtection="1">
      <alignment vertical="center"/>
      <protection locked="0" hidden="1"/>
    </xf>
    <xf numFmtId="9" fontId="11" fillId="6" borderId="0" xfId="2" applyFont="1" applyFill="1" applyProtection="1">
      <protection locked="0" hidden="1"/>
    </xf>
    <xf numFmtId="0" fontId="0" fillId="6" borderId="0" xfId="0" applyFill="1" applyProtection="1">
      <protection locked="0" hidden="1"/>
    </xf>
    <xf numFmtId="0" fontId="14" fillId="6" borderId="0" xfId="0" applyFont="1" applyFill="1" applyProtection="1">
      <protection locked="0" hidden="1"/>
    </xf>
    <xf numFmtId="165" fontId="14" fillId="6" borderId="0" xfId="2" applyNumberFormat="1" applyFont="1" applyFill="1" applyAlignment="1" applyProtection="1">
      <alignment vertical="center"/>
      <protection locked="0" hidden="1"/>
    </xf>
    <xf numFmtId="0" fontId="35" fillId="6" borderId="0" xfId="0" applyFont="1" applyFill="1" applyProtection="1">
      <protection locked="0" hidden="1"/>
    </xf>
    <xf numFmtId="0" fontId="35" fillId="6" borderId="0" xfId="0" applyFont="1" applyFill="1" applyAlignment="1" applyProtection="1">
      <alignment vertical="center"/>
      <protection locked="0" hidden="1"/>
    </xf>
    <xf numFmtId="9" fontId="35" fillId="6" borderId="0" xfId="2" applyFont="1" applyFill="1" applyProtection="1">
      <protection locked="0" hidden="1"/>
    </xf>
    <xf numFmtId="164" fontId="35" fillId="6" borderId="0" xfId="1" applyNumberFormat="1" applyFont="1" applyFill="1" applyProtection="1">
      <protection locked="0" hidden="1"/>
    </xf>
    <xf numFmtId="164" fontId="35" fillId="6" borderId="0" xfId="0" applyNumberFormat="1" applyFont="1" applyFill="1" applyProtection="1">
      <protection locked="0" hidden="1"/>
    </xf>
    <xf numFmtId="0" fontId="35" fillId="6" borderId="0" xfId="0" quotePrefix="1" applyFont="1" applyFill="1" applyAlignment="1" applyProtection="1">
      <alignment vertical="center"/>
      <protection locked="0" hidden="1"/>
    </xf>
    <xf numFmtId="164" fontId="35" fillId="6" borderId="0" xfId="1" applyNumberFormat="1" applyFont="1" applyFill="1" applyAlignment="1" applyProtection="1">
      <alignment vertical="center"/>
      <protection locked="0" hidden="1"/>
    </xf>
    <xf numFmtId="165" fontId="35" fillId="6" borderId="0" xfId="2" applyNumberFormat="1" applyFont="1" applyFill="1" applyAlignment="1" applyProtection="1">
      <alignment vertical="center"/>
      <protection locked="0" hidden="1"/>
    </xf>
    <xf numFmtId="14" fontId="35" fillId="6" borderId="0" xfId="0" applyNumberFormat="1" applyFont="1" applyFill="1" applyProtection="1">
      <protection locked="0" hidden="1"/>
    </xf>
    <xf numFmtId="14" fontId="35" fillId="6" borderId="0" xfId="1" applyNumberFormat="1" applyFont="1" applyFill="1" applyProtection="1">
      <protection locked="0" hidden="1"/>
    </xf>
    <xf numFmtId="9" fontId="14" fillId="6" borderId="0" xfId="2" applyFont="1" applyFill="1" applyProtection="1">
      <protection locked="0" hidden="1"/>
    </xf>
    <xf numFmtId="164" fontId="17" fillId="6" borderId="0" xfId="1" applyNumberFormat="1" applyFont="1" applyFill="1" applyAlignment="1" applyProtection="1">
      <alignment vertical="center"/>
      <protection locked="0" hidden="1"/>
    </xf>
    <xf numFmtId="9" fontId="17" fillId="6" borderId="0" xfId="2" applyFont="1" applyFill="1" applyAlignment="1" applyProtection="1">
      <alignment vertical="center"/>
      <protection locked="0" hidden="1"/>
    </xf>
    <xf numFmtId="165" fontId="17" fillId="6" borderId="0" xfId="2" applyNumberFormat="1" applyFont="1" applyFill="1" applyAlignment="1" applyProtection="1">
      <alignment vertical="center"/>
      <protection locked="0" hidden="1"/>
    </xf>
    <xf numFmtId="10" fontId="17" fillId="6" borderId="0" xfId="2" applyNumberFormat="1" applyFont="1" applyFill="1" applyAlignment="1" applyProtection="1">
      <alignment vertical="center"/>
      <protection locked="0" hidden="1"/>
    </xf>
    <xf numFmtId="0" fontId="39" fillId="6" borderId="0" xfId="0" applyFont="1" applyFill="1" applyAlignment="1" applyProtection="1">
      <alignment horizontal="center" vertical="center"/>
      <protection locked="0" hidden="1"/>
    </xf>
    <xf numFmtId="0" fontId="40" fillId="6" borderId="0" xfId="0" applyFont="1" applyFill="1" applyAlignment="1" applyProtection="1">
      <alignment horizontal="center" vertical="center"/>
      <protection locked="0" hidden="1"/>
    </xf>
    <xf numFmtId="9" fontId="40" fillId="5" borderId="0" xfId="2" applyFont="1" applyFill="1" applyAlignment="1" applyProtection="1">
      <alignment horizontal="center" vertical="center"/>
      <protection locked="0" hidden="1"/>
    </xf>
    <xf numFmtId="165" fontId="40" fillId="5" borderId="0" xfId="2" applyNumberFormat="1" applyFont="1" applyFill="1" applyAlignment="1" applyProtection="1">
      <alignment horizontal="center" vertical="center"/>
      <protection locked="0" hidden="1"/>
    </xf>
    <xf numFmtId="167" fontId="11" fillId="0" borderId="0" xfId="0" applyNumberFormat="1" applyFont="1" applyAlignment="1" applyProtection="1">
      <alignment vertical="center"/>
      <protection locked="0"/>
    </xf>
    <xf numFmtId="164" fontId="17" fillId="6" borderId="0" xfId="1" applyNumberFormat="1" applyFont="1" applyFill="1" applyProtection="1">
      <protection locked="0" hidden="1"/>
    </xf>
    <xf numFmtId="0" fontId="17" fillId="6" borderId="0" xfId="0" applyFont="1" applyFill="1" applyProtection="1">
      <protection locked="0" hidden="1"/>
    </xf>
    <xf numFmtId="9" fontId="17" fillId="6" borderId="0" xfId="2" applyFont="1" applyFill="1" applyProtection="1">
      <protection locked="0" hidden="1"/>
    </xf>
    <xf numFmtId="9" fontId="35" fillId="6" borderId="0" xfId="2" applyFont="1" applyFill="1" applyAlignment="1" applyProtection="1">
      <alignment vertical="center"/>
      <protection locked="0" hidden="1"/>
    </xf>
    <xf numFmtId="164" fontId="35" fillId="6" borderId="0" xfId="0" applyNumberFormat="1" applyFont="1" applyFill="1" applyAlignment="1" applyProtection="1">
      <alignment vertical="center"/>
      <protection locked="0" hidden="1"/>
    </xf>
    <xf numFmtId="0" fontId="17" fillId="6" borderId="0" xfId="0" applyFont="1" applyFill="1" applyAlignment="1" applyProtection="1">
      <alignment vertical="center"/>
      <protection locked="0" hidden="1"/>
    </xf>
    <xf numFmtId="167" fontId="17" fillId="6" borderId="0" xfId="0" applyNumberFormat="1" applyFont="1" applyFill="1" applyAlignment="1" applyProtection="1">
      <alignment vertical="center"/>
      <protection locked="0" hidden="1"/>
    </xf>
    <xf numFmtId="1" fontId="35" fillId="6" borderId="0" xfId="0" applyNumberFormat="1" applyFont="1" applyFill="1" applyAlignment="1" applyProtection="1">
      <alignment vertical="center"/>
      <protection locked="0" hidden="1"/>
    </xf>
    <xf numFmtId="14" fontId="35" fillId="6" borderId="0" xfId="0" applyNumberFormat="1" applyFont="1" applyFill="1" applyAlignment="1" applyProtection="1">
      <alignment vertical="center"/>
      <protection locked="0" hidden="1"/>
    </xf>
    <xf numFmtId="0" fontId="35" fillId="6" borderId="0" xfId="1" applyNumberFormat="1" applyFont="1" applyFill="1" applyAlignment="1" applyProtection="1">
      <alignment vertical="center"/>
      <protection locked="0" hidden="1"/>
    </xf>
    <xf numFmtId="43" fontId="35" fillId="6" borderId="0" xfId="1" applyFont="1" applyFill="1" applyAlignment="1" applyProtection="1">
      <alignment vertical="center"/>
      <protection locked="0" hidden="1"/>
    </xf>
    <xf numFmtId="170" fontId="17" fillId="0" borderId="14" xfId="0" applyNumberFormat="1" applyFont="1" applyBorder="1" applyAlignment="1" applyProtection="1">
      <alignment vertical="center"/>
      <protection locked="0" hidden="1"/>
    </xf>
    <xf numFmtId="0" fontId="0" fillId="0" borderId="0" xfId="0" applyAlignment="1">
      <alignment vertical="center"/>
    </xf>
    <xf numFmtId="0" fontId="0" fillId="0" borderId="0" xfId="0" applyAlignment="1" applyProtection="1">
      <alignment vertical="center"/>
      <protection locked="0"/>
    </xf>
    <xf numFmtId="0" fontId="15" fillId="0" borderId="0" xfId="0" applyFont="1" applyAlignment="1" applyProtection="1">
      <alignment vertical="center"/>
      <protection locked="0"/>
    </xf>
    <xf numFmtId="0" fontId="12" fillId="0" borderId="11" xfId="0" applyFont="1" applyBorder="1" applyAlignment="1" applyProtection="1">
      <alignment vertical="center"/>
      <protection locked="0"/>
    </xf>
    <xf numFmtId="0" fontId="12" fillId="4" borderId="15" xfId="0" applyFont="1" applyFill="1" applyBorder="1" applyAlignment="1" applyProtection="1">
      <alignment vertical="center"/>
      <protection locked="0"/>
    </xf>
    <xf numFmtId="0" fontId="12" fillId="0" borderId="0" xfId="0" applyFont="1" applyAlignment="1" applyProtection="1">
      <alignment vertical="center"/>
      <protection locked="0"/>
    </xf>
    <xf numFmtId="0" fontId="11" fillId="0" borderId="0" xfId="0" applyFont="1" applyProtection="1">
      <protection locked="0"/>
    </xf>
    <xf numFmtId="9" fontId="11" fillId="0" borderId="16" xfId="2" applyFont="1" applyFill="1" applyBorder="1" applyAlignment="1" applyProtection="1">
      <alignment vertical="center"/>
      <protection locked="0" hidden="1"/>
    </xf>
    <xf numFmtId="49" fontId="11" fillId="0" borderId="16" xfId="1" applyNumberFormat="1" applyFont="1" applyFill="1" applyBorder="1" applyAlignment="1" applyProtection="1">
      <alignment horizontal="left" vertical="center"/>
      <protection locked="0" hidden="1"/>
    </xf>
    <xf numFmtId="49" fontId="11" fillId="0" borderId="12" xfId="1" applyNumberFormat="1" applyFont="1" applyFill="1" applyBorder="1" applyAlignment="1" applyProtection="1">
      <alignment horizontal="left" vertical="center"/>
      <protection locked="0" hidden="1"/>
    </xf>
    <xf numFmtId="10" fontId="35" fillId="6" borderId="0" xfId="2" applyNumberFormat="1" applyFont="1" applyFill="1" applyAlignment="1" applyProtection="1">
      <alignment vertical="center"/>
      <protection locked="0" hidden="1"/>
    </xf>
    <xf numFmtId="166" fontId="17" fillId="0" borderId="14" xfId="0" applyNumberFormat="1" applyFont="1" applyBorder="1" applyAlignment="1">
      <alignment vertical="center"/>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5" fillId="0" borderId="0" xfId="0" applyNumberFormat="1" applyFont="1" applyAlignment="1" applyProtection="1">
      <alignment vertical="center"/>
      <protection locked="0"/>
    </xf>
    <xf numFmtId="0" fontId="4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hidden="1"/>
    </xf>
    <xf numFmtId="0" fontId="1" fillId="0" borderId="0" xfId="0" applyFont="1" applyAlignment="1">
      <alignment horizontal="left" vertical="center"/>
    </xf>
    <xf numFmtId="0" fontId="38"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73" fontId="1" fillId="0" borderId="0" xfId="0" applyNumberFormat="1" applyFont="1" applyAlignment="1">
      <alignment horizontal="left" vertical="center"/>
    </xf>
    <xf numFmtId="173" fontId="0" fillId="0" borderId="0" xfId="0" applyNumberFormat="1" applyAlignment="1">
      <alignment horizontal="left"/>
    </xf>
    <xf numFmtId="49" fontId="4" fillId="0" borderId="0" xfId="0" applyNumberFormat="1" applyFont="1" applyAlignment="1" applyProtection="1">
      <alignment vertical="center"/>
      <protection locked="0"/>
    </xf>
    <xf numFmtId="49" fontId="4" fillId="0" borderId="0" xfId="0" applyNumberFormat="1" applyFont="1" applyAlignment="1" applyProtection="1">
      <alignment horizontal="left" vertical="center"/>
      <protection locked="0"/>
    </xf>
    <xf numFmtId="0" fontId="11" fillId="0" borderId="0" xfId="1" applyNumberFormat="1" applyFont="1" applyProtection="1">
      <protection locked="0" hidden="1"/>
    </xf>
    <xf numFmtId="0" fontId="44" fillId="0" borderId="0" xfId="0" applyFont="1" applyAlignment="1" applyProtection="1">
      <alignment vertical="center"/>
      <protection locked="0" hidden="1"/>
    </xf>
    <xf numFmtId="0" fontId="11" fillId="0" borderId="0" xfId="1" applyNumberFormat="1" applyFont="1" applyFill="1" applyProtection="1">
      <protection locked="0" hidden="1"/>
    </xf>
    <xf numFmtId="0" fontId="38" fillId="6" borderId="0" xfId="0" applyFont="1" applyFill="1" applyProtection="1">
      <protection locked="0" hidden="1"/>
    </xf>
    <xf numFmtId="0" fontId="17" fillId="6" borderId="0" xfId="1" applyNumberFormat="1" applyFont="1" applyFill="1" applyAlignment="1" applyProtection="1">
      <alignment vertical="center"/>
      <protection locked="0" hidden="1"/>
    </xf>
    <xf numFmtId="0" fontId="41" fillId="6" borderId="0" xfId="0" applyFont="1" applyFill="1" applyProtection="1">
      <protection locked="0" hidden="1"/>
    </xf>
    <xf numFmtId="0" fontId="40" fillId="6" borderId="0" xfId="0" applyFont="1" applyFill="1" applyAlignment="1" applyProtection="1">
      <alignment vertical="center"/>
      <protection locked="0" hidden="1"/>
    </xf>
    <xf numFmtId="0" fontId="11" fillId="6" borderId="0" xfId="1" applyNumberFormat="1" applyFont="1" applyFill="1" applyAlignment="1" applyProtection="1">
      <alignment vertical="center"/>
      <protection locked="0" hidden="1"/>
    </xf>
    <xf numFmtId="0" fontId="40" fillId="5" borderId="0" xfId="1" applyNumberFormat="1" applyFont="1" applyFill="1" applyAlignment="1" applyProtection="1">
      <alignment horizontal="center" vertical="center"/>
      <protection locked="0" hidden="1"/>
    </xf>
    <xf numFmtId="0" fontId="17" fillId="6" borderId="0" xfId="1" applyNumberFormat="1" applyFont="1" applyFill="1" applyProtection="1">
      <protection locked="0" hidden="1"/>
    </xf>
    <xf numFmtId="0" fontId="35" fillId="6" borderId="0" xfId="1" applyNumberFormat="1" applyFont="1" applyFill="1" applyProtection="1">
      <protection locked="0" hidden="1"/>
    </xf>
    <xf numFmtId="0" fontId="11" fillId="6" borderId="0" xfId="1" applyNumberFormat="1" applyFont="1" applyFill="1" applyProtection="1">
      <protection locked="0" hidden="1"/>
    </xf>
    <xf numFmtId="0" fontId="11" fillId="5" borderId="0" xfId="1" applyNumberFormat="1" applyFont="1" applyFill="1" applyAlignment="1" applyProtection="1">
      <alignment horizontal="right" vertical="center"/>
      <protection locked="0" hidden="1"/>
    </xf>
    <xf numFmtId="0" fontId="33" fillId="0" borderId="0" xfId="1" applyNumberFormat="1" applyFont="1" applyFill="1" applyAlignment="1" applyProtection="1">
      <alignment horizontal="right" vertical="center"/>
      <protection locked="0" hidden="1"/>
    </xf>
    <xf numFmtId="0" fontId="29" fillId="0" borderId="0" xfId="1" applyNumberFormat="1" applyFont="1" applyFill="1" applyAlignment="1" applyProtection="1">
      <alignment horizontal="right" vertical="center"/>
      <protection locked="0" hidden="1"/>
    </xf>
    <xf numFmtId="0" fontId="34" fillId="0" borderId="0" xfId="1" applyNumberFormat="1" applyFont="1" applyFill="1" applyAlignment="1" applyProtection="1">
      <alignment horizontal="right" vertical="center"/>
      <protection locked="0" hidden="1"/>
    </xf>
    <xf numFmtId="0" fontId="11" fillId="0" borderId="0" xfId="2" applyNumberFormat="1" applyFont="1" applyFill="1" applyAlignment="1" applyProtection="1">
      <alignment horizontal="right" vertical="center"/>
      <protection locked="0" hidden="1"/>
    </xf>
    <xf numFmtId="0" fontId="11" fillId="0" borderId="0" xfId="0" applyFont="1" applyAlignment="1" applyProtection="1">
      <alignment vertical="center" wrapText="1"/>
      <protection locked="0" hidden="1"/>
    </xf>
    <xf numFmtId="0" fontId="11" fillId="0" borderId="0" xfId="1" applyNumberFormat="1" applyFont="1" applyAlignment="1" applyProtection="1">
      <alignment vertical="center"/>
      <protection locked="0" hidden="1"/>
    </xf>
    <xf numFmtId="0" fontId="11" fillId="0" borderId="0" xfId="2" applyNumberFormat="1" applyFont="1" applyAlignment="1" applyProtection="1">
      <alignment vertical="center"/>
      <protection locked="0" hidden="1"/>
    </xf>
    <xf numFmtId="0" fontId="17" fillId="0" borderId="0" xfId="1" applyNumberFormat="1" applyFont="1" applyAlignment="1" applyProtection="1">
      <alignment vertical="center"/>
      <protection locked="0" hidden="1"/>
    </xf>
    <xf numFmtId="0" fontId="14" fillId="0" borderId="0" xfId="1" applyNumberFormat="1" applyFont="1" applyFill="1" applyAlignment="1" applyProtection="1">
      <alignment vertical="center"/>
      <protection locked="0" hidden="1"/>
    </xf>
    <xf numFmtId="0" fontId="17" fillId="0" borderId="0" xfId="1" applyNumberFormat="1" applyFont="1" applyFill="1" applyAlignment="1" applyProtection="1">
      <alignment vertical="center"/>
      <protection locked="0" hidden="1"/>
    </xf>
    <xf numFmtId="0" fontId="14" fillId="0" borderId="0" xfId="1" applyNumberFormat="1" applyFont="1" applyAlignment="1" applyProtection="1">
      <alignment vertical="center"/>
      <protection locked="0" hidden="1"/>
    </xf>
    <xf numFmtId="0" fontId="11" fillId="0" borderId="0" xfId="1" applyNumberFormat="1" applyFont="1" applyFill="1" applyAlignment="1" applyProtection="1">
      <alignment vertical="center"/>
      <protection locked="0" hidden="1"/>
    </xf>
    <xf numFmtId="0" fontId="11" fillId="0" borderId="0" xfId="2" applyNumberFormat="1" applyFont="1" applyFill="1" applyAlignment="1" applyProtection="1">
      <alignment horizontal="center" vertical="center"/>
      <protection locked="0" hidden="1"/>
    </xf>
    <xf numFmtId="0" fontId="15" fillId="5" borderId="0" xfId="0" applyFont="1" applyFill="1" applyAlignment="1" applyProtection="1">
      <alignment horizontal="center" vertical="center"/>
      <protection locked="0" hidden="1"/>
    </xf>
    <xf numFmtId="0" fontId="25" fillId="0" borderId="0" xfId="1" applyNumberFormat="1" applyFont="1" applyAlignment="1" applyProtection="1">
      <alignment horizontal="center" vertical="center"/>
      <protection locked="0" hidden="1"/>
    </xf>
    <xf numFmtId="0" fontId="16" fillId="0" borderId="0" xfId="1" applyNumberFormat="1" applyFont="1" applyAlignment="1" applyProtection="1">
      <alignment horizontal="center" vertical="center"/>
      <protection locked="0" hidden="1"/>
    </xf>
    <xf numFmtId="0" fontId="17" fillId="0" borderId="20" xfId="0" applyFont="1" applyBorder="1" applyAlignment="1" applyProtection="1">
      <alignment vertical="center"/>
      <protection locked="0" hidden="1"/>
    </xf>
    <xf numFmtId="0" fontId="11" fillId="0" borderId="21" xfId="0" applyFont="1" applyBorder="1" applyAlignment="1" applyProtection="1">
      <alignment vertical="center"/>
      <protection locked="0" hidden="1"/>
    </xf>
    <xf numFmtId="0" fontId="25" fillId="0" borderId="0" xfId="0" applyFont="1" applyAlignment="1" applyProtection="1">
      <alignment vertical="center"/>
      <protection locked="0" hidden="1"/>
    </xf>
    <xf numFmtId="0" fontId="17" fillId="0" borderId="16" xfId="1" applyNumberFormat="1" applyFont="1" applyFill="1" applyBorder="1" applyAlignment="1" applyProtection="1">
      <alignment vertical="center"/>
      <protection locked="0" hidden="1"/>
    </xf>
    <xf numFmtId="0" fontId="11" fillId="0" borderId="11" xfId="1" applyNumberFormat="1" applyFont="1" applyFill="1" applyBorder="1" applyAlignment="1" applyProtection="1">
      <alignment vertical="center"/>
      <protection locked="0" hidden="1"/>
    </xf>
    <xf numFmtId="0" fontId="11" fillId="5" borderId="0" xfId="0" applyFont="1" applyFill="1" applyAlignment="1" applyProtection="1">
      <alignment vertical="center"/>
      <protection locked="0" hidden="1"/>
    </xf>
    <xf numFmtId="0" fontId="25" fillId="0" borderId="0" xfId="1" applyNumberFormat="1" applyFont="1" applyAlignment="1" applyProtection="1">
      <alignment vertical="center"/>
      <protection locked="0" hidden="1"/>
    </xf>
    <xf numFmtId="0" fontId="11" fillId="0" borderId="16" xfId="0" applyFont="1" applyBorder="1" applyAlignment="1" applyProtection="1">
      <alignment vertical="center"/>
      <protection locked="0" hidden="1"/>
    </xf>
    <xf numFmtId="0" fontId="14" fillId="0" borderId="16" xfId="0" applyFont="1" applyBorder="1" applyAlignment="1" applyProtection="1">
      <alignment vertical="center"/>
      <protection locked="0" hidden="1"/>
    </xf>
    <xf numFmtId="0" fontId="11" fillId="0" borderId="17" xfId="0" applyFont="1" applyBorder="1" applyAlignment="1" applyProtection="1">
      <alignment vertical="center"/>
      <protection locked="0" hidden="1"/>
    </xf>
    <xf numFmtId="0" fontId="17" fillId="0" borderId="14" xfId="0" applyFont="1" applyBorder="1" applyAlignment="1" applyProtection="1">
      <alignment vertical="center"/>
      <protection locked="0" hidden="1"/>
    </xf>
    <xf numFmtId="0" fontId="14" fillId="0" borderId="16" xfId="1" applyNumberFormat="1" applyFont="1" applyFill="1" applyBorder="1" applyAlignment="1" applyProtection="1">
      <alignment vertical="center"/>
      <protection locked="0" hidden="1"/>
    </xf>
    <xf numFmtId="0" fontId="11" fillId="0" borderId="17" xfId="1" applyNumberFormat="1" applyFont="1" applyFill="1" applyBorder="1" applyAlignment="1" applyProtection="1">
      <alignment vertical="center"/>
      <protection locked="0" hidden="1"/>
    </xf>
    <xf numFmtId="0" fontId="11" fillId="0" borderId="16" xfId="1" applyNumberFormat="1" applyFont="1" applyFill="1" applyBorder="1" applyAlignment="1" applyProtection="1">
      <alignment vertical="center"/>
      <protection locked="0" hidden="1"/>
    </xf>
    <xf numFmtId="0" fontId="27" fillId="0" borderId="19" xfId="1" applyNumberFormat="1" applyFont="1" applyFill="1" applyBorder="1" applyAlignment="1" applyProtection="1">
      <alignment vertical="center"/>
      <protection locked="0" hidden="1"/>
    </xf>
    <xf numFmtId="0" fontId="18" fillId="0" borderId="16" xfId="1" applyNumberFormat="1" applyFont="1" applyBorder="1" applyAlignment="1" applyProtection="1">
      <alignment vertical="center"/>
      <protection locked="0" hidden="1"/>
    </xf>
    <xf numFmtId="0" fontId="18" fillId="0" borderId="16" xfId="1" applyNumberFormat="1" applyFont="1" applyFill="1" applyBorder="1" applyAlignment="1" applyProtection="1">
      <alignment vertical="center"/>
      <protection locked="0" hidden="1"/>
    </xf>
    <xf numFmtId="0" fontId="18" fillId="0" borderId="0" xfId="1" applyNumberFormat="1" applyFont="1" applyFill="1" applyAlignment="1" applyProtection="1">
      <alignment vertical="center"/>
      <protection locked="0" hidden="1"/>
    </xf>
    <xf numFmtId="0" fontId="17" fillId="0" borderId="0" xfId="1" applyNumberFormat="1" applyFont="1" applyAlignment="1" applyProtection="1">
      <alignment vertical="center" wrapText="1"/>
      <protection locked="0" hidden="1"/>
    </xf>
    <xf numFmtId="174" fontId="11" fillId="0" borderId="0" xfId="0" applyNumberFormat="1" applyFont="1" applyAlignment="1" applyProtection="1">
      <alignment vertical="center"/>
      <protection locked="0" hidden="1"/>
    </xf>
    <xf numFmtId="174" fontId="0" fillId="0" borderId="0" xfId="0" applyNumberFormat="1" applyProtection="1">
      <protection locked="0" hidden="1"/>
    </xf>
    <xf numFmtId="174" fontId="11" fillId="0" borderId="0" xfId="1" applyNumberFormat="1" applyFont="1" applyAlignment="1" applyProtection="1">
      <alignment vertical="center"/>
      <protection locked="0" hidden="1"/>
    </xf>
    <xf numFmtId="174" fontId="11" fillId="0" borderId="16" xfId="0" applyNumberFormat="1" applyFont="1" applyBorder="1" applyAlignment="1" applyProtection="1">
      <alignment vertical="center"/>
      <protection locked="0" hidden="1"/>
    </xf>
    <xf numFmtId="174" fontId="17" fillId="0" borderId="16" xfId="0" applyNumberFormat="1" applyFont="1" applyBorder="1" applyAlignment="1" applyProtection="1">
      <alignment vertical="center"/>
      <protection locked="0" hidden="1"/>
    </xf>
    <xf numFmtId="174" fontId="11" fillId="0" borderId="17" xfId="0" applyNumberFormat="1" applyFont="1" applyBorder="1" applyAlignment="1" applyProtection="1">
      <alignment vertical="center"/>
      <protection locked="0" hidden="1"/>
    </xf>
    <xf numFmtId="174"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hidden="1"/>
    </xf>
    <xf numFmtId="174" fontId="17" fillId="0" borderId="14" xfId="0" applyNumberFormat="1" applyFont="1" applyBorder="1" applyAlignment="1" applyProtection="1">
      <alignment vertical="center"/>
      <protection locked="0" hidden="1"/>
    </xf>
    <xf numFmtId="174" fontId="14" fillId="0" borderId="16" xfId="0" applyNumberFormat="1" applyFont="1" applyBorder="1" applyAlignment="1" applyProtection="1">
      <alignment vertical="center"/>
      <protection locked="0" hidden="1"/>
    </xf>
    <xf numFmtId="174" fontId="0" fillId="0" borderId="0" xfId="0" applyNumberFormat="1" applyAlignment="1" applyProtection="1">
      <alignment vertical="center"/>
      <protection locked="0"/>
    </xf>
    <xf numFmtId="174" fontId="32" fillId="0" borderId="0" xfId="0" applyNumberFormat="1" applyFont="1" applyProtection="1">
      <protection locked="0"/>
    </xf>
    <xf numFmtId="174" fontId="0" fillId="0" borderId="0" xfId="0" applyNumberFormat="1" applyProtection="1">
      <protection locked="0"/>
    </xf>
    <xf numFmtId="174" fontId="0" fillId="0" borderId="0" xfId="0" applyNumberFormat="1" applyAlignment="1" applyProtection="1">
      <alignment horizontal="left" vertical="center" indent="1"/>
      <protection locked="0"/>
    </xf>
    <xf numFmtId="174" fontId="32" fillId="0" borderId="0" xfId="0" applyNumberFormat="1" applyFont="1" applyAlignment="1" applyProtection="1">
      <alignment horizontal="left" vertical="center" indent="1"/>
      <protection locked="0"/>
    </xf>
    <xf numFmtId="174" fontId="0" fillId="0" borderId="0" xfId="0" applyNumberFormat="1" applyAlignment="1">
      <alignment horizontal="left"/>
    </xf>
    <xf numFmtId="174" fontId="17" fillId="0" borderId="16" xfId="1" applyNumberFormat="1" applyFont="1" applyFill="1" applyBorder="1" applyAlignment="1" applyProtection="1">
      <alignment vertical="center"/>
      <protection locked="0" hidden="1"/>
    </xf>
    <xf numFmtId="174" fontId="11" fillId="0" borderId="0" xfId="0" applyNumberFormat="1" applyFont="1" applyAlignment="1" applyProtection="1">
      <alignment horizontal="center" vertical="center"/>
      <protection locked="0" hidden="1"/>
    </xf>
    <xf numFmtId="174" fontId="24" fillId="0" borderId="0" xfId="1" applyNumberFormat="1" applyFont="1" applyAlignment="1" applyProtection="1">
      <alignment horizontal="right" vertical="center"/>
      <protection locked="0" hidden="1"/>
    </xf>
    <xf numFmtId="174" fontId="11" fillId="0" borderId="12"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center" vertical="center"/>
      <protection locked="0" hidden="1"/>
    </xf>
    <xf numFmtId="174" fontId="17" fillId="0" borderId="0" xfId="1" applyNumberFormat="1" applyFont="1" applyFill="1" applyAlignment="1" applyProtection="1">
      <alignment vertical="center"/>
      <protection locked="0" hidden="1"/>
    </xf>
    <xf numFmtId="174" fontId="19" fillId="0" borderId="0" xfId="0" applyNumberFormat="1" applyFont="1" applyAlignment="1" applyProtection="1">
      <alignment vertical="center"/>
      <protection locked="0" hidden="1"/>
    </xf>
    <xf numFmtId="174" fontId="11" fillId="0" borderId="0" xfId="0" applyNumberFormat="1" applyFont="1" applyProtection="1">
      <protection locked="0" hidden="1"/>
    </xf>
    <xf numFmtId="174" fontId="15" fillId="0" borderId="0" xfId="0" applyNumberFormat="1" applyFont="1" applyAlignment="1" applyProtection="1">
      <alignment vertical="center"/>
      <protection locked="0" hidden="1"/>
    </xf>
    <xf numFmtId="174" fontId="16" fillId="0" borderId="0" xfId="0" applyNumberFormat="1" applyFont="1" applyAlignment="1" applyProtection="1">
      <alignment vertical="center"/>
      <protection locked="0" hidden="1"/>
    </xf>
    <xf numFmtId="175" fontId="17" fillId="0" borderId="16" xfId="1" applyNumberFormat="1" applyFont="1" applyFill="1" applyBorder="1" applyAlignment="1" applyProtection="1">
      <alignment horizontal="right" vertical="center"/>
      <protection locked="0" hidden="1"/>
    </xf>
    <xf numFmtId="175" fontId="17" fillId="0" borderId="16" xfId="0" applyNumberFormat="1" applyFont="1" applyBorder="1" applyAlignment="1" applyProtection="1">
      <alignment horizontal="right" vertical="center"/>
      <protection locked="0" hidden="1"/>
    </xf>
    <xf numFmtId="175"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xf>
    <xf numFmtId="174" fontId="11" fillId="0" borderId="0" xfId="0" applyNumberFormat="1" applyFont="1" applyAlignment="1" applyProtection="1">
      <alignment vertical="center"/>
      <protection locked="0"/>
    </xf>
    <xf numFmtId="174" fontId="0" fillId="0" borderId="0" xfId="0" applyNumberFormat="1" applyAlignment="1" applyProtection="1">
      <alignment vertical="center"/>
      <protection locked="0" hidden="1"/>
    </xf>
    <xf numFmtId="174" fontId="11" fillId="0" borderId="13" xfId="0" applyNumberFormat="1" applyFont="1" applyBorder="1" applyAlignment="1" applyProtection="1">
      <alignment vertical="center"/>
      <protection locked="0"/>
    </xf>
    <xf numFmtId="174" fontId="6" fillId="0" borderId="0" xfId="0" applyNumberFormat="1" applyFont="1" applyAlignment="1" applyProtection="1">
      <alignment horizontal="right" vertical="center"/>
      <protection locked="0" hidden="1"/>
    </xf>
    <xf numFmtId="174" fontId="2" fillId="0" borderId="0" xfId="0" applyNumberFormat="1" applyFont="1" applyAlignment="1" applyProtection="1">
      <alignment vertical="center"/>
      <protection locked="0" hidden="1"/>
    </xf>
    <xf numFmtId="174" fontId="2" fillId="0" borderId="0" xfId="0" applyNumberFormat="1" applyFont="1" applyAlignment="1" applyProtection="1">
      <alignment vertical="center"/>
      <protection locked="0"/>
    </xf>
    <xf numFmtId="174" fontId="17" fillId="0" borderId="0" xfId="0" applyNumberFormat="1" applyFont="1" applyAlignment="1" applyProtection="1">
      <alignment vertical="center"/>
      <protection locked="0"/>
    </xf>
    <xf numFmtId="174" fontId="11" fillId="0" borderId="0" xfId="0" applyNumberFormat="1" applyFont="1" applyProtection="1">
      <protection locked="0"/>
    </xf>
    <xf numFmtId="174" fontId="11" fillId="0" borderId="16" xfId="1" applyNumberFormat="1" applyFont="1" applyFill="1" applyBorder="1" applyAlignment="1" applyProtection="1">
      <alignment vertical="center"/>
      <protection locked="0" hidden="1"/>
    </xf>
    <xf numFmtId="174" fontId="11" fillId="0" borderId="17" xfId="1" applyNumberFormat="1" applyFont="1" applyFill="1" applyBorder="1" applyAlignment="1" applyProtection="1">
      <alignment vertical="center"/>
      <protection locked="0" hidden="1"/>
    </xf>
    <xf numFmtId="174" fontId="3" fillId="0" borderId="0" xfId="0" applyNumberFormat="1" applyFont="1" applyAlignment="1" applyProtection="1">
      <alignment vertical="center"/>
      <protection locked="0" hidden="1"/>
    </xf>
    <xf numFmtId="174" fontId="2" fillId="5" borderId="0" xfId="0" applyNumberFormat="1" applyFont="1" applyFill="1" applyAlignment="1" applyProtection="1">
      <alignment vertical="center"/>
      <protection locked="0" hidden="1"/>
    </xf>
    <xf numFmtId="174" fontId="11" fillId="5" borderId="0" xfId="0" applyNumberFormat="1" applyFont="1" applyFill="1" applyAlignment="1" applyProtection="1">
      <alignment vertical="center"/>
      <protection locked="0" hidden="1"/>
    </xf>
    <xf numFmtId="174" fontId="9" fillId="3" borderId="0" xfId="0" applyNumberFormat="1" applyFont="1" applyFill="1" applyAlignment="1" applyProtection="1">
      <alignment vertical="center"/>
      <protection locked="0" hidden="1"/>
    </xf>
    <xf numFmtId="174" fontId="11" fillId="0" borderId="0" xfId="0" quotePrefix="1" applyNumberFormat="1" applyFont="1" applyAlignment="1" applyProtection="1">
      <alignment vertical="center"/>
      <protection locked="0" hidden="1"/>
    </xf>
    <xf numFmtId="174" fontId="2" fillId="0" borderId="7" xfId="0" applyNumberFormat="1" applyFont="1" applyBorder="1" applyAlignment="1" applyProtection="1">
      <alignment vertical="center"/>
      <protection locked="0" hidden="1"/>
    </xf>
    <xf numFmtId="174" fontId="2" fillId="0" borderId="2" xfId="0" applyNumberFormat="1" applyFont="1" applyBorder="1" applyAlignment="1" applyProtection="1">
      <alignment vertical="center"/>
      <protection locked="0" hidden="1"/>
    </xf>
    <xf numFmtId="174" fontId="2" fillId="0" borderId="0" xfId="0" applyNumberFormat="1" applyFont="1" applyAlignment="1" applyProtection="1">
      <alignment horizontal="left" vertical="center"/>
      <protection locked="0" hidden="1"/>
    </xf>
    <xf numFmtId="174" fontId="2" fillId="0" borderId="8" xfId="0" applyNumberFormat="1" applyFont="1" applyBorder="1" applyAlignment="1" applyProtection="1">
      <alignment vertical="center"/>
      <protection locked="0" hidden="1"/>
    </xf>
    <xf numFmtId="174" fontId="2" fillId="0" borderId="3" xfId="0" applyNumberFormat="1" applyFont="1" applyBorder="1" applyAlignment="1" applyProtection="1">
      <alignment vertical="center"/>
      <protection locked="0" hidden="1"/>
    </xf>
    <xf numFmtId="174" fontId="2" fillId="0" borderId="9" xfId="0" applyNumberFormat="1" applyFont="1" applyBorder="1" applyAlignment="1" applyProtection="1">
      <alignment vertical="center"/>
      <protection locked="0" hidden="1"/>
    </xf>
    <xf numFmtId="174" fontId="2" fillId="0" borderId="1" xfId="0" applyNumberFormat="1" applyFont="1" applyBorder="1" applyAlignment="1" applyProtection="1">
      <alignment vertical="center"/>
      <protection locked="0" hidden="1"/>
    </xf>
    <xf numFmtId="174" fontId="2" fillId="0" borderId="10" xfId="0" applyNumberFormat="1" applyFont="1" applyBorder="1" applyAlignment="1" applyProtection="1">
      <alignment vertical="center"/>
      <protection locked="0" hidden="1"/>
    </xf>
    <xf numFmtId="174" fontId="7" fillId="3" borderId="0" xfId="0" applyNumberFormat="1" applyFont="1" applyFill="1" applyAlignment="1" applyProtection="1">
      <alignment vertical="center"/>
      <protection locked="0" hidden="1"/>
    </xf>
    <xf numFmtId="174" fontId="4" fillId="0" borderId="0" xfId="0" applyNumberFormat="1"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174" fontId="17" fillId="0" borderId="14" xfId="1" applyNumberFormat="1" applyFont="1" applyFill="1" applyBorder="1" applyAlignment="1" applyProtection="1">
      <alignment vertical="center"/>
      <protection locked="0" hidden="1"/>
    </xf>
    <xf numFmtId="174" fontId="11" fillId="0" borderId="17" xfId="0" applyNumberFormat="1" applyFont="1" applyBorder="1" applyAlignment="1" applyProtection="1">
      <alignment vertical="center" wrapText="1"/>
      <protection locked="0" hidden="1"/>
    </xf>
    <xf numFmtId="174" fontId="11" fillId="0" borderId="17" xfId="1" applyNumberFormat="1" applyFont="1" applyBorder="1" applyAlignment="1" applyProtection="1">
      <alignment vertical="center" wrapText="1"/>
      <protection locked="0" hidden="1"/>
    </xf>
    <xf numFmtId="174" fontId="22" fillId="0" borderId="0" xfId="0" applyNumberFormat="1" applyFont="1" applyAlignment="1" applyProtection="1">
      <alignment vertical="center"/>
      <protection locked="0" hidden="1"/>
    </xf>
    <xf numFmtId="174" fontId="45" fillId="0" borderId="0" xfId="0" applyNumberFormat="1" applyFont="1" applyProtection="1">
      <protection locked="0" hidden="1"/>
    </xf>
    <xf numFmtId="174" fontId="46" fillId="0" borderId="0" xfId="0" applyNumberFormat="1" applyFont="1" applyAlignment="1" applyProtection="1">
      <alignment horizontal="right" vertical="center"/>
      <protection locked="0" hidden="1"/>
    </xf>
    <xf numFmtId="175" fontId="17" fillId="0" borderId="14"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left" vertical="center"/>
      <protection locked="0" hidden="1"/>
    </xf>
    <xf numFmtId="175" fontId="17" fillId="0" borderId="16" xfId="0" applyNumberFormat="1" applyFont="1" applyBorder="1" applyAlignment="1" applyProtection="1">
      <alignment vertical="center"/>
      <protection locked="0" hidden="1"/>
    </xf>
    <xf numFmtId="174" fontId="18" fillId="0" borderId="0" xfId="1" applyNumberFormat="1" applyFont="1" applyAlignment="1" applyProtection="1">
      <alignment vertical="center"/>
      <protection locked="0" hidden="1"/>
    </xf>
    <xf numFmtId="174" fontId="28" fillId="0" borderId="0" xfId="1" applyNumberFormat="1" applyFont="1" applyAlignment="1" applyProtection="1">
      <alignment vertical="center"/>
      <protection locked="0" hidden="1"/>
    </xf>
    <xf numFmtId="174"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74" fontId="4" fillId="0" borderId="0" xfId="0" applyNumberFormat="1" applyFont="1" applyAlignment="1" applyProtection="1">
      <alignment vertical="center"/>
      <protection locked="0" hidden="1"/>
    </xf>
    <xf numFmtId="174" fontId="11" fillId="0" borderId="0" xfId="1" applyNumberFormat="1" applyFont="1" applyFill="1" applyBorder="1" applyAlignment="1" applyProtection="1">
      <alignment vertical="center"/>
      <protection locked="0" hidden="1"/>
    </xf>
    <xf numFmtId="174" fontId="5" fillId="0" borderId="0" xfId="0" applyNumberFormat="1" applyFont="1" applyAlignment="1" applyProtection="1">
      <alignment vertical="center"/>
      <protection locked="0" hidden="1"/>
    </xf>
    <xf numFmtId="174" fontId="8" fillId="3" borderId="0" xfId="0" applyNumberFormat="1" applyFont="1" applyFill="1" applyAlignment="1" applyProtection="1">
      <alignment vertical="center"/>
      <protection locked="0" hidden="1"/>
    </xf>
    <xf numFmtId="174" fontId="18" fillId="0" borderId="0" xfId="0" applyNumberFormat="1" applyFont="1" applyAlignment="1" applyProtection="1">
      <alignment vertical="center"/>
      <protection locked="0" hidden="1"/>
    </xf>
    <xf numFmtId="174" fontId="13" fillId="0" borderId="7" xfId="0" applyNumberFormat="1" applyFont="1" applyBorder="1" applyAlignment="1" applyProtection="1">
      <alignment vertical="center"/>
      <protection locked="0" hidden="1"/>
    </xf>
    <xf numFmtId="174" fontId="4" fillId="0" borderId="0" xfId="0" applyNumberFormat="1" applyFont="1" applyAlignment="1" applyProtection="1">
      <alignment horizontal="left" vertical="center"/>
      <protection locked="0" hidden="1"/>
    </xf>
    <xf numFmtId="174" fontId="17" fillId="0" borderId="17" xfId="1" applyNumberFormat="1" applyFont="1" applyBorder="1" applyAlignment="1" applyProtection="1">
      <alignment vertical="center"/>
      <protection locked="0" hidden="1"/>
    </xf>
    <xf numFmtId="176" fontId="11" fillId="0" borderId="0" xfId="0" applyNumberFormat="1" applyFont="1" applyAlignment="1" applyProtection="1">
      <alignment vertical="center"/>
      <protection locked="0" hidden="1"/>
    </xf>
    <xf numFmtId="176" fontId="11" fillId="0" borderId="0" xfId="0" applyNumberFormat="1" applyFont="1" applyAlignment="1" applyProtection="1">
      <alignment horizontal="center" vertical="center"/>
      <protection locked="0" hidden="1"/>
    </xf>
    <xf numFmtId="176" fontId="14" fillId="0" borderId="0" xfId="1" applyNumberFormat="1" applyFont="1" applyAlignment="1" applyProtection="1">
      <alignment vertical="center"/>
      <protection locked="0" hidden="1"/>
    </xf>
    <xf numFmtId="0" fontId="45" fillId="0" borderId="0" xfId="0" applyFont="1" applyAlignment="1" applyProtection="1">
      <alignment vertical="center"/>
      <protection locked="0" hidden="1"/>
    </xf>
    <xf numFmtId="174" fontId="14" fillId="5" borderId="0" xfId="1" applyNumberFormat="1" applyFont="1" applyFill="1" applyAlignment="1" applyProtection="1">
      <alignment horizontal="center" vertical="center"/>
      <protection locked="0" hidden="1"/>
    </xf>
    <xf numFmtId="174" fontId="11" fillId="5" borderId="0" xfId="0" applyNumberFormat="1" applyFont="1" applyFill="1" applyAlignment="1" applyProtection="1">
      <alignment horizontal="center" vertical="center"/>
      <protection locked="0" hidden="1"/>
    </xf>
    <xf numFmtId="174" fontId="11" fillId="0" borderId="0" xfId="1" applyNumberFormat="1" applyFont="1" applyFill="1" applyAlignment="1" applyProtection="1">
      <alignment horizontal="right" vertical="center"/>
      <protection locked="0" hidden="1"/>
    </xf>
    <xf numFmtId="174" fontId="33" fillId="0" borderId="0" xfId="1" applyNumberFormat="1" applyFont="1" applyFill="1" applyAlignment="1" applyProtection="1">
      <alignment horizontal="right" vertical="center"/>
      <protection locked="0" hidden="1"/>
    </xf>
    <xf numFmtId="174" fontId="29" fillId="0" borderId="0" xfId="1" applyNumberFormat="1" applyFont="1" applyFill="1" applyAlignment="1" applyProtection="1">
      <alignment horizontal="right" vertical="center"/>
      <protection locked="0" hidden="1"/>
    </xf>
    <xf numFmtId="174" fontId="15" fillId="0" borderId="0" xfId="1" applyNumberFormat="1" applyFont="1" applyFill="1" applyAlignment="1" applyProtection="1">
      <alignment horizontal="right" vertical="center"/>
      <protection locked="0" hidden="1"/>
    </xf>
    <xf numFmtId="174" fontId="34" fillId="0" borderId="0" xfId="1" applyNumberFormat="1" applyFont="1" applyFill="1" applyAlignment="1" applyProtection="1">
      <alignment horizontal="right" vertical="center"/>
      <protection locked="0" hidden="1"/>
    </xf>
    <xf numFmtId="174" fontId="15" fillId="0" borderId="0" xfId="1" applyNumberFormat="1" applyFont="1" applyFill="1" applyBorder="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protection locked="0" hidden="1"/>
    </xf>
    <xf numFmtId="174" fontId="21" fillId="0" borderId="0" xfId="1" applyNumberFormat="1" applyFont="1" applyFill="1" applyBorder="1" applyAlignment="1" applyProtection="1">
      <alignment horizontal="right" vertical="center"/>
      <protection locked="0" hidden="1"/>
    </xf>
    <xf numFmtId="174" fontId="33" fillId="0" borderId="0" xfId="1" applyNumberFormat="1" applyFont="1" applyFill="1" applyBorder="1" applyAlignment="1" applyProtection="1">
      <alignment horizontal="right" vertical="center"/>
      <protection locked="0" hidden="1"/>
    </xf>
    <xf numFmtId="174" fontId="25" fillId="0" borderId="0" xfId="1" applyNumberFormat="1" applyFont="1" applyFill="1" applyAlignment="1" applyProtection="1">
      <alignment horizontal="right" vertical="center"/>
      <protection locked="0" hidden="1"/>
    </xf>
    <xf numFmtId="174" fontId="23" fillId="0" borderId="0" xfId="1" applyNumberFormat="1" applyFont="1" applyFill="1" applyAlignment="1" applyProtection="1">
      <alignment horizontal="right" vertical="center"/>
      <protection locked="0" hidden="1"/>
    </xf>
    <xf numFmtId="174" fontId="36" fillId="0" borderId="0" xfId="1" applyNumberFormat="1" applyFont="1" applyFill="1" applyAlignment="1" applyProtection="1">
      <alignment horizontal="right" vertical="center"/>
      <protection locked="0" hidden="1"/>
    </xf>
    <xf numFmtId="174" fontId="21" fillId="0" borderId="0" xfId="1" applyNumberFormat="1" applyFont="1" applyFill="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wrapText="1"/>
      <protection locked="0" hidden="1"/>
    </xf>
    <xf numFmtId="174" fontId="37" fillId="0" borderId="0" xfId="1" applyNumberFormat="1" applyFont="1" applyFill="1" applyAlignment="1" applyProtection="1">
      <alignment horizontal="right" vertical="center"/>
      <protection locked="0" hidden="1"/>
    </xf>
    <xf numFmtId="173" fontId="11" fillId="0" borderId="0" xfId="0" applyNumberFormat="1" applyFont="1" applyAlignment="1" applyProtection="1">
      <alignment vertical="center"/>
      <protection locked="0" hidden="1"/>
    </xf>
    <xf numFmtId="20" fontId="11" fillId="0" borderId="0" xfId="0" applyNumberFormat="1" applyFont="1" applyAlignment="1" applyProtection="1">
      <alignment horizontal="center" vertical="center"/>
      <protection locked="0" hidden="1"/>
    </xf>
    <xf numFmtId="43" fontId="14" fillId="0" borderId="0" xfId="1" applyFont="1" applyAlignment="1" applyProtection="1">
      <alignment vertical="center"/>
      <protection locked="0" hidden="1"/>
    </xf>
    <xf numFmtId="9" fontId="14" fillId="6" borderId="0" xfId="2" applyFont="1" applyFill="1" applyAlignment="1" applyProtection="1">
      <alignment vertical="center"/>
      <protection locked="0" hidden="1"/>
    </xf>
    <xf numFmtId="174" fontId="11" fillId="0" borderId="22" xfId="0" applyNumberFormat="1" applyFont="1" applyBorder="1" applyAlignment="1" applyProtection="1">
      <alignment vertical="center"/>
      <protection locked="0" hidden="1"/>
    </xf>
    <xf numFmtId="175" fontId="11" fillId="0" borderId="0" xfId="0" applyNumberFormat="1" applyFont="1" applyAlignment="1" applyProtection="1">
      <alignment vertical="center"/>
      <protection locked="0" hidden="1"/>
    </xf>
    <xf numFmtId="0" fontId="47" fillId="0" borderId="0" xfId="0" applyFont="1" applyAlignment="1" applyProtection="1">
      <alignment vertical="center"/>
      <protection locked="0" hidden="1"/>
    </xf>
    <xf numFmtId="0" fontId="48" fillId="0" borderId="0" xfId="0" applyFont="1" applyAlignment="1" applyProtection="1">
      <alignment vertical="center"/>
      <protection locked="0" hidden="1"/>
    </xf>
    <xf numFmtId="0" fontId="49" fillId="0" borderId="0" xfId="0" applyFont="1" applyAlignment="1" applyProtection="1">
      <alignment vertical="center"/>
      <protection locked="0" hidden="1"/>
    </xf>
    <xf numFmtId="9" fontId="11" fillId="0" borderId="0" xfId="2" applyFont="1" applyFill="1" applyAlignment="1" applyProtection="1">
      <alignment vertical="center"/>
      <protection locked="0" hidden="1"/>
    </xf>
    <xf numFmtId="175" fontId="31" fillId="5" borderId="0" xfId="1" applyNumberFormat="1" applyFont="1" applyFill="1" applyAlignment="1" applyProtection="1">
      <alignment horizontal="center" vertical="center"/>
      <protection locked="0" hidden="1"/>
    </xf>
    <xf numFmtId="174" fontId="31" fillId="5" borderId="0" xfId="1" applyNumberFormat="1" applyFont="1" applyFill="1" applyAlignment="1" applyProtection="1">
      <alignment horizontal="center" vertical="center"/>
      <protection locked="0" hidden="1"/>
    </xf>
    <xf numFmtId="174" fontId="11" fillId="0" borderId="0" xfId="1" applyNumberFormat="1" applyFont="1" applyAlignment="1" applyProtection="1">
      <alignment horizontal="right" vertical="center"/>
      <protection locked="0" hidden="1"/>
    </xf>
    <xf numFmtId="174" fontId="15" fillId="0" borderId="0" xfId="0" applyNumberFormat="1" applyFont="1" applyAlignment="1" applyProtection="1">
      <alignment horizontal="center" vertical="center"/>
      <protection locked="0" hidden="1"/>
    </xf>
    <xf numFmtId="174" fontId="15" fillId="0" borderId="0" xfId="1" applyNumberFormat="1" applyFont="1" applyFill="1" applyBorder="1" applyAlignment="1" applyProtection="1">
      <alignment horizontal="center" vertical="center"/>
      <protection locked="0" hidden="1"/>
    </xf>
    <xf numFmtId="174" fontId="26" fillId="0" borderId="0" xfId="1" applyNumberFormat="1" applyFont="1" applyFill="1" applyAlignment="1" applyProtection="1">
      <alignment vertical="center"/>
      <protection locked="0" hidden="1"/>
    </xf>
    <xf numFmtId="174" fontId="15" fillId="0" borderId="0" xfId="1" applyNumberFormat="1" applyFont="1" applyFill="1" applyAlignment="1" applyProtection="1">
      <alignment horizontal="center" vertical="center"/>
      <protection locked="0" hidden="1"/>
    </xf>
    <xf numFmtId="174" fontId="26" fillId="0" borderId="0" xfId="0" applyNumberFormat="1" applyFont="1" applyAlignment="1" applyProtection="1">
      <alignment vertical="center"/>
      <protection locked="0" hidden="1"/>
    </xf>
    <xf numFmtId="174" fontId="11" fillId="0" borderId="0" xfId="1" applyNumberFormat="1" applyFont="1" applyFill="1" applyAlignment="1" applyProtection="1">
      <alignment vertical="center"/>
      <protection locked="0" hidden="1"/>
    </xf>
    <xf numFmtId="174" fontId="11" fillId="0" borderId="0" xfId="1" applyNumberFormat="1" applyFont="1" applyFill="1" applyAlignment="1" applyProtection="1">
      <alignment horizontal="center" vertical="center"/>
      <protection locked="0" hidden="1"/>
    </xf>
    <xf numFmtId="174" fontId="19" fillId="0" borderId="0" xfId="1" applyNumberFormat="1" applyFont="1" applyFill="1" applyBorder="1" applyAlignment="1" applyProtection="1">
      <alignment horizontal="center" vertical="center"/>
      <protection locked="0" hidden="1"/>
    </xf>
    <xf numFmtId="174" fontId="19" fillId="0" borderId="0" xfId="0" applyNumberFormat="1" applyFont="1" applyAlignment="1" applyProtection="1">
      <alignment horizontal="left" vertical="center" indent="4"/>
      <protection locked="0" hidden="1"/>
    </xf>
    <xf numFmtId="174" fontId="19" fillId="0" borderId="0" xfId="1" applyNumberFormat="1" applyFont="1" applyFill="1" applyBorder="1" applyAlignment="1" applyProtection="1">
      <alignment vertical="center"/>
      <protection locked="0" hidden="1"/>
    </xf>
    <xf numFmtId="174" fontId="19" fillId="0" borderId="0" xfId="1" applyNumberFormat="1" applyFont="1" applyFill="1" applyAlignment="1" applyProtection="1">
      <alignment vertical="center"/>
      <protection locked="0" hidden="1"/>
    </xf>
    <xf numFmtId="174" fontId="11" fillId="0" borderId="0" xfId="0" applyNumberFormat="1" applyFont="1" applyAlignment="1" applyProtection="1">
      <alignment horizontal="left" vertical="center" indent="2"/>
      <protection locked="0" hidden="1"/>
    </xf>
    <xf numFmtId="174" fontId="19" fillId="0" borderId="0" xfId="0" applyNumberFormat="1" applyFont="1" applyAlignment="1" applyProtection="1">
      <alignment horizontal="center" vertical="center"/>
      <protection locked="0" hidden="1"/>
    </xf>
    <xf numFmtId="174" fontId="15" fillId="0" borderId="0" xfId="1" applyNumberFormat="1" applyFont="1" applyFill="1" applyAlignment="1" applyProtection="1">
      <alignment vertical="center"/>
      <protection locked="0" hidden="1"/>
    </xf>
    <xf numFmtId="174" fontId="15" fillId="0" borderId="0" xfId="0" applyNumberFormat="1" applyFont="1" applyAlignment="1" applyProtection="1">
      <alignment horizontal="left" vertical="center"/>
      <protection locked="0" hidden="1"/>
    </xf>
    <xf numFmtId="174" fontId="19" fillId="0" borderId="16" xfId="0" applyNumberFormat="1" applyFont="1" applyBorder="1" applyAlignment="1" applyProtection="1">
      <alignment horizontal="left" vertical="center" indent="2"/>
      <protection locked="0" hidden="1"/>
    </xf>
    <xf numFmtId="174" fontId="19" fillId="0" borderId="0" xfId="1" applyNumberFormat="1" applyFont="1" applyFill="1" applyAlignment="1" applyProtection="1">
      <alignment horizontal="center" vertical="center"/>
      <protection locked="0" hidden="1"/>
    </xf>
    <xf numFmtId="174" fontId="19" fillId="0" borderId="0" xfId="0" applyNumberFormat="1" applyFont="1" applyProtection="1">
      <protection locked="0" hidden="1"/>
    </xf>
    <xf numFmtId="174" fontId="19" fillId="0" borderId="0" xfId="1" applyNumberFormat="1" applyFont="1" applyAlignment="1" applyProtection="1">
      <alignment vertical="center"/>
      <protection locked="0" hidden="1"/>
    </xf>
    <xf numFmtId="174" fontId="23" fillId="0" borderId="0" xfId="0" applyNumberFormat="1" applyFont="1" applyAlignment="1" applyProtection="1">
      <alignment horizontal="center" vertical="center"/>
      <protection locked="0" hidden="1"/>
    </xf>
    <xf numFmtId="174" fontId="23" fillId="0" borderId="0" xfId="1" applyNumberFormat="1" applyFont="1" applyAlignment="1" applyProtection="1">
      <alignment vertical="center"/>
      <protection locked="0" hidden="1"/>
    </xf>
    <xf numFmtId="174" fontId="19" fillId="0" borderId="0" xfId="1" applyNumberFormat="1" applyFont="1" applyAlignment="1" applyProtection="1">
      <alignment vertical="center" wrapText="1"/>
      <protection locked="0" hidden="1"/>
    </xf>
    <xf numFmtId="174" fontId="19" fillId="0" borderId="0" xfId="1" applyNumberFormat="1" applyFont="1" applyFill="1" applyBorder="1" applyAlignment="1" applyProtection="1">
      <alignment vertical="center" wrapText="1"/>
      <protection locked="0" hidden="1"/>
    </xf>
    <xf numFmtId="174" fontId="19" fillId="0" borderId="0" xfId="0" quotePrefix="1" applyNumberFormat="1" applyFont="1" applyAlignment="1" applyProtection="1">
      <alignment vertical="center" wrapText="1"/>
      <protection locked="0" hidden="1"/>
    </xf>
    <xf numFmtId="174" fontId="19" fillId="0" borderId="0" xfId="0" applyNumberFormat="1" applyFont="1" applyAlignment="1" applyProtection="1">
      <alignment vertical="center" wrapText="1"/>
      <protection locked="0" hidden="1"/>
    </xf>
    <xf numFmtId="174" fontId="11" fillId="0" borderId="0" xfId="2" applyNumberFormat="1" applyFont="1" applyFill="1" applyAlignment="1" applyProtection="1">
      <alignment vertical="center"/>
      <protection locked="0" hidden="1"/>
    </xf>
    <xf numFmtId="174" fontId="11" fillId="0" borderId="14" xfId="0" applyNumberFormat="1" applyFont="1" applyBorder="1" applyAlignment="1" applyProtection="1">
      <alignment vertical="center"/>
      <protection locked="0" hidden="1"/>
    </xf>
    <xf numFmtId="0" fontId="17" fillId="0" borderId="0" xfId="1" applyNumberFormat="1" applyFont="1" applyFill="1" applyBorder="1" applyAlignment="1" applyProtection="1">
      <alignment vertical="center"/>
      <protection locked="0" hidden="1"/>
    </xf>
    <xf numFmtId="174" fontId="11" fillId="0" borderId="0" xfId="0" quotePrefix="1" applyNumberFormat="1" applyFont="1" applyAlignment="1" applyProtection="1">
      <alignment wrapText="1"/>
      <protection locked="0" hidden="1"/>
    </xf>
    <xf numFmtId="174" fontId="23" fillId="0" borderId="0" xfId="0" applyNumberFormat="1" applyFont="1" applyAlignment="1" applyProtection="1">
      <alignment vertical="center"/>
      <protection locked="0" hidden="1"/>
    </xf>
    <xf numFmtId="174" fontId="49" fillId="0" borderId="0" xfId="0" applyNumberFormat="1" applyFont="1" applyAlignment="1" applyProtection="1">
      <alignment vertical="center"/>
      <protection locked="0" hidden="1"/>
    </xf>
    <xf numFmtId="174" fontId="52" fillId="0" borderId="0" xfId="0" applyNumberFormat="1" applyFont="1" applyAlignment="1" applyProtection="1">
      <alignment vertical="center"/>
      <protection locked="0" hidden="1"/>
    </xf>
    <xf numFmtId="0" fontId="53" fillId="0" borderId="0" xfId="0" applyFont="1" applyAlignment="1" applyProtection="1">
      <alignment vertical="center"/>
      <protection locked="0" hidden="1"/>
    </xf>
    <xf numFmtId="0" fontId="50" fillId="0" borderId="0" xfId="0" applyFont="1" applyAlignment="1" applyProtection="1">
      <alignment vertical="center"/>
      <protection locked="0" hidden="1"/>
    </xf>
    <xf numFmtId="0" fontId="53" fillId="5" borderId="0" xfId="0" applyFont="1" applyFill="1" applyAlignment="1" applyProtection="1">
      <alignment vertical="center"/>
      <protection locked="0" hidden="1"/>
    </xf>
    <xf numFmtId="0" fontId="51" fillId="0" borderId="0" xfId="0" applyFont="1" applyAlignment="1" applyProtection="1">
      <alignment vertical="center"/>
      <protection locked="0" hidden="1"/>
    </xf>
    <xf numFmtId="0" fontId="50" fillId="0" borderId="0" xfId="0" applyFont="1" applyAlignment="1" applyProtection="1">
      <alignment horizontal="center" vertical="center"/>
      <protection locked="0" hidden="1"/>
    </xf>
    <xf numFmtId="0" fontId="50" fillId="0" borderId="0" xfId="0" applyFont="1" applyAlignment="1" applyProtection="1">
      <alignment horizontal="left" vertical="center"/>
      <protection locked="0" hidden="1"/>
    </xf>
    <xf numFmtId="164" fontId="50" fillId="0" borderId="0" xfId="1" applyNumberFormat="1" applyFont="1" applyAlignment="1" applyProtection="1">
      <alignment horizontal="center" vertical="center"/>
      <protection locked="0" hidden="1"/>
    </xf>
    <xf numFmtId="175" fontId="14" fillId="0" borderId="0" xfId="0" applyNumberFormat="1" applyFont="1" applyAlignment="1" applyProtection="1">
      <alignment vertical="center"/>
      <protection locked="0" hidden="1"/>
    </xf>
    <xf numFmtId="164" fontId="14" fillId="0" borderId="16" xfId="1" applyNumberFormat="1" applyFont="1" applyBorder="1" applyAlignment="1" applyProtection="1">
      <alignment vertical="center"/>
      <protection locked="0" hidden="1"/>
    </xf>
    <xf numFmtId="164" fontId="11" fillId="0" borderId="16" xfId="1" applyNumberFormat="1" applyFont="1" applyBorder="1" applyAlignment="1" applyProtection="1">
      <alignment vertical="center"/>
      <protection locked="0" hidden="1"/>
    </xf>
    <xf numFmtId="175" fontId="14" fillId="0" borderId="16" xfId="0" applyNumberFormat="1" applyFont="1" applyBorder="1" applyAlignment="1" applyProtection="1">
      <alignment horizontal="right" vertical="center"/>
      <protection locked="0" hidden="1"/>
    </xf>
    <xf numFmtId="175" fontId="14" fillId="0" borderId="16" xfId="1" applyNumberFormat="1" applyFont="1" applyFill="1" applyBorder="1" applyAlignment="1" applyProtection="1">
      <alignment horizontal="right" vertical="center"/>
      <protection locked="0" hidden="1"/>
    </xf>
    <xf numFmtId="9" fontId="11" fillId="0" borderId="16" xfId="2" applyFont="1" applyBorder="1" applyAlignment="1" applyProtection="1">
      <alignment vertical="center"/>
      <protection locked="0" hidden="1"/>
    </xf>
    <xf numFmtId="9" fontId="14" fillId="0" borderId="16" xfId="2" applyFont="1" applyFill="1" applyBorder="1" applyAlignment="1" applyProtection="1">
      <alignment vertical="center"/>
      <protection locked="0" hidden="1"/>
    </xf>
    <xf numFmtId="175" fontId="11" fillId="0" borderId="16" xfId="0" applyNumberFormat="1" applyFont="1" applyBorder="1" applyAlignment="1" applyProtection="1">
      <alignment vertical="center"/>
      <protection locked="0"/>
    </xf>
    <xf numFmtId="164" fontId="11" fillId="0" borderId="0" xfId="1" applyNumberFormat="1" applyFont="1" applyAlignment="1" applyProtection="1">
      <alignment horizontal="left" vertical="center"/>
      <protection locked="0" hidden="1"/>
    </xf>
    <xf numFmtId="164" fontId="16" fillId="0" borderId="0" xfId="1" applyNumberFormat="1" applyFont="1" applyAlignment="1" applyProtection="1">
      <alignment horizontal="right" vertical="center"/>
      <protection locked="0" hidden="1"/>
    </xf>
    <xf numFmtId="164" fontId="23" fillId="0" borderId="0" xfId="1" applyNumberFormat="1" applyFont="1" applyAlignment="1" applyProtection="1">
      <alignment horizontal="right" vertical="center"/>
      <protection locked="0" hidden="1"/>
    </xf>
    <xf numFmtId="167" fontId="25" fillId="5" borderId="0" xfId="1" applyNumberFormat="1" applyFont="1" applyFill="1" applyAlignment="1" applyProtection="1">
      <alignment horizontal="right" vertical="center"/>
      <protection locked="0" hidden="1"/>
    </xf>
    <xf numFmtId="164" fontId="14" fillId="0" borderId="0" xfId="1" applyNumberFormat="1" applyFont="1" applyAlignment="1" applyProtection="1">
      <alignment horizontal="right" vertical="center"/>
      <protection locked="0" hidden="1"/>
    </xf>
    <xf numFmtId="164" fontId="17" fillId="0" borderId="20" xfId="1" applyNumberFormat="1" applyFont="1" applyBorder="1" applyProtection="1">
      <protection locked="0" hidden="1"/>
    </xf>
    <xf numFmtId="175" fontId="14" fillId="7" borderId="14" xfId="0" applyNumberFormat="1" applyFont="1" applyFill="1" applyBorder="1" applyAlignment="1" applyProtection="1">
      <alignment horizontal="right" vertical="center"/>
      <protection locked="0"/>
    </xf>
    <xf numFmtId="166" fontId="14" fillId="0" borderId="16" xfId="0" applyNumberFormat="1" applyFont="1" applyBorder="1" applyAlignment="1" applyProtection="1">
      <alignment vertical="center"/>
      <protection locked="0" hidden="1"/>
    </xf>
    <xf numFmtId="164" fontId="11" fillId="0" borderId="16" xfId="1" applyNumberFormat="1" applyFont="1" applyFill="1" applyBorder="1" applyAlignment="1" applyProtection="1">
      <alignment vertical="center"/>
      <protection locked="0" hidden="1"/>
    </xf>
    <xf numFmtId="164" fontId="14" fillId="0" borderId="16" xfId="1" applyNumberFormat="1" applyFont="1" applyFill="1" applyBorder="1" applyAlignment="1" applyProtection="1">
      <alignment vertical="center"/>
      <protection locked="0" hidden="1"/>
    </xf>
    <xf numFmtId="164" fontId="7" fillId="3" borderId="0" xfId="1" applyNumberFormat="1" applyFont="1" applyFill="1" applyAlignment="1" applyProtection="1">
      <alignment vertical="center"/>
      <protection locked="0" hidden="1"/>
    </xf>
    <xf numFmtId="164" fontId="2" fillId="0" borderId="0" xfId="1" applyNumberFormat="1" applyFont="1" applyBorder="1" applyAlignment="1" applyProtection="1">
      <alignment vertical="center"/>
      <protection locked="0" hidden="1"/>
    </xf>
    <xf numFmtId="175" fontId="14" fillId="0" borderId="16" xfId="0" applyNumberFormat="1" applyFont="1" applyBorder="1" applyAlignment="1" applyProtection="1">
      <alignment vertical="center"/>
      <protection locked="0" hidden="1"/>
    </xf>
    <xf numFmtId="164" fontId="2" fillId="2" borderId="18" xfId="1" applyNumberFormat="1" applyFont="1" applyFill="1" applyBorder="1" applyAlignment="1" applyProtection="1">
      <alignment vertical="center"/>
      <protection locked="0" hidden="1"/>
    </xf>
    <xf numFmtId="164" fontId="2" fillId="0" borderId="0" xfId="1" applyNumberFormat="1" applyFont="1" applyAlignment="1" applyProtection="1">
      <alignment vertical="center"/>
      <protection locked="0" hidden="1"/>
    </xf>
    <xf numFmtId="168" fontId="14" fillId="0" borderId="16" xfId="0" applyNumberFormat="1" applyFont="1" applyBorder="1" applyAlignment="1" applyProtection="1">
      <alignment vertical="center"/>
      <protection locked="0" hidden="1"/>
    </xf>
    <xf numFmtId="164" fontId="17" fillId="0" borderId="16" xfId="1" applyNumberFormat="1" applyFont="1" applyBorder="1" applyAlignment="1" applyProtection="1">
      <alignment vertical="center" wrapText="1"/>
      <protection locked="0" hidden="1"/>
    </xf>
    <xf numFmtId="164" fontId="17" fillId="0" borderId="12" xfId="1" applyNumberFormat="1" applyFont="1" applyFill="1" applyBorder="1" applyAlignment="1" applyProtection="1">
      <alignment vertical="center"/>
      <protection locked="0" hidden="1"/>
    </xf>
    <xf numFmtId="164" fontId="11" fillId="0" borderId="12" xfId="1" applyNumberFormat="1" applyFont="1" applyBorder="1" applyAlignment="1" applyProtection="1">
      <alignment vertical="center"/>
      <protection locked="0" hidden="1"/>
    </xf>
    <xf numFmtId="164" fontId="17" fillId="0" borderId="12" xfId="1" applyNumberFormat="1" applyFont="1" applyBorder="1" applyAlignment="1" applyProtection="1">
      <alignment vertical="center"/>
      <protection locked="0" hidden="1"/>
    </xf>
    <xf numFmtId="164" fontId="28" fillId="0" borderId="16" xfId="1" applyNumberFormat="1" applyFont="1" applyFill="1" applyBorder="1" applyAlignment="1" applyProtection="1">
      <alignment vertical="center"/>
      <protection locked="0" hidden="1"/>
    </xf>
    <xf numFmtId="164" fontId="11" fillId="0" borderId="0" xfId="1" applyNumberFormat="1" applyFont="1" applyFill="1" applyAlignment="1" applyProtection="1">
      <alignment vertical="center"/>
      <protection locked="0" hidden="1"/>
    </xf>
    <xf numFmtId="164" fontId="14" fillId="0" borderId="0" xfId="1" applyNumberFormat="1" applyFont="1" applyFill="1" applyAlignment="1" applyProtection="1">
      <alignment vertical="center"/>
      <protection locked="0" hidden="1"/>
    </xf>
    <xf numFmtId="164" fontId="11" fillId="5" borderId="0" xfId="1" applyNumberFormat="1" applyFont="1" applyFill="1" applyAlignment="1" applyProtection="1">
      <alignment vertical="center"/>
      <protection locked="0" hidden="1"/>
    </xf>
    <xf numFmtId="164" fontId="25" fillId="0" borderId="0" xfId="1" applyNumberFormat="1" applyFont="1" applyAlignment="1" applyProtection="1">
      <alignment vertical="center"/>
      <protection locked="0" hidden="1"/>
    </xf>
    <xf numFmtId="164" fontId="16" fillId="0" borderId="0" xfId="1" applyNumberFormat="1" applyFont="1" applyAlignment="1" applyProtection="1">
      <alignment horizontal="center" vertical="center"/>
      <protection locked="0" hidden="1"/>
    </xf>
    <xf numFmtId="173" fontId="15" fillId="5" borderId="0" xfId="0" applyNumberFormat="1" applyFont="1" applyFill="1" applyAlignment="1" applyProtection="1">
      <alignment horizontal="center" vertical="center"/>
      <protection locked="0" hidden="1"/>
    </xf>
    <xf numFmtId="9" fontId="24" fillId="0" borderId="0" xfId="2" applyFont="1" applyAlignment="1" applyProtection="1">
      <alignment vertical="center"/>
      <protection locked="0" hidden="1"/>
    </xf>
    <xf numFmtId="173" fontId="11" fillId="5" borderId="0" xfId="1" applyNumberFormat="1" applyFont="1" applyFill="1" applyAlignment="1" applyProtection="1">
      <alignment vertical="center"/>
      <protection locked="0" hidden="1"/>
    </xf>
    <xf numFmtId="164" fontId="17" fillId="0" borderId="17" xfId="1" applyNumberFormat="1" applyFont="1" applyFill="1" applyBorder="1" applyAlignment="1" applyProtection="1">
      <alignment vertical="center"/>
      <protection locked="0" hidden="1"/>
    </xf>
    <xf numFmtId="0" fontId="13" fillId="0" borderId="8" xfId="0" applyFont="1" applyBorder="1" applyAlignment="1" applyProtection="1">
      <alignment vertical="center"/>
      <protection locked="0" hidden="1"/>
    </xf>
    <xf numFmtId="164" fontId="14" fillId="0" borderId="0" xfId="1" applyNumberFormat="1" applyFont="1" applyFill="1" applyBorder="1" applyAlignment="1" applyProtection="1">
      <alignment vertical="center"/>
      <protection locked="0" hidden="1"/>
    </xf>
    <xf numFmtId="0" fontId="54" fillId="0" borderId="0" xfId="0" applyFont="1" applyAlignment="1" applyProtection="1">
      <alignment vertical="center"/>
      <protection locked="0" hidden="1"/>
    </xf>
    <xf numFmtId="174" fontId="55" fillId="0" borderId="0" xfId="0" applyNumberFormat="1" applyFont="1" applyAlignment="1" applyProtection="1">
      <alignment horizontal="right" vertical="center"/>
      <protection locked="0" hidden="1"/>
    </xf>
    <xf numFmtId="164" fontId="33" fillId="0" borderId="0" xfId="1" applyNumberFormat="1" applyFont="1" applyFill="1" applyBorder="1" applyAlignment="1" applyProtection="1">
      <alignment horizontal="right" vertical="center"/>
      <protection locked="0" hidden="1"/>
    </xf>
    <xf numFmtId="164" fontId="33" fillId="0" borderId="0" xfId="1" applyNumberFormat="1" applyFont="1" applyFill="1" applyAlignment="1" applyProtection="1">
      <alignment horizontal="right" vertical="center"/>
      <protection locked="0" hidden="1"/>
    </xf>
    <xf numFmtId="173" fontId="17" fillId="0" borderId="0" xfId="0" applyNumberFormat="1" applyFont="1" applyAlignment="1" applyProtection="1">
      <alignment vertical="center"/>
      <protection locked="0" hidden="1"/>
    </xf>
    <xf numFmtId="0" fontId="12" fillId="0" borderId="0" xfId="0" applyFont="1" applyAlignment="1" applyProtection="1">
      <alignment vertical="center"/>
      <protection locked="0" hidden="1"/>
    </xf>
    <xf numFmtId="0" fontId="12" fillId="0" borderId="15" xfId="0" applyFont="1" applyBorder="1" applyAlignment="1" applyProtection="1">
      <alignment vertical="center"/>
      <protection locked="0" hidden="1"/>
    </xf>
    <xf numFmtId="164" fontId="17" fillId="6" borderId="0" xfId="0" applyNumberFormat="1" applyFont="1" applyFill="1" applyAlignment="1" applyProtection="1">
      <alignment vertical="center"/>
      <protection locked="0" hidden="1"/>
    </xf>
    <xf numFmtId="165" fontId="17" fillId="6" borderId="0" xfId="0" applyNumberFormat="1" applyFont="1" applyFill="1" applyAlignment="1" applyProtection="1">
      <alignment vertical="center"/>
      <protection locked="0" hidden="1"/>
    </xf>
    <xf numFmtId="10" fontId="17" fillId="6" borderId="0" xfId="0" applyNumberFormat="1" applyFont="1" applyFill="1" applyAlignment="1" applyProtection="1">
      <alignment vertical="center"/>
      <protection locked="0" hidden="1"/>
    </xf>
    <xf numFmtId="164" fontId="17" fillId="6" borderId="0" xfId="0" applyNumberFormat="1" applyFont="1" applyFill="1" applyProtection="1">
      <protection locked="0" hidden="1"/>
    </xf>
    <xf numFmtId="9" fontId="17" fillId="6" borderId="0" xfId="0" applyNumberFormat="1" applyFont="1" applyFill="1" applyProtection="1">
      <protection locked="0" hidden="1"/>
    </xf>
    <xf numFmtId="165" fontId="14" fillId="6" borderId="0" xfId="0" applyNumberFormat="1" applyFont="1" applyFill="1" applyAlignment="1" applyProtection="1">
      <alignment vertical="center"/>
      <protection locked="0" hidden="1"/>
    </xf>
    <xf numFmtId="9" fontId="14" fillId="6" borderId="0" xfId="0" applyNumberFormat="1" applyFont="1" applyFill="1" applyAlignment="1" applyProtection="1">
      <alignment vertical="center"/>
      <protection locked="0" hidden="1"/>
    </xf>
    <xf numFmtId="173" fontId="14" fillId="0" borderId="0" xfId="0" applyNumberFormat="1" applyFont="1" applyAlignment="1" applyProtection="1">
      <alignment vertical="center"/>
      <protection locked="0" hidden="1"/>
    </xf>
    <xf numFmtId="0" fontId="45" fillId="0" borderId="0" xfId="0" applyFont="1" applyAlignment="1">
      <alignment vertical="center"/>
    </xf>
    <xf numFmtId="22" fontId="11" fillId="0" borderId="0" xfId="0" applyNumberFormat="1" applyFont="1" applyAlignment="1" applyProtection="1">
      <alignment vertical="center"/>
      <protection locked="0" hidden="1"/>
    </xf>
    <xf numFmtId="0" fontId="11" fillId="0" borderId="23" xfId="0" applyFont="1" applyBorder="1" applyAlignment="1" applyProtection="1">
      <alignment vertical="center"/>
      <protection locked="0" hidden="1"/>
    </xf>
    <xf numFmtId="0" fontId="11" fillId="0" borderId="24" xfId="0" applyFont="1" applyBorder="1" applyAlignment="1" applyProtection="1">
      <alignment vertical="center"/>
      <protection locked="0" hidden="1"/>
    </xf>
    <xf numFmtId="22" fontId="11" fillId="0" borderId="24" xfId="0" applyNumberFormat="1" applyFont="1" applyBorder="1" applyAlignment="1" applyProtection="1">
      <alignment vertical="center"/>
      <protection locked="0" hidden="1"/>
    </xf>
    <xf numFmtId="0" fontId="11" fillId="0" borderId="25" xfId="0" applyFont="1" applyBorder="1" applyAlignment="1" applyProtection="1">
      <alignment vertical="center"/>
      <protection locked="0" hidden="1"/>
    </xf>
    <xf numFmtId="173" fontId="17" fillId="0" borderId="24" xfId="0" applyNumberFormat="1" applyFont="1" applyBorder="1" applyAlignment="1" applyProtection="1">
      <alignment vertical="center"/>
      <protection locked="0" hidden="1"/>
    </xf>
    <xf numFmtId="177" fontId="17" fillId="0" borderId="24" xfId="0" applyNumberFormat="1" applyFont="1" applyBorder="1" applyAlignment="1" applyProtection="1">
      <alignment vertical="center"/>
      <protection locked="0" hidden="1"/>
    </xf>
    <xf numFmtId="175" fontId="17" fillId="0" borderId="16" xfId="1" applyNumberFormat="1" applyFont="1" applyFill="1" applyBorder="1" applyAlignment="1" applyProtection="1">
      <alignment vertical="center"/>
      <protection locked="0" hidden="1"/>
    </xf>
    <xf numFmtId="9" fontId="17" fillId="0" borderId="16" xfId="2" applyFont="1" applyBorder="1" applyAlignment="1" applyProtection="1">
      <alignment vertical="center"/>
      <protection locked="0" hidden="1"/>
    </xf>
    <xf numFmtId="173" fontId="31" fillId="5" borderId="0" xfId="1" applyNumberFormat="1" applyFont="1" applyFill="1" applyAlignment="1" applyProtection="1">
      <alignment horizontal="center" vertical="center"/>
      <protection locked="0" hidden="1"/>
    </xf>
    <xf numFmtId="43" fontId="17" fillId="6" borderId="0" xfId="1" applyFont="1" applyFill="1" applyAlignment="1" applyProtection="1">
      <alignment vertical="center"/>
      <protection locked="0" hidden="1"/>
    </xf>
    <xf numFmtId="164" fontId="17" fillId="6" borderId="0" xfId="2" applyNumberFormat="1" applyFont="1" applyFill="1" applyAlignment="1" applyProtection="1">
      <alignment vertical="center"/>
      <protection locked="0" hidden="1"/>
    </xf>
    <xf numFmtId="0" fontId="12" fillId="0" borderId="26" xfId="0" applyFont="1" applyBorder="1" applyAlignment="1">
      <alignment vertical="center"/>
    </xf>
    <xf numFmtId="14" fontId="0" fillId="0" borderId="0" xfId="0" applyNumberFormat="1" applyAlignment="1">
      <alignment horizontal="left"/>
    </xf>
    <xf numFmtId="14" fontId="0" fillId="0" borderId="0" xfId="0" applyNumberFormat="1"/>
    <xf numFmtId="14" fontId="0" fillId="0" borderId="0" xfId="0" applyNumberFormat="1" applyProtection="1">
      <protection locked="0" hidden="1"/>
    </xf>
    <xf numFmtId="0" fontId="0" fillId="0" borderId="0" xfId="0" applyProtection="1">
      <protection locked="0"/>
    </xf>
    <xf numFmtId="14" fontId="0" fillId="0" borderId="0" xfId="0" applyNumberFormat="1" applyProtection="1">
      <protection locked="0"/>
    </xf>
    <xf numFmtId="14" fontId="0" fillId="0" borderId="0" xfId="0" applyNumberFormat="1" applyAlignment="1" applyProtection="1">
      <alignment horizontal="left"/>
      <protection locked="0" hidden="1"/>
    </xf>
    <xf numFmtId="0" fontId="0" fillId="0" borderId="0" xfId="0" applyAlignment="1" applyProtection="1">
      <alignment horizontal="left"/>
      <protection locked="0" hidden="1"/>
    </xf>
    <xf numFmtId="174" fontId="17" fillId="0" borderId="16" xfId="1" applyNumberFormat="1" applyFont="1" applyBorder="1" applyAlignment="1" applyProtection="1">
      <alignment vertical="center"/>
      <protection locked="0" hidden="1"/>
    </xf>
    <xf numFmtId="164" fontId="58" fillId="0" borderId="16" xfId="1" applyNumberFormat="1" applyFont="1" applyFill="1" applyBorder="1" applyAlignment="1" applyProtection="1">
      <alignment vertical="center"/>
      <protection locked="0" hidden="1"/>
    </xf>
    <xf numFmtId="173" fontId="59" fillId="5" borderId="0" xfId="0" applyNumberFormat="1" applyFont="1" applyFill="1" applyAlignment="1" applyProtection="1">
      <alignment vertical="center"/>
      <protection locked="0" hidden="1"/>
    </xf>
    <xf numFmtId="43" fontId="11" fillId="0" borderId="0" xfId="1" applyFont="1" applyAlignment="1" applyProtection="1">
      <alignment vertical="center"/>
      <protection locked="0" hidden="1"/>
    </xf>
    <xf numFmtId="14" fontId="17" fillId="0" borderId="0" xfId="0" applyNumberFormat="1" applyFont="1" applyAlignment="1" applyProtection="1">
      <alignment vertical="center"/>
      <protection locked="0"/>
    </xf>
    <xf numFmtId="166" fontId="22" fillId="0" borderId="0" xfId="0" applyNumberFormat="1" applyFont="1" applyAlignment="1" applyProtection="1">
      <alignment horizontal="center" vertical="center"/>
      <protection locked="0" hidden="1"/>
    </xf>
    <xf numFmtId="173" fontId="11" fillId="5" borderId="0" xfId="0" applyNumberFormat="1" applyFont="1" applyFill="1" applyAlignment="1" applyProtection="1">
      <alignment vertical="center"/>
      <protection locked="0" hidden="1"/>
    </xf>
    <xf numFmtId="43" fontId="17" fillId="0" borderId="0" xfId="1" applyFont="1" applyAlignment="1" applyProtection="1">
      <alignment horizontal="left" vertical="center" indent="2"/>
      <protection locked="0" hidden="1"/>
    </xf>
    <xf numFmtId="9" fontId="11" fillId="5" borderId="0" xfId="2" applyFont="1" applyFill="1" applyAlignment="1" applyProtection="1">
      <alignment vertical="center"/>
      <protection locked="0" hidden="1"/>
    </xf>
    <xf numFmtId="164" fontId="11" fillId="0" borderId="0" xfId="0" applyNumberFormat="1" applyFont="1" applyAlignment="1" applyProtection="1">
      <alignment horizontal="right" vertical="center"/>
      <protection locked="0" hidden="1"/>
    </xf>
    <xf numFmtId="164" fontId="33" fillId="0" borderId="0" xfId="0" applyNumberFormat="1" applyFont="1" applyAlignment="1" applyProtection="1">
      <alignment horizontal="right" vertical="center"/>
      <protection locked="0" hidden="1"/>
    </xf>
    <xf numFmtId="0" fontId="17" fillId="0" borderId="0" xfId="0" applyFont="1" applyAlignment="1">
      <alignment vertical="center"/>
    </xf>
    <xf numFmtId="0" fontId="17" fillId="0" borderId="0" xfId="0" applyFont="1"/>
    <xf numFmtId="164" fontId="34" fillId="0" borderId="0" xfId="1" applyNumberFormat="1" applyFont="1" applyFill="1" applyAlignment="1" applyProtection="1">
      <alignment horizontal="right" vertical="center"/>
      <protection locked="0" hidden="1"/>
    </xf>
    <xf numFmtId="9" fontId="11" fillId="0" borderId="0" xfId="2" applyFont="1" applyAlignment="1" applyProtection="1">
      <alignment horizontal="center" vertical="center"/>
      <protection locked="0" hidden="1"/>
    </xf>
    <xf numFmtId="9" fontId="15" fillId="0" borderId="0" xfId="2" applyFont="1" applyAlignment="1" applyProtection="1">
      <alignment horizontal="center" vertical="center"/>
      <protection locked="0" hidden="1"/>
    </xf>
    <xf numFmtId="164" fontId="11" fillId="0" borderId="0" xfId="1" applyNumberFormat="1" applyFont="1" applyAlignment="1" applyProtection="1">
      <alignment horizontal="center" vertical="center"/>
      <protection locked="0" hidden="1"/>
    </xf>
    <xf numFmtId="164" fontId="15" fillId="0" borderId="0" xfId="1" applyNumberFormat="1" applyFont="1" applyAlignment="1" applyProtection="1">
      <alignment horizontal="center" vertical="center"/>
      <protection locked="0" hidden="1"/>
    </xf>
    <xf numFmtId="164" fontId="16" fillId="0" borderId="0" xfId="1" applyNumberFormat="1" applyFont="1" applyAlignment="1" applyProtection="1">
      <alignment vertical="center"/>
      <protection locked="0" hidden="1"/>
    </xf>
    <xf numFmtId="164" fontId="17" fillId="0" borderId="0" xfId="1" applyNumberFormat="1" applyFont="1" applyAlignment="1">
      <alignment vertical="center"/>
    </xf>
    <xf numFmtId="164" fontId="22" fillId="0" borderId="0" xfId="1" applyNumberFormat="1" applyFont="1" applyAlignment="1" applyProtection="1">
      <alignment vertical="center"/>
      <protection locked="0" hidden="1"/>
    </xf>
    <xf numFmtId="164" fontId="14" fillId="0" borderId="12" xfId="1" applyNumberFormat="1" applyFont="1" applyBorder="1" applyAlignment="1" applyProtection="1">
      <alignment vertical="center"/>
      <protection locked="0" hidden="1"/>
    </xf>
    <xf numFmtId="164" fontId="23" fillId="0" borderId="0" xfId="1" applyNumberFormat="1" applyFont="1" applyAlignment="1" applyProtection="1">
      <alignment vertical="center"/>
      <protection locked="0" hidden="1"/>
    </xf>
    <xf numFmtId="164" fontId="17" fillId="0" borderId="0" xfId="1" applyNumberFormat="1" applyFont="1"/>
    <xf numFmtId="9" fontId="22" fillId="0" borderId="0" xfId="2" applyFont="1" applyAlignment="1" applyProtection="1">
      <alignment vertical="center"/>
      <protection locked="0" hidden="1"/>
    </xf>
    <xf numFmtId="164" fontId="17" fillId="0" borderId="0" xfId="1" applyNumberFormat="1" applyFont="1" applyAlignment="1" applyProtection="1">
      <alignment horizontal="right" vertical="center"/>
      <protection locked="0" hidden="1"/>
    </xf>
    <xf numFmtId="9" fontId="17" fillId="0" borderId="0" xfId="2" applyFont="1" applyAlignment="1" applyProtection="1">
      <alignment horizontal="right" vertical="center"/>
      <protection locked="0" hidden="1"/>
    </xf>
    <xf numFmtId="164" fontId="12" fillId="0" borderId="26" xfId="1" applyNumberFormat="1" applyFont="1" applyBorder="1" applyAlignment="1">
      <alignment vertical="center"/>
    </xf>
    <xf numFmtId="164" fontId="17" fillId="0" borderId="0" xfId="0" applyNumberFormat="1" applyFont="1" applyAlignment="1" applyProtection="1">
      <alignment horizontal="right" vertical="center"/>
      <protection locked="0" hidden="1"/>
    </xf>
    <xf numFmtId="164" fontId="12" fillId="0" borderId="11" xfId="1" applyNumberFormat="1" applyFont="1" applyBorder="1" applyAlignment="1">
      <alignment horizontal="center" vertical="center"/>
    </xf>
    <xf numFmtId="9" fontId="11" fillId="0" borderId="0" xfId="2" applyFont="1" applyAlignment="1" applyProtection="1">
      <alignment horizontal="right" vertical="center"/>
      <protection locked="0" hidden="1"/>
    </xf>
    <xf numFmtId="9" fontId="12" fillId="0" borderId="11" xfId="2" applyFont="1" applyBorder="1" applyAlignment="1">
      <alignment horizontal="center" vertical="center"/>
    </xf>
    <xf numFmtId="9" fontId="17" fillId="0" borderId="0" xfId="0" applyNumberFormat="1" applyFont="1" applyAlignment="1" applyProtection="1">
      <alignment horizontal="right" vertical="center"/>
      <protection locked="0" hidden="1"/>
    </xf>
    <xf numFmtId="166" fontId="17" fillId="0" borderId="12" xfId="0" applyNumberFormat="1" applyFont="1" applyBorder="1" applyAlignment="1" applyProtection="1">
      <alignment vertical="center"/>
      <protection locked="0" hidden="1"/>
    </xf>
    <xf numFmtId="0" fontId="11" fillId="0" borderId="12" xfId="0" applyFont="1" applyBorder="1" applyAlignment="1" applyProtection="1">
      <alignment vertical="center"/>
      <protection locked="0" hidden="1"/>
    </xf>
    <xf numFmtId="9" fontId="11" fillId="0" borderId="0" xfId="2" applyFont="1" applyFill="1" applyBorder="1" applyAlignment="1" applyProtection="1">
      <alignment vertical="center"/>
      <protection locked="0" hidden="1"/>
    </xf>
    <xf numFmtId="164" fontId="17" fillId="0" borderId="0" xfId="2" applyNumberFormat="1" applyFont="1" applyAlignment="1" applyProtection="1">
      <alignment horizontal="right" vertical="center"/>
      <protection locked="0" hidden="1"/>
    </xf>
    <xf numFmtId="164" fontId="17" fillId="0" borderId="0" xfId="0" applyNumberFormat="1" applyFont="1" applyAlignment="1">
      <alignment vertical="center"/>
    </xf>
    <xf numFmtId="9" fontId="16" fillId="0" borderId="0" xfId="2" applyFont="1" applyAlignment="1" applyProtection="1">
      <alignment horizontal="center" vertical="center"/>
      <protection locked="0" hidden="1"/>
    </xf>
    <xf numFmtId="0" fontId="3" fillId="0" borderId="0" xfId="1" applyNumberFormat="1" applyFont="1" applyProtection="1">
      <protection locked="0" hidden="1"/>
    </xf>
    <xf numFmtId="0" fontId="3" fillId="0" borderId="0" xfId="0" applyFont="1"/>
    <xf numFmtId="0" fontId="3" fillId="0" borderId="0" xfId="0" applyFont="1" applyAlignment="1" applyProtection="1">
      <alignment vertical="center"/>
      <protection locked="0" hidden="1"/>
    </xf>
    <xf numFmtId="0" fontId="0" fillId="0" borderId="0" xfId="0" applyAlignment="1">
      <alignment horizontal="left" indent="1"/>
    </xf>
    <xf numFmtId="164" fontId="0" fillId="0" borderId="0" xfId="0" applyNumberFormat="1"/>
    <xf numFmtId="178" fontId="0" fillId="0" borderId="0" xfId="0" applyNumberFormat="1" applyAlignment="1">
      <alignment horizontal="left" indent="2"/>
    </xf>
    <xf numFmtId="179" fontId="0" fillId="0" borderId="0" xfId="0" applyNumberFormat="1" applyAlignment="1">
      <alignment horizontal="left" indent="1"/>
    </xf>
    <xf numFmtId="9" fontId="11" fillId="0" borderId="0" xfId="2" applyFont="1" applyAlignment="1" applyProtection="1">
      <alignment vertical="center"/>
      <protection locked="0"/>
    </xf>
    <xf numFmtId="9" fontId="0" fillId="0" borderId="0" xfId="0" applyNumberFormat="1"/>
    <xf numFmtId="174" fontId="62" fillId="0" borderId="0" xfId="0" applyNumberFormat="1" applyFont="1" applyAlignment="1" applyProtection="1">
      <alignment vertical="center"/>
      <protection locked="0"/>
    </xf>
    <xf numFmtId="174" fontId="63" fillId="0" borderId="0" xfId="0" applyNumberFormat="1" applyFont="1" applyAlignment="1" applyProtection="1">
      <alignment horizontal="center" vertical="center"/>
      <protection locked="0"/>
    </xf>
    <xf numFmtId="174" fontId="64" fillId="5" borderId="0" xfId="0" applyNumberFormat="1" applyFont="1" applyFill="1" applyAlignment="1" applyProtection="1">
      <alignment horizontal="center" vertical="center"/>
      <protection locked="0"/>
    </xf>
    <xf numFmtId="174" fontId="65" fillId="0" borderId="0" xfId="0" applyNumberFormat="1" applyFont="1" applyAlignment="1" applyProtection="1">
      <alignment vertical="center"/>
      <protection locked="0"/>
    </xf>
    <xf numFmtId="9" fontId="63" fillId="0" borderId="0" xfId="2" applyFont="1" applyAlignment="1" applyProtection="1">
      <alignment horizontal="center" vertical="center"/>
      <protection locked="0"/>
    </xf>
    <xf numFmtId="173" fontId="63" fillId="0" borderId="0" xfId="0" applyNumberFormat="1" applyFont="1" applyAlignment="1" applyProtection="1">
      <alignment horizontal="center" vertical="center"/>
      <protection locked="0"/>
    </xf>
    <xf numFmtId="174" fontId="0" fillId="0" borderId="0" xfId="0" applyNumberFormat="1"/>
    <xf numFmtId="0" fontId="18" fillId="0" borderId="16" xfId="0" applyFont="1" applyBorder="1" applyAlignment="1" applyProtection="1">
      <alignment vertical="center"/>
      <protection locked="0" hidden="1"/>
    </xf>
    <xf numFmtId="0" fontId="18" fillId="0" borderId="0" xfId="1" applyNumberFormat="1" applyFont="1" applyFill="1" applyBorder="1" applyAlignment="1" applyProtection="1">
      <alignment vertical="center"/>
      <protection locked="0" hidden="1"/>
    </xf>
    <xf numFmtId="164" fontId="11" fillId="0" borderId="0" xfId="1" applyNumberFormat="1" applyFont="1" applyFill="1" applyBorder="1" applyAlignment="1" applyProtection="1">
      <alignment vertical="center"/>
      <protection locked="0" hidden="1"/>
    </xf>
    <xf numFmtId="166" fontId="0" fillId="0" borderId="0" xfId="0" applyNumberFormat="1" applyAlignment="1">
      <alignment horizontal="left"/>
    </xf>
    <xf numFmtId="0" fontId="17" fillId="0" borderId="12" xfId="0" applyFont="1" applyBorder="1" applyAlignment="1" applyProtection="1">
      <alignment vertical="center"/>
      <protection locked="0" hidden="1"/>
    </xf>
    <xf numFmtId="174" fontId="17" fillId="0" borderId="16" xfId="0" applyNumberFormat="1" applyFont="1" applyBorder="1" applyAlignment="1" applyProtection="1">
      <alignment vertical="center" wrapText="1"/>
      <protection locked="0" hidden="1"/>
    </xf>
    <xf numFmtId="174" fontId="17" fillId="0" borderId="22" xfId="0" applyNumberFormat="1" applyFont="1" applyBorder="1" applyAlignment="1" applyProtection="1">
      <alignment vertical="center"/>
      <protection locked="0" hidden="1"/>
    </xf>
    <xf numFmtId="0" fontId="27" fillId="0" borderId="16" xfId="1" applyNumberFormat="1" applyFont="1" applyFill="1" applyBorder="1" applyAlignment="1" applyProtection="1">
      <alignment vertical="center"/>
      <protection locked="0" hidden="1"/>
    </xf>
    <xf numFmtId="0" fontId="18" fillId="0" borderId="19" xfId="0" applyFont="1" applyBorder="1" applyAlignment="1" applyProtection="1">
      <alignment vertical="center"/>
      <protection locked="0" hidden="1"/>
    </xf>
    <xf numFmtId="0" fontId="18" fillId="0" borderId="19" xfId="1" applyNumberFormat="1" applyFont="1" applyFill="1" applyBorder="1" applyAlignment="1" applyProtection="1">
      <alignment vertical="center"/>
      <protection locked="0" hidden="1"/>
    </xf>
    <xf numFmtId="0" fontId="27" fillId="0" borderId="0" xfId="1" applyNumberFormat="1" applyFont="1" applyFill="1" applyBorder="1" applyAlignment="1" applyProtection="1">
      <alignment vertical="center"/>
      <protection locked="0" hidden="1"/>
    </xf>
    <xf numFmtId="174" fontId="14" fillId="0" borderId="12" xfId="0" applyNumberFormat="1" applyFont="1" applyBorder="1" applyAlignment="1" applyProtection="1">
      <alignment vertical="center"/>
      <protection locked="0" hidden="1"/>
    </xf>
    <xf numFmtId="164" fontId="14" fillId="0" borderId="12" xfId="1" applyNumberFormat="1" applyFont="1" applyFill="1" applyBorder="1" applyAlignment="1" applyProtection="1">
      <alignment vertical="center"/>
      <protection locked="0" hidden="1"/>
    </xf>
    <xf numFmtId="0" fontId="28" fillId="0" borderId="16" xfId="1" applyNumberFormat="1" applyFont="1" applyBorder="1" applyAlignment="1" applyProtection="1">
      <alignment vertical="center"/>
      <protection locked="0" hidden="1"/>
    </xf>
    <xf numFmtId="0" fontId="28" fillId="0" borderId="16" xfId="0" applyFont="1" applyBorder="1" applyAlignment="1" applyProtection="1">
      <alignment vertical="center"/>
      <protection locked="0" hidden="1"/>
    </xf>
    <xf numFmtId="0" fontId="28" fillId="0" borderId="16" xfId="1" applyNumberFormat="1" applyFont="1" applyFill="1" applyBorder="1" applyAlignment="1" applyProtection="1">
      <alignment vertical="center"/>
      <protection locked="0" hidden="1"/>
    </xf>
    <xf numFmtId="0" fontId="28" fillId="0" borderId="0" xfId="1" applyNumberFormat="1" applyFont="1" applyFill="1" applyBorder="1" applyAlignment="1" applyProtection="1">
      <alignment vertical="center"/>
      <protection locked="0" hidden="1"/>
    </xf>
    <xf numFmtId="0" fontId="28" fillId="0" borderId="0" xfId="1" applyNumberFormat="1" applyFont="1" applyFill="1" applyAlignment="1" applyProtection="1">
      <alignment vertical="center"/>
      <protection locked="0" hidden="1"/>
    </xf>
    <xf numFmtId="0" fontId="11" fillId="0" borderId="14" xfId="0" applyFont="1" applyBorder="1" applyAlignment="1" applyProtection="1">
      <alignment vertical="center"/>
      <protection locked="0" hidden="1"/>
    </xf>
    <xf numFmtId="9" fontId="17" fillId="0" borderId="0" xfId="0" applyNumberFormat="1" applyFont="1" applyAlignment="1" applyProtection="1">
      <alignment vertical="center"/>
      <protection locked="0" hidden="1"/>
    </xf>
    <xf numFmtId="9" fontId="17" fillId="0" borderId="0" xfId="2" applyFont="1" applyFill="1" applyAlignment="1" applyProtection="1">
      <alignment vertical="center"/>
      <protection locked="0" hidden="1"/>
    </xf>
    <xf numFmtId="174" fontId="17" fillId="0" borderId="27" xfId="0" applyNumberFormat="1" applyFont="1" applyBorder="1" applyAlignment="1" applyProtection="1">
      <alignment vertical="center"/>
      <protection locked="0" hidden="1"/>
    </xf>
    <xf numFmtId="164" fontId="11" fillId="0" borderId="0" xfId="1" applyNumberFormat="1" applyFont="1" applyFill="1" applyAlignment="1" applyProtection="1">
      <alignment horizontal="left" vertical="center"/>
      <protection locked="0" hidden="1"/>
    </xf>
    <xf numFmtId="174" fontId="16" fillId="4" borderId="14" xfId="0" applyNumberFormat="1" applyFont="1" applyFill="1" applyBorder="1" applyAlignment="1" applyProtection="1">
      <alignment vertical="center"/>
      <protection locked="0" hidden="1"/>
    </xf>
    <xf numFmtId="164" fontId="14" fillId="0" borderId="0" xfId="0" applyNumberFormat="1" applyFont="1" applyAlignment="1" applyProtection="1">
      <alignment vertical="center"/>
      <protection locked="0" hidden="1"/>
    </xf>
    <xf numFmtId="173" fontId="12" fillId="0" borderId="0" xfId="0" applyNumberFormat="1" applyFont="1" applyAlignment="1" applyProtection="1">
      <alignment vertical="center"/>
      <protection locked="0" hidden="1"/>
    </xf>
    <xf numFmtId="173" fontId="14" fillId="0" borderId="0" xfId="2" applyNumberFormat="1" applyFont="1" applyAlignment="1" applyProtection="1">
      <alignment vertical="center"/>
      <protection locked="0" hidden="1"/>
    </xf>
    <xf numFmtId="0" fontId="28" fillId="0" borderId="0" xfId="0" applyFont="1" applyAlignment="1" applyProtection="1">
      <alignment vertical="center"/>
      <protection locked="0" hidden="1"/>
    </xf>
    <xf numFmtId="0" fontId="17" fillId="0" borderId="0" xfId="0" applyFont="1" applyProtection="1">
      <protection locked="0" hidden="1"/>
    </xf>
    <xf numFmtId="0" fontId="0" fillId="0" borderId="0" xfId="0" pivotButton="1" applyProtection="1">
      <protection locked="0" hidden="1"/>
    </xf>
    <xf numFmtId="164" fontId="0" fillId="0" borderId="0" xfId="0" applyNumberFormat="1" applyProtection="1">
      <protection locked="0" hidden="1"/>
    </xf>
    <xf numFmtId="164" fontId="17" fillId="0" borderId="0" xfId="1" applyNumberFormat="1" applyFont="1" applyProtection="1">
      <protection locked="0" hidden="1"/>
    </xf>
    <xf numFmtId="37" fontId="0" fillId="0" borderId="0" xfId="0" applyNumberFormat="1" applyProtection="1">
      <protection locked="0" hidden="1"/>
    </xf>
    <xf numFmtId="173" fontId="0" fillId="0" borderId="0" xfId="0" applyNumberFormat="1" applyAlignment="1" applyProtection="1">
      <alignment horizontal="left"/>
      <protection locked="0" hidden="1"/>
    </xf>
    <xf numFmtId="9" fontId="0" fillId="0" borderId="0" xfId="0" applyNumberFormat="1" applyProtection="1">
      <protection locked="0" hidden="1"/>
    </xf>
    <xf numFmtId="43" fontId="16" fillId="0" borderId="0" xfId="1" applyFont="1" applyAlignment="1" applyProtection="1">
      <alignment horizontal="center" vertical="center"/>
      <protection locked="0" hidden="1"/>
    </xf>
    <xf numFmtId="164" fontId="11" fillId="0" borderId="0" xfId="2" applyNumberFormat="1" applyFont="1" applyAlignment="1" applyProtection="1">
      <alignment vertical="center"/>
      <protection locked="0" hidden="1"/>
    </xf>
    <xf numFmtId="0" fontId="20" fillId="5" borderId="0" xfId="0" applyFont="1" applyFill="1" applyAlignment="1" applyProtection="1">
      <alignment horizontal="center" vertical="center"/>
      <protection locked="0" hidden="1"/>
    </xf>
    <xf numFmtId="0" fontId="11" fillId="5" borderId="0" xfId="0" applyFont="1" applyFill="1" applyAlignment="1" applyProtection="1">
      <alignment horizontal="center" vertical="center"/>
      <protection locked="0" hidden="1"/>
    </xf>
    <xf numFmtId="0" fontId="11" fillId="6" borderId="0" xfId="0" applyFont="1" applyFill="1" applyAlignment="1" applyProtection="1">
      <alignment horizontal="center" vertical="center"/>
      <protection locked="0" hidden="1"/>
    </xf>
    <xf numFmtId="0" fontId="4" fillId="5" borderId="0" xfId="0" applyFont="1" applyFill="1" applyAlignment="1" applyProtection="1">
      <alignment horizontal="center" vertical="center"/>
      <protection locked="0" hidden="1"/>
    </xf>
    <xf numFmtId="0" fontId="2" fillId="0" borderId="0" xfId="0"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0" fontId="4" fillId="0" borderId="0" xfId="0" applyFont="1" applyAlignment="1" applyProtection="1">
      <alignment horizontal="center" vertical="center"/>
      <protection locked="0" hidden="1"/>
    </xf>
    <xf numFmtId="174" fontId="4" fillId="0" borderId="0" xfId="0" applyNumberFormat="1" applyFont="1" applyAlignment="1" applyProtection="1">
      <alignment horizontal="center" vertical="center"/>
      <protection locked="0" hidden="1"/>
    </xf>
    <xf numFmtId="0" fontId="2" fillId="0" borderId="0" xfId="0" applyFont="1" applyAlignment="1" applyProtection="1">
      <alignment horizontal="left" vertical="center"/>
      <protection locked="0" hidden="1"/>
    </xf>
    <xf numFmtId="174" fontId="2" fillId="0" borderId="0" xfId="0" applyNumberFormat="1" applyFont="1" applyAlignment="1" applyProtection="1">
      <alignment horizontal="left" vertical="center"/>
      <protection locked="0" hidden="1"/>
    </xf>
    <xf numFmtId="0" fontId="2" fillId="2" borderId="4" xfId="0" applyFont="1" applyFill="1" applyBorder="1" applyAlignment="1" applyProtection="1">
      <alignment horizontal="center" vertical="center"/>
      <protection locked="0" hidden="1"/>
    </xf>
    <xf numFmtId="174" fontId="2" fillId="2" borderId="5" xfId="0" applyNumberFormat="1" applyFont="1" applyFill="1" applyBorder="1" applyAlignment="1" applyProtection="1">
      <alignment horizontal="center" vertical="center"/>
      <protection locked="0" hidden="1"/>
    </xf>
    <xf numFmtId="173" fontId="2" fillId="0" borderId="4" xfId="0" applyNumberFormat="1" applyFont="1" applyBorder="1" applyAlignment="1" applyProtection="1">
      <alignment horizontal="center" vertical="center"/>
      <protection locked="0" hidden="1"/>
    </xf>
    <xf numFmtId="173" fontId="2" fillId="0" borderId="5" xfId="0" applyNumberFormat="1" applyFont="1" applyBorder="1" applyAlignment="1" applyProtection="1">
      <alignment horizontal="center" vertical="center"/>
      <protection locked="0" hidden="1"/>
    </xf>
    <xf numFmtId="0" fontId="2" fillId="0" borderId="4" xfId="0" applyFont="1" applyBorder="1" applyAlignment="1" applyProtection="1">
      <alignment horizontal="center" vertical="center"/>
      <protection locked="0" hidden="1"/>
    </xf>
    <xf numFmtId="174" fontId="2" fillId="0" borderId="5" xfId="0" applyNumberFormat="1" applyFont="1" applyBorder="1" applyAlignment="1" applyProtection="1">
      <alignment horizontal="center" vertical="center"/>
      <protection locked="0" hidden="1"/>
    </xf>
    <xf numFmtId="174" fontId="2" fillId="0" borderId="4" xfId="0" applyNumberFormat="1" applyFont="1" applyBorder="1" applyAlignment="1" applyProtection="1">
      <alignment horizontal="center" vertical="center"/>
      <protection locked="0" hidden="1"/>
    </xf>
    <xf numFmtId="168" fontId="2" fillId="0" borderId="4" xfId="0" applyNumberFormat="1" applyFont="1" applyBorder="1" applyAlignment="1" applyProtection="1">
      <alignment horizontal="center" vertical="center"/>
      <protection locked="0" hidden="1"/>
    </xf>
    <xf numFmtId="164" fontId="7" fillId="3" borderId="0" xfId="1" applyNumberFormat="1" applyFont="1" applyFill="1" applyAlignment="1" applyProtection="1">
      <alignment horizontal="center" vertical="center"/>
      <protection locked="0" hidden="1"/>
    </xf>
    <xf numFmtId="0" fontId="7" fillId="3" borderId="8" xfId="0" applyFont="1" applyFill="1" applyBorder="1" applyAlignment="1" applyProtection="1">
      <alignment horizontal="left" vertical="center"/>
      <protection locked="0" hidden="1"/>
    </xf>
    <xf numFmtId="174" fontId="7" fillId="3" borderId="0" xfId="0" applyNumberFormat="1" applyFont="1" applyFill="1" applyAlignment="1" applyProtection="1">
      <alignment horizontal="left" vertical="center"/>
      <protection locked="0" hidden="1"/>
    </xf>
    <xf numFmtId="164" fontId="2" fillId="2" borderId="0" xfId="1" applyNumberFormat="1" applyFont="1" applyFill="1" applyAlignment="1" applyProtection="1">
      <alignment horizontal="center" vertical="center"/>
      <protection locked="0" hidden="1"/>
    </xf>
    <xf numFmtId="174" fontId="2" fillId="5" borderId="0" xfId="1" applyNumberFormat="1" applyFont="1" applyFill="1" applyBorder="1" applyAlignment="1" applyProtection="1">
      <alignment horizontal="center" vertical="center"/>
      <protection locked="0" hidden="1"/>
    </xf>
    <xf numFmtId="164" fontId="2" fillId="0" borderId="0" xfId="1" applyNumberFormat="1" applyFont="1" applyBorder="1" applyAlignment="1" applyProtection="1">
      <alignment horizontal="center" vertical="center"/>
      <protection locked="0" hidden="1"/>
    </xf>
    <xf numFmtId="164" fontId="2" fillId="5" borderId="0" xfId="1" applyNumberFormat="1" applyFont="1" applyFill="1" applyBorder="1" applyAlignment="1" applyProtection="1">
      <alignment horizontal="center" vertical="center"/>
      <protection locked="0" hidden="1"/>
    </xf>
    <xf numFmtId="168" fontId="0" fillId="0" borderId="4" xfId="0" applyNumberFormat="1" applyBorder="1" applyAlignment="1" applyProtection="1">
      <alignment horizontal="center" vertical="center"/>
      <protection locked="0" hidden="1"/>
    </xf>
  </cellXfs>
  <cellStyles count="3">
    <cellStyle name="Comma" xfId="1" builtinId="3"/>
    <cellStyle name="Normal" xfId="0" builtinId="0"/>
    <cellStyle name="Percent" xfId="2" builtinId="5"/>
  </cellStyles>
  <dxfs count="2258">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border outline="0">
        <top style="thin">
          <color theme="5"/>
        </top>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8"/>
        <color theme="0"/>
        <name val="Segoe UI Light"/>
        <family val="2"/>
        <scheme val="minor"/>
      </font>
      <fill>
        <patternFill patternType="solid">
          <fgColor theme="5"/>
          <bgColor theme="5"/>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0"/>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rgb="FFFFC1C1"/>
        </top>
      </border>
    </dxf>
    <dxf>
      <border outline="0">
        <left style="thin">
          <color rgb="FFFFC1C1"/>
        </left>
        <right style="thin">
          <color rgb="FFFFC1C1"/>
        </right>
        <top style="thin">
          <color rgb="FFFFC1C1"/>
        </top>
        <bottom style="thin">
          <color rgb="FFFFC1C1"/>
        </bottom>
      </border>
    </dxf>
    <dxf>
      <font>
        <b val="0"/>
        <i val="0"/>
        <strike val="0"/>
        <condense val="0"/>
        <extend val="0"/>
        <outline val="0"/>
        <shadow val="0"/>
        <u val="none"/>
        <vertAlign val="baseline"/>
        <sz val="8"/>
        <color rgb="FF000000"/>
        <name val="Segoe UI Light"/>
        <family val="2"/>
        <scheme val="minor"/>
      </font>
      <fill>
        <patternFill patternType="none">
          <fgColor rgb="FF000000"/>
          <bgColor auto="1"/>
        </patternFill>
      </fill>
      <alignment horizontal="general" vertical="center" textRotation="0" wrapText="0" indent="0" justifyLastLine="0" shrinkToFit="0" readingOrder="0"/>
      <protection locked="0" hidden="1"/>
    </dxf>
    <dxf>
      <border outline="0">
        <bottom style="thin">
          <color rgb="FFFFC1C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top style="thin">
          <color theme="5" tint="0.39997558519241921"/>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6" formatCode="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top style="thin">
          <color theme="5" tint="0.39997558519241921"/>
        </top>
        <bottom style="thin">
          <color theme="5" tint="0.39997558519241921"/>
        </bottom>
      </border>
    </dxf>
    <dxf>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1"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ill>
        <patternFill>
          <bgColor theme="8" tint="0.79998168889431442"/>
        </patternFill>
      </fill>
    </dxf>
    <dxf>
      <fill>
        <patternFill>
          <bgColor theme="6"/>
        </patternFill>
      </fill>
    </dxf>
    <dxf>
      <fill>
        <patternFill>
          <bgColor theme="8" tint="0.79998168889431442"/>
        </patternFill>
      </fill>
    </dxf>
    <dxf>
      <fill>
        <patternFill>
          <bgColor theme="8" tint="0.79998168889431442"/>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left style="thin">
          <color theme="5" tint="0.39997558519241921"/>
        </left>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1"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6"/>
        </patternFill>
      </fill>
    </dxf>
    <dxf>
      <fill>
        <patternFill>
          <bgColor theme="6"/>
        </patternFill>
      </fill>
    </dxf>
    <dxf>
      <font>
        <strike val="0"/>
        <outline val="0"/>
        <shadow val="0"/>
        <u val="none"/>
        <vertAlign val="baseline"/>
        <sz val="8"/>
        <color theme="9"/>
        <name val="Segoe UI Light"/>
        <family val="2"/>
        <scheme val="none"/>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top style="thin">
          <color theme="5" tint="0.39997558519241921"/>
        </top>
        <bottom style="thin">
          <color theme="5" tint="0.39997558519241921"/>
        </bottom>
      </border>
    </dxf>
    <dxf>
      <fill>
        <patternFill patternType="none">
          <fgColor indexed="64"/>
          <bgColor auto="1"/>
        </patternFill>
      </fill>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0"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7"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4" formatCode="_(* #,##0_);_(* \(#,##0\);_(* &quot;-&quot;??_);_(@_)"/>
    </dxf>
    <dxf>
      <numFmt numFmtId="164" formatCode="_(* #,##0_);_(* \(#,##0\);_(* &quot;-&quot;??_);_(@_)"/>
    </dxf>
    <dxf>
      <font>
        <color theme="0"/>
      </font>
      <border>
        <vertical/>
        <horizontal/>
      </border>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1"/>
        <name val="Segoe UI Light"/>
        <family val="2"/>
        <scheme val="minor"/>
      </font>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8"/>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8" formatCode="d/m/yyyy"/>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tint="-0.499984740745262"/>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center" vertical="center" textRotation="0" wrapText="0" indent="0" justifyLastLine="0" shrinkToFit="0" readingOrder="0"/>
      <protection locked="0" hidden="1"/>
    </dxf>
    <dxf>
      <font>
        <b val="0"/>
        <i val="0"/>
        <strike val="0"/>
        <outline val="0"/>
        <shadow val="0"/>
        <u val="none"/>
        <vertAlign val="baseline"/>
        <sz val="8"/>
        <name val="Segoe UI Light"/>
        <family val="2"/>
        <scheme val="minor"/>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strike val="0"/>
        <outline val="0"/>
        <shadow val="0"/>
        <u val="none"/>
        <vertAlign val="baseline"/>
        <sz val="8"/>
      </font>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71"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71" formatCode="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9" formatCode="m/d/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protection hidden="0"/>
    </dxf>
    <dxf>
      <protection hidden="0"/>
    </dxf>
    <dxf>
      <protection hidden="0"/>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protection locked="0" hidden="1"/>
    </dxf>
    <dxf>
      <protection locked="0" hidden="1"/>
    </dxf>
    <dxf>
      <fill>
        <patternFill>
          <bgColor theme="6" tint="0.79998168889431442"/>
        </patternFill>
      </fill>
    </dxf>
    <dxf>
      <fill>
        <patternFill>
          <bgColor theme="6" tint="0.79998168889431442"/>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257"/>
      <tableStyleElement type="headerRow" dxfId="2256"/>
    </tableStyle>
    <tableStyle name="SlicerStyleLight1 2 2" pivot="0" table="0" count="10" xr9:uid="{9DB8D611-4D15-4128-AF8D-E3329BCC5BCE}">
      <tableStyleElement type="wholeTable" dxfId="2255"/>
      <tableStyleElement type="headerRow" dxfId="2254"/>
    </tableStyle>
    <tableStyle name="TimeSlicerStyleLight1 2" pivot="0" table="0" count="9" xr9:uid="{58382D9D-B456-41C4-B229-09D2A872184E}">
      <tableStyleElement type="wholeTable" dxfId="2253"/>
      <tableStyleElement type="headerRow" dxfId="225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5.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11.xml"/><Relationship Id="rId68" Type="http://schemas.openxmlformats.org/officeDocument/2006/relationships/pivotCacheDefinition" Target="pivotCache/pivotCacheDefinition16.xml"/><Relationship Id="rId84" Type="http://schemas.openxmlformats.org/officeDocument/2006/relationships/connections" Target="connections.xml"/><Relationship Id="rId89" Type="http://schemas.microsoft.com/office/2017/06/relationships/rdRichValueStructure" Target="richData/rdrichvaluestructure.xml"/><Relationship Id="rId112" Type="http://schemas.openxmlformats.org/officeDocument/2006/relationships/customXml" Target="../customXml/item20.xml"/><Relationship Id="rId16" Type="http://schemas.openxmlformats.org/officeDocument/2006/relationships/worksheet" Target="worksheets/sheet16.xml"/><Relationship Id="rId107" Type="http://schemas.openxmlformats.org/officeDocument/2006/relationships/customXml" Target="../customXml/item1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openxmlformats.org/officeDocument/2006/relationships/pivotCacheDefinition" Target="pivotCache/pivotCacheDefinition18.xml"/><Relationship Id="rId79" Type="http://schemas.microsoft.com/office/2011/relationships/timelineCache" Target="timelineCaches/timelineCache3.xml"/><Relationship Id="rId102" Type="http://schemas.openxmlformats.org/officeDocument/2006/relationships/customXml" Target="../customXml/item10.xml"/><Relationship Id="rId123" Type="http://schemas.openxmlformats.org/officeDocument/2006/relationships/customXml" Target="../customXml/item31.xml"/><Relationship Id="rId128" Type="http://schemas.openxmlformats.org/officeDocument/2006/relationships/customXml" Target="../customXml/item36.xml"/><Relationship Id="rId5" Type="http://schemas.openxmlformats.org/officeDocument/2006/relationships/worksheet" Target="worksheets/sheet5.xml"/><Relationship Id="rId90" Type="http://schemas.microsoft.com/office/2017/06/relationships/rdRichValueTypes" Target="richData/rdRichValueTypes.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12.xml"/><Relationship Id="rId69" Type="http://schemas.openxmlformats.org/officeDocument/2006/relationships/pivotCacheDefinition" Target="pivotCache/pivotCacheDefinition17.xml"/><Relationship Id="rId113" Type="http://schemas.openxmlformats.org/officeDocument/2006/relationships/customXml" Target="../customXml/item21.xml"/><Relationship Id="rId118" Type="http://schemas.openxmlformats.org/officeDocument/2006/relationships/customXml" Target="../customXml/item26.xml"/><Relationship Id="rId80" Type="http://schemas.microsoft.com/office/2011/relationships/timelineCache" Target="timelineCaches/timelineCache4.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pivotCacheDefinition" Target="pivotCache/pivotCacheDefinition7.xml"/><Relationship Id="rId103" Type="http://schemas.openxmlformats.org/officeDocument/2006/relationships/customXml" Target="../customXml/item11.xml"/><Relationship Id="rId108" Type="http://schemas.openxmlformats.org/officeDocument/2006/relationships/customXml" Target="../customXml/item16.xml"/><Relationship Id="rId124" Type="http://schemas.openxmlformats.org/officeDocument/2006/relationships/customXml" Target="../customXml/item32.xml"/><Relationship Id="rId129" Type="http://schemas.openxmlformats.org/officeDocument/2006/relationships/customXml" Target="../customXml/item37.xml"/><Relationship Id="rId54" Type="http://schemas.openxmlformats.org/officeDocument/2006/relationships/pivotCacheDefinition" Target="pivotCache/pivotCacheDefinition2.xml"/><Relationship Id="rId70" Type="http://schemas.microsoft.com/office/2007/relationships/slicerCache" Target="slicerCaches/slicerCache1.xml"/><Relationship Id="rId75" Type="http://schemas.openxmlformats.org/officeDocument/2006/relationships/pivotCacheDefinition" Target="pivotCache/pivotCacheDefinition19.xml"/><Relationship Id="rId91" Type="http://schemas.openxmlformats.org/officeDocument/2006/relationships/powerPivotData" Target="model/item.data"/><Relationship Id="rId9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22.xml"/><Relationship Id="rId119" Type="http://schemas.openxmlformats.org/officeDocument/2006/relationships/customXml" Target="../customXml/item27.xml"/><Relationship Id="rId44" Type="http://schemas.openxmlformats.org/officeDocument/2006/relationships/worksheet" Target="worksheets/sheet44.xml"/><Relationship Id="rId60" Type="http://schemas.openxmlformats.org/officeDocument/2006/relationships/pivotCacheDefinition" Target="pivotCache/pivotCacheDefinition8.xml"/><Relationship Id="rId65" Type="http://schemas.openxmlformats.org/officeDocument/2006/relationships/pivotCacheDefinition" Target="pivotCache/pivotCacheDefinition13.xml"/><Relationship Id="rId81" Type="http://schemas.microsoft.com/office/2011/relationships/timelineCache" Target="timelineCaches/timelineCache5.xml"/><Relationship Id="rId86" Type="http://schemas.openxmlformats.org/officeDocument/2006/relationships/sharedStrings" Target="sharedStrings.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7.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openxmlformats.org/officeDocument/2006/relationships/pivotCacheDefinition" Target="pivotCache/pivotCacheDefinition20.xml"/><Relationship Id="rId97" Type="http://schemas.openxmlformats.org/officeDocument/2006/relationships/customXml" Target="../customXml/item5.xml"/><Relationship Id="rId104" Type="http://schemas.openxmlformats.org/officeDocument/2006/relationships/customXml" Target="../customXml/item12.xml"/><Relationship Id="rId120" Type="http://schemas.openxmlformats.org/officeDocument/2006/relationships/customXml" Target="../customXml/item28.xml"/><Relationship Id="rId125" Type="http://schemas.openxmlformats.org/officeDocument/2006/relationships/customXml" Target="../customXml/item33.xml"/><Relationship Id="rId7" Type="http://schemas.openxmlformats.org/officeDocument/2006/relationships/worksheet" Target="worksheets/sheet7.xml"/><Relationship Id="rId71" Type="http://schemas.microsoft.com/office/2007/relationships/slicerCache" Target="slicerCaches/slicerCache2.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14.xml"/><Relationship Id="rId87" Type="http://schemas.openxmlformats.org/officeDocument/2006/relationships/sheetMetadata" Target="metadata.xml"/><Relationship Id="rId110" Type="http://schemas.openxmlformats.org/officeDocument/2006/relationships/customXml" Target="../customXml/item18.xml"/><Relationship Id="rId115" Type="http://schemas.openxmlformats.org/officeDocument/2006/relationships/customXml" Target="../customXml/item23.xml"/><Relationship Id="rId61" Type="http://schemas.openxmlformats.org/officeDocument/2006/relationships/pivotCacheDefinition" Target="pivotCache/pivotCacheDefinition9.xml"/><Relationship Id="rId82" Type="http://schemas.microsoft.com/office/2011/relationships/timelineCache" Target="timelineCaches/timelineCache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pivotCacheDefinition" Target="pivotCache/pivotCacheDefinition4.xml"/><Relationship Id="rId77" Type="http://schemas.microsoft.com/office/2011/relationships/timelineCache" Target="timelineCaches/timelineCache1.xml"/><Relationship Id="rId100" Type="http://schemas.openxmlformats.org/officeDocument/2006/relationships/customXml" Target="../customXml/item8.xml"/><Relationship Id="rId105" Type="http://schemas.openxmlformats.org/officeDocument/2006/relationships/customXml" Target="../customXml/item13.xml"/><Relationship Id="rId126"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3.xml"/><Relationship Id="rId93" Type="http://schemas.openxmlformats.org/officeDocument/2006/relationships/customXml" Target="../customXml/item1.xml"/><Relationship Id="rId98" Type="http://schemas.openxmlformats.org/officeDocument/2006/relationships/customXml" Target="../customXml/item6.xml"/><Relationship Id="rId121" Type="http://schemas.openxmlformats.org/officeDocument/2006/relationships/customXml" Target="../customXml/item2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15.xml"/><Relationship Id="rId116" Type="http://schemas.openxmlformats.org/officeDocument/2006/relationships/customXml" Target="../customXml/item2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pivotCacheDefinition" Target="pivotCache/pivotCacheDefinition10.xml"/><Relationship Id="rId83" Type="http://schemas.openxmlformats.org/officeDocument/2006/relationships/theme" Target="theme/theme1.xml"/><Relationship Id="rId88" Type="http://schemas.microsoft.com/office/2017/06/relationships/rdRichValue" Target="richData/rdrichvalue.xml"/><Relationship Id="rId111" Type="http://schemas.openxmlformats.org/officeDocument/2006/relationships/customXml" Target="../customXml/item1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pivotCacheDefinition" Target="pivotCache/pivotCacheDefinition5.xml"/><Relationship Id="rId106" Type="http://schemas.openxmlformats.org/officeDocument/2006/relationships/customXml" Target="../customXml/item14.xml"/><Relationship Id="rId127" Type="http://schemas.openxmlformats.org/officeDocument/2006/relationships/customXml" Target="../customXml/item3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microsoft.com/office/2007/relationships/slicerCache" Target="slicerCaches/slicerCache4.xml"/><Relationship Id="rId78" Type="http://schemas.microsoft.com/office/2011/relationships/timelineCache" Target="timelineCaches/timelineCache2.xml"/><Relationship Id="rId94" Type="http://schemas.openxmlformats.org/officeDocument/2006/relationships/customXml" Target="../customXml/item2.xml"/><Relationship Id="rId99" Type="http://schemas.openxmlformats.org/officeDocument/2006/relationships/customXml" Target="../customXml/item7.xml"/><Relationship Id="rId101" Type="http://schemas.openxmlformats.org/officeDocument/2006/relationships/customXml" Target="../customXml/item9.xml"/><Relationship Id="rId12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2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2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2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2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3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3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4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4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10.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Dashboard_BCQT!$CW$13</c:f>
              <c:strCache>
                <c:ptCount val="1"/>
                <c:pt idx="0">
                  <c:v>Giá trị gốc</c:v>
                </c:pt>
              </c:strCache>
            </c:strRef>
          </c:tx>
          <c:spPr>
            <a:solidFill>
              <a:schemeClr val="accent1"/>
            </a:solidFill>
            <a:ln>
              <a:noFill/>
            </a:ln>
            <a:effectLst/>
          </c:spPr>
          <c:invertIfNegative val="0"/>
          <c:val>
            <c:numRef>
              <c:f>Dashboard_BCQT!$CW$14:$CW$25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Dashboard_BCQT!$CX$13</c:f>
              <c:strCache>
                <c:ptCount val="1"/>
                <c:pt idx="0">
                  <c:v>Đạt benchmark</c:v>
                </c:pt>
              </c:strCache>
            </c:strRef>
          </c:tx>
          <c:spPr>
            <a:solidFill>
              <a:schemeClr val="accent6">
                <a:lumMod val="60000"/>
                <a:lumOff val="40000"/>
              </a:schemeClr>
            </a:solidFill>
            <a:ln>
              <a:noFill/>
            </a:ln>
            <a:effectLst/>
          </c:spPr>
          <c:invertIfNegative val="0"/>
          <c:dLbls>
            <c:dLbl>
              <c:idx val="0"/>
              <c:tx>
                <c:rich>
                  <a:bodyPr/>
                  <a:lstStyle/>
                  <a:p>
                    <a:fld id="{6A110588-41C1-457B-B6BA-7447358B43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9D4-4604-8EF4-D8C410ED02D1}"/>
                </c:ext>
              </c:extLst>
            </c:dLbl>
            <c:dLbl>
              <c:idx val="1"/>
              <c:tx>
                <c:rich>
                  <a:bodyPr/>
                  <a:lstStyle/>
                  <a:p>
                    <a:fld id="{8450848C-7EF5-406F-B39F-CA76CF37C7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9D4-4604-8EF4-D8C410ED02D1}"/>
                </c:ext>
              </c:extLst>
            </c:dLbl>
            <c:dLbl>
              <c:idx val="2"/>
              <c:tx>
                <c:rich>
                  <a:bodyPr/>
                  <a:lstStyle/>
                  <a:p>
                    <a:fld id="{5FD0494B-0EA9-41DB-B5B4-538A979C72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9D4-4604-8EF4-D8C410ED02D1}"/>
                </c:ext>
              </c:extLst>
            </c:dLbl>
            <c:dLbl>
              <c:idx val="3"/>
              <c:tx>
                <c:rich>
                  <a:bodyPr/>
                  <a:lstStyle/>
                  <a:p>
                    <a:fld id="{176FAF47-02BE-4154-9E78-72A6FC7EAB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9D4-4604-8EF4-D8C410ED02D1}"/>
                </c:ext>
              </c:extLst>
            </c:dLbl>
            <c:dLbl>
              <c:idx val="4"/>
              <c:tx>
                <c:rich>
                  <a:bodyPr/>
                  <a:lstStyle/>
                  <a:p>
                    <a:fld id="{CEF52216-9FF7-4E30-A16C-CEE50B9E1D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9D4-4604-8EF4-D8C410ED02D1}"/>
                </c:ext>
              </c:extLst>
            </c:dLbl>
            <c:dLbl>
              <c:idx val="5"/>
              <c:tx>
                <c:rich>
                  <a:bodyPr/>
                  <a:lstStyle/>
                  <a:p>
                    <a:fld id="{906DC710-4107-461E-8688-360E25B1BE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9D4-4604-8EF4-D8C410ED02D1}"/>
                </c:ext>
              </c:extLst>
            </c:dLbl>
            <c:dLbl>
              <c:idx val="6"/>
              <c:tx>
                <c:rich>
                  <a:bodyPr/>
                  <a:lstStyle/>
                  <a:p>
                    <a:fld id="{B29A2082-E819-4586-98E8-CAA9939229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E9D4-4604-8EF4-D8C410ED02D1}"/>
                </c:ext>
              </c:extLst>
            </c:dLbl>
            <c:dLbl>
              <c:idx val="7"/>
              <c:tx>
                <c:rich>
                  <a:bodyPr/>
                  <a:lstStyle/>
                  <a:p>
                    <a:fld id="{6ABBA40F-3622-4842-9622-219DFEAF85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E9D4-4604-8EF4-D8C410ED02D1}"/>
                </c:ext>
              </c:extLst>
            </c:dLbl>
            <c:dLbl>
              <c:idx val="8"/>
              <c:tx>
                <c:rich>
                  <a:bodyPr/>
                  <a:lstStyle/>
                  <a:p>
                    <a:fld id="{6309FF85-CC67-41FA-AD81-15B04F36EA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E9D4-4604-8EF4-D8C410ED02D1}"/>
                </c:ext>
              </c:extLst>
            </c:dLbl>
            <c:dLbl>
              <c:idx val="9"/>
              <c:tx>
                <c:rich>
                  <a:bodyPr/>
                  <a:lstStyle/>
                  <a:p>
                    <a:fld id="{6060BD8B-3CD5-4138-8444-B88A9DAF6F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E9D4-4604-8EF4-D8C410ED02D1}"/>
                </c:ext>
              </c:extLst>
            </c:dLbl>
            <c:dLbl>
              <c:idx val="10"/>
              <c:tx>
                <c:rich>
                  <a:bodyPr/>
                  <a:lstStyle/>
                  <a:p>
                    <a:fld id="{6DB5EC43-4A8A-4B28-BA1A-E1FE835F22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E9D4-4604-8EF4-D8C410ED02D1}"/>
                </c:ext>
              </c:extLst>
            </c:dLbl>
            <c:dLbl>
              <c:idx val="11"/>
              <c:tx>
                <c:rich>
                  <a:bodyPr/>
                  <a:lstStyle/>
                  <a:p>
                    <a:fld id="{4366D265-4AC1-4F1F-BFDC-EBC62D653D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E9D4-4604-8EF4-D8C410ED02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Dashboard_BCQT!$CX$14:$CX$25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5="http://schemas.microsoft.com/office/drawing/2012/chart" uri="{02D57815-91ED-43cb-92C2-25804820EDAC}">
              <c15:datalabelsRange>
                <c15:f>Dashboard_BCQT!$CY$14:$CY$25</c15:f>
                <c15:dlblRangeCache>
                  <c:ptCount val="12"/>
                </c15:dlblRangeCache>
              </c15:datalabelsRang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Dashboard_BCQT!$CZ$13</c:f>
              <c:strCache>
                <c:ptCount val="1"/>
                <c:pt idx="0">
                  <c:v>Hiệu quả</c:v>
                </c:pt>
              </c:strCache>
            </c:strRef>
          </c:tx>
          <c:spPr>
            <a:ln w="28575" cap="rnd">
              <a:solidFill>
                <a:schemeClr val="accent2"/>
              </a:solidFill>
              <a:round/>
            </a:ln>
            <a:effectLst/>
          </c:spPr>
          <c:marker>
            <c:symbol val="none"/>
          </c:marker>
          <c:val>
            <c:numRef>
              <c:f>Dashboard_BCQT!$CZ$14:$CZ$25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dLbl>
              <c:idx val="0"/>
              <c:tx>
                <c:rich>
                  <a:bodyPr/>
                  <a:lstStyle/>
                  <a:p>
                    <a:fld id="{3C0D89DA-04BF-4AC5-BDA7-2B52AC14F897}" type="CELLRANGE">
                      <a:rPr lang="en-US" baseline="0"/>
                      <a:pPr/>
                      <a:t>[CELLRANGE]</a:t>
                    </a:fld>
                    <a:r>
                      <a:rPr lang="en-US" baseline="0"/>
                      <a:t>; </a:t>
                    </a:r>
                    <a:fld id="{1C991209-50B9-40AA-B89D-D50D6476DDEA}" type="CATEGORYNAME">
                      <a:rPr lang="en-US" baseline="0"/>
                      <a:pPr/>
                      <a:t>[CATEGORY NAME]</a:t>
                    </a:fld>
                    <a:r>
                      <a:rPr lang="en-US" baseline="0"/>
                      <a:t>; </a:t>
                    </a:r>
                    <a:fld id="{0AAC652D-6FDB-4AAB-AE80-12F2A299B34B}"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08-4CCE-82A7-37480B74EE16}"/>
                </c:ext>
              </c:extLst>
            </c:dLbl>
            <c:dLbl>
              <c:idx val="1"/>
              <c:tx>
                <c:rich>
                  <a:bodyPr/>
                  <a:lstStyle/>
                  <a:p>
                    <a:fld id="{8A144D27-8531-4966-8F8A-92AF5AD5C4CC}" type="CELLRANGE">
                      <a:rPr lang="en-US"/>
                      <a:pPr/>
                      <a:t>[CELLRANGE]</a:t>
                    </a:fld>
                    <a:r>
                      <a:rPr lang="en-US" baseline="0"/>
                      <a:t>; </a:t>
                    </a:r>
                    <a:fld id="{A5B92B3A-1CBA-451B-98CF-0D6CFD05B4AE}" type="CATEGORYNAME">
                      <a:rPr lang="en-US" baseline="0"/>
                      <a:pPr/>
                      <a:t>[CATEGORY NAME]</a:t>
                    </a:fld>
                    <a:r>
                      <a:rPr lang="en-US" baseline="0"/>
                      <a:t>; </a:t>
                    </a:r>
                    <a:fld id="{243CF44B-C09F-4D39-A5E1-9067EFED1EF2}"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C308-4CCE-82A7-37480B74EE1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Dashboard_BCQT!$CV$28:$CV$29</c:f>
              <c:strCache>
                <c:ptCount val="2"/>
                <c:pt idx="0">
                  <c:v>CP biến đổi</c:v>
                </c:pt>
                <c:pt idx="1">
                  <c:v>CP cố định</c:v>
                </c:pt>
              </c:strCache>
            </c:strRef>
          </c:cat>
          <c:val>
            <c:numRef>
              <c:f>Dashboard_BCQT!$CW$28:$CW$29</c:f>
              <c:numCache>
                <c:formatCode>General</c:formatCode>
                <c:ptCount val="2"/>
                <c:pt idx="0">
                  <c:v>0</c:v>
                </c:pt>
                <c:pt idx="1">
                  <c:v>0</c:v>
                </c:pt>
              </c:numCache>
            </c:numRef>
          </c:val>
          <c:extLst>
            <c:ext xmlns:c15="http://schemas.microsoft.com/office/drawing/2012/chart" uri="{02D57815-91ED-43cb-92C2-25804820EDAC}">
              <c15:datalabelsRange>
                <c15:f>Dashboard_BCQT!$CX$28:$CX$29</c15:f>
                <c15:dlblRangeCache>
                  <c:ptCount val="2"/>
                </c15:dlblRangeCache>
              </c15:datalabelsRange>
            </c:ex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81957399912230944"/>
          <c:h val="0.79412276691220052"/>
        </c:manualLayout>
      </c:layout>
      <c:barChart>
        <c:barDir val="col"/>
        <c:grouping val="clustered"/>
        <c:varyColors val="0"/>
        <c:ser>
          <c:idx val="0"/>
          <c:order val="0"/>
          <c:tx>
            <c:strRef>
              <c:f>Dashboard_BCQT!$CQ$4</c:f>
              <c:strCache>
                <c:ptCount val="1"/>
                <c:pt idx="0">
                  <c:v>Giá trị gốc</c:v>
                </c:pt>
              </c:strCache>
            </c:strRef>
          </c:tx>
          <c:spPr>
            <a:solidFill>
              <a:schemeClr val="accent1"/>
            </a:solidFill>
            <a:ln>
              <a:noFill/>
            </a:ln>
            <a:effectLst/>
          </c:spPr>
          <c:invertIfNegative val="0"/>
          <c:cat>
            <c:numRef>
              <c:f>Dashboard_BCQT!$CP$5:$CP$6</c:f>
              <c:numCache>
                <c:formatCode>General</c:formatCode>
                <c:ptCount val="2"/>
                <c:pt idx="0">
                  <c:v>2023</c:v>
                </c:pt>
                <c:pt idx="1">
                  <c:v>2024</c:v>
                </c:pt>
              </c:numCache>
            </c:numRef>
          </c:cat>
          <c:val>
            <c:numRef>
              <c:f>Dashboard_BCQT!$CQ$5:$CQ$6</c:f>
              <c:numCache>
                <c:formatCode>General</c:formatCode>
                <c:ptCount val="2"/>
                <c:pt idx="0">
                  <c:v>0</c:v>
                </c:pt>
                <c:pt idx="1">
                  <c:v>0</c:v>
                </c:pt>
              </c:numCache>
            </c:numRef>
          </c:val>
          <c:extLst>
            <c:ext xmlns:c16="http://schemas.microsoft.com/office/drawing/2014/chart" uri="{C3380CC4-5D6E-409C-BE32-E72D297353CC}">
              <c16:uniqueId val="{00000000-0B04-41B2-A962-BC0CFBCC00E7}"/>
            </c:ext>
          </c:extLst>
        </c:ser>
        <c:ser>
          <c:idx val="1"/>
          <c:order val="1"/>
          <c:tx>
            <c:strRef>
              <c:f>Dashboard_BCQT!$CR$4</c:f>
              <c:strCache>
                <c:ptCount val="1"/>
                <c:pt idx="0">
                  <c:v>Giá trị đạt</c:v>
                </c:pt>
              </c:strCache>
            </c:strRef>
          </c:tx>
          <c:spPr>
            <a:solidFill>
              <a:schemeClr val="accent6">
                <a:lumMod val="60000"/>
                <a:lumOff val="40000"/>
              </a:schemeClr>
            </a:solidFill>
            <a:ln>
              <a:noFill/>
            </a:ln>
            <a:effectLst/>
          </c:spPr>
          <c:invertIfNegative val="0"/>
          <c:dLbls>
            <c:dLbl>
              <c:idx val="0"/>
              <c:tx>
                <c:rich>
                  <a:bodyPr/>
                  <a:lstStyle/>
                  <a:p>
                    <a:fld id="{FA91B770-07F6-4B35-81F7-C4CB0F7F9F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0B04-41B2-A962-BC0CFBCC00E7}"/>
                </c:ext>
              </c:extLst>
            </c:dLbl>
            <c:dLbl>
              <c:idx val="1"/>
              <c:tx>
                <c:rich>
                  <a:bodyPr/>
                  <a:lstStyle/>
                  <a:p>
                    <a:fld id="{D51E9F6A-EFC6-488C-8E42-B9EEB01CF0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3F-4FA7-84E9-4611D6802F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Dashboard_BCQT!$CP$5:$CP$6</c:f>
              <c:numCache>
                <c:formatCode>General</c:formatCode>
                <c:ptCount val="2"/>
                <c:pt idx="0">
                  <c:v>2023</c:v>
                </c:pt>
                <c:pt idx="1">
                  <c:v>2024</c:v>
                </c:pt>
              </c:numCache>
            </c:numRef>
          </c:cat>
          <c:val>
            <c:numRef>
              <c:f>Dashboard_BCQT!$CR$5:$CR$6</c:f>
              <c:numCache>
                <c:formatCode>_(* #,##0_);_(* \(#,##0\);_(* "-"??_);_(@_)</c:formatCode>
                <c:ptCount val="2"/>
                <c:pt idx="0">
                  <c:v>0</c:v>
                </c:pt>
                <c:pt idx="1">
                  <c:v>0</c:v>
                </c:pt>
              </c:numCache>
            </c:numRef>
          </c:val>
          <c:extLst>
            <c:ext xmlns:c15="http://schemas.microsoft.com/office/drawing/2012/chart" uri="{02D57815-91ED-43cb-92C2-25804820EDAC}">
              <c15:datalabelsRange>
                <c15:f>Dashboard_BCQT!$CS$5:$CS$6</c15:f>
                <c15:dlblRangeCache>
                  <c:ptCount val="2"/>
                </c15:dlblRangeCache>
              </c15:datalabelsRange>
            </c:ext>
            <c:ext xmlns:c16="http://schemas.microsoft.com/office/drawing/2014/chart" uri="{C3380CC4-5D6E-409C-BE32-E72D297353CC}">
              <c16:uniqueId val="{0000000E-0B04-41B2-A962-BC0CFBCC00E7}"/>
            </c:ext>
          </c:extLst>
        </c:ser>
        <c:dLbls>
          <c:showLegendKey val="0"/>
          <c:showVal val="0"/>
          <c:showCatName val="0"/>
          <c:showSerName val="0"/>
          <c:showPercent val="0"/>
          <c:showBubbleSize val="0"/>
        </c:dLbls>
        <c:gapWidth val="150"/>
        <c:overlap val="100"/>
        <c:axId val="36631344"/>
        <c:axId val="36631760"/>
      </c:barChart>
      <c:lineChart>
        <c:grouping val="standard"/>
        <c:varyColors val="0"/>
        <c:ser>
          <c:idx val="2"/>
          <c:order val="2"/>
          <c:tx>
            <c:strRef>
              <c:f>Dashboard_BCQT!$CT$4</c:f>
              <c:strCache>
                <c:ptCount val="1"/>
                <c:pt idx="0">
                  <c:v>Hiệu quả</c:v>
                </c:pt>
              </c:strCache>
            </c:strRef>
          </c:tx>
          <c:spPr>
            <a:ln w="28575" cap="rnd">
              <a:solidFill>
                <a:schemeClr val="accent3"/>
              </a:solidFill>
              <a:round/>
            </a:ln>
            <a:effectLst/>
          </c:spPr>
          <c:marker>
            <c:symbol val="none"/>
          </c:marker>
          <c:cat>
            <c:numRef>
              <c:f>Dashboard_BCQT!$CP$5:$CP$6</c:f>
              <c:numCache>
                <c:formatCode>General</c:formatCode>
                <c:ptCount val="2"/>
                <c:pt idx="0">
                  <c:v>2023</c:v>
                </c:pt>
                <c:pt idx="1">
                  <c:v>2024</c:v>
                </c:pt>
              </c:numCache>
            </c:numRef>
          </c:cat>
          <c:val>
            <c:numRef>
              <c:f>Dashboard_BCQT!$CT$5:$CT$6</c:f>
              <c:numCache>
                <c:formatCode>0.0%</c:formatCode>
                <c:ptCount val="2"/>
                <c:pt idx="0">
                  <c:v>0</c:v>
                </c:pt>
                <c:pt idx="1">
                  <c:v>0</c:v>
                </c:pt>
              </c:numCache>
            </c:numRef>
          </c:val>
          <c:smooth val="0"/>
          <c:extLst>
            <c:ext xmlns:c16="http://schemas.microsoft.com/office/drawing/2014/chart" uri="{C3380CC4-5D6E-409C-BE32-E72D297353CC}">
              <c16:uniqueId val="{0000000D-0B04-41B2-A962-BC0CFBCC00E7}"/>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Dashboard_BCQT!$CW$34:$CW$50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Dashboard_BCQT!$CX$34:$CX$50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General" sourceLinked="1"/>
        <c:majorTickMark val="none"/>
        <c:minorTickMark val="none"/>
        <c:tickLblPos val="nextTo"/>
        <c:crossAx val="207288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Dashboard_ThiTruong!$AR$7</c:f>
              <c:strCache>
                <c:ptCount val="1"/>
                <c:pt idx="0">
                  <c:v>Khách hàng</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41F-46C4-A890-4FC05DCD4AD9}"/>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306-4D39-A6A6-9D39C3B24872}"/>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306-4D39-A6A6-9D39C3B24872}"/>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306-4D39-A6A6-9D39C3B24872}"/>
                </c:ext>
              </c:extLst>
            </c:dLbl>
            <c:dLbl>
              <c:idx val="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7306-4D39-A6A6-9D39C3B24872}"/>
                </c:ext>
              </c:extLst>
            </c:dLbl>
            <c:dLbl>
              <c:idx val="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306-4D39-A6A6-9D39C3B24872}"/>
                </c:ext>
              </c:extLst>
            </c:dLbl>
            <c:dLbl>
              <c:idx val="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7306-4D39-A6A6-9D39C3B248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Dashboard_ThiTruong!$AU$8:$AU$14</c:f>
              <c:numCache>
                <c:formatCode>General</c:formatCode>
                <c:ptCount val="7"/>
                <c:pt idx="0">
                  <c:v>#N/A</c:v>
                </c:pt>
                <c:pt idx="1">
                  <c:v>#N/A</c:v>
                </c:pt>
                <c:pt idx="2">
                  <c:v>#N/A</c:v>
                </c:pt>
                <c:pt idx="3">
                  <c:v>#N/A</c:v>
                </c:pt>
                <c:pt idx="4">
                  <c:v>#N/A</c:v>
                </c:pt>
                <c:pt idx="5">
                  <c:v>#N/A</c:v>
                </c:pt>
                <c:pt idx="6">
                  <c:v>#N/A</c:v>
                </c:pt>
              </c:numCache>
            </c:numRef>
          </c:xVal>
          <c:yVal>
            <c:numRef>
              <c:f>Dashboard_ThiTruong!$AT$8:$AT$14</c:f>
              <c:numCache>
                <c:formatCode>General</c:formatCode>
                <c:ptCount val="7"/>
                <c:pt idx="0">
                  <c:v>#N/A</c:v>
                </c:pt>
                <c:pt idx="1">
                  <c:v>#N/A</c:v>
                </c:pt>
                <c:pt idx="2">
                  <c:v>#N/A</c:v>
                </c:pt>
                <c:pt idx="3">
                  <c:v>#N/A</c:v>
                </c:pt>
                <c:pt idx="4">
                  <c:v>#N/A</c:v>
                </c:pt>
                <c:pt idx="5">
                  <c:v>#N/A</c:v>
                </c:pt>
                <c:pt idx="6">
                  <c:v>#N/A</c:v>
                </c:pt>
              </c:numCache>
            </c:numRef>
          </c:yVal>
          <c:bubbleSize>
            <c:numRef>
              <c:f>Dashboard_ThiTruong!$AS$8:$AS$14</c:f>
              <c:numCache>
                <c:formatCode>General</c:formatCode>
                <c:ptCount val="7"/>
                <c:pt idx="0">
                  <c:v>#N/A</c:v>
                </c:pt>
                <c:pt idx="1">
                  <c:v>#N/A</c:v>
                </c:pt>
                <c:pt idx="2">
                  <c:v>#N/A</c:v>
                </c:pt>
                <c:pt idx="3">
                  <c:v>#N/A</c:v>
                </c:pt>
                <c:pt idx="4">
                  <c:v>#N/A</c:v>
                </c:pt>
                <c:pt idx="5">
                  <c:v>#N/A</c:v>
                </c:pt>
                <c:pt idx="6">
                  <c:v>#N/A</c:v>
                </c:pt>
              </c:numCache>
            </c:numRef>
          </c:bubbleSize>
          <c:bubble3D val="0"/>
          <c:extLst>
            <c:ext xmlns:c15="http://schemas.microsoft.com/office/drawing/2012/chart" uri="{02D57815-91ED-43cb-92C2-25804820EDAC}">
              <c15:datalabelsRange>
                <c15:f>Dashboard_ThiTruong!$AR$8:$AR$14</c15:f>
                <c15:dlblRangeCache>
                  <c:ptCount val="7"/>
                  <c:pt idx="0">
                    <c:v>KH01</c:v>
                  </c:pt>
                  <c:pt idx="1">
                    <c:v>KH02</c:v>
                  </c:pt>
                  <c:pt idx="2">
                    <c:v>KH03</c:v>
                  </c:pt>
                  <c:pt idx="3">
                    <c:v>KH04</c:v>
                  </c:pt>
                  <c:pt idx="4">
                    <c:v>KH05</c:v>
                  </c:pt>
                  <c:pt idx="5">
                    <c:v>KH06</c:v>
                  </c:pt>
                  <c:pt idx="6">
                    <c:v>KH07</c:v>
                  </c:pt>
                </c15:dlblRangeCache>
              </c15:datalabelsRange>
            </c:ext>
            <c:ext xmlns:c16="http://schemas.microsoft.com/office/drawing/2014/chart" uri="{C3380CC4-5D6E-409C-BE32-E72D297353CC}">
              <c16:uniqueId val="{00000000-E41F-46C4-A890-4FC05DCD4AD9}"/>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Dashboard_ThiTruong!$BP$14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1EF4D830-8BAC-456C-A58A-26B35A1B31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0A85-463A-9F62-9A71D1CF4E69}"/>
                </c:ext>
              </c:extLst>
            </c:dLbl>
            <c:dLbl>
              <c:idx val="1"/>
              <c:tx>
                <c:rich>
                  <a:bodyPr/>
                  <a:lstStyle/>
                  <a:p>
                    <a:fld id="{EAC9FAA3-B55F-4697-AEED-89DD1A8B06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A85-463A-9F62-9A71D1CF4E69}"/>
                </c:ext>
              </c:extLst>
            </c:dLbl>
            <c:dLbl>
              <c:idx val="2"/>
              <c:tx>
                <c:rich>
                  <a:bodyPr/>
                  <a:lstStyle/>
                  <a:p>
                    <a:fld id="{82560FDF-2EE4-4F02-948D-FB2BC99DEA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A85-463A-9F62-9A71D1CF4E69}"/>
                </c:ext>
              </c:extLst>
            </c:dLbl>
            <c:dLbl>
              <c:idx val="3"/>
              <c:tx>
                <c:rich>
                  <a:bodyPr/>
                  <a:lstStyle/>
                  <a:p>
                    <a:fld id="{339DA701-036B-4F5B-AE6E-A14C17B2BF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A85-463A-9F62-9A71D1CF4E69}"/>
                </c:ext>
              </c:extLst>
            </c:dLbl>
            <c:dLbl>
              <c:idx val="4"/>
              <c:tx>
                <c:rich>
                  <a:bodyPr/>
                  <a:lstStyle/>
                  <a:p>
                    <a:fld id="{DFA853C3-3E0D-4EA5-8C37-A88EAC5091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A85-463A-9F62-9A71D1CF4E69}"/>
                </c:ext>
              </c:extLst>
            </c:dLbl>
            <c:dLbl>
              <c:idx val="5"/>
              <c:tx>
                <c:rich>
                  <a:bodyPr/>
                  <a:lstStyle/>
                  <a:p>
                    <a:fld id="{3B6DF53F-89E0-495A-BDFD-D779BF6A7F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A85-463A-9F62-9A71D1CF4E69}"/>
                </c:ext>
              </c:extLst>
            </c:dLbl>
            <c:dLbl>
              <c:idx val="6"/>
              <c:tx>
                <c:rich>
                  <a:bodyPr/>
                  <a:lstStyle/>
                  <a:p>
                    <a:fld id="{49B9543A-28D6-400A-B3DD-972F04D895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A85-463A-9F62-9A71D1CF4E69}"/>
                </c:ext>
              </c:extLst>
            </c:dLbl>
            <c:dLbl>
              <c:idx val="7"/>
              <c:tx>
                <c:rich>
                  <a:bodyPr/>
                  <a:lstStyle/>
                  <a:p>
                    <a:fld id="{268D64D4-D7FB-4544-90C9-77C1C1C64B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A85-463A-9F62-9A71D1CF4E69}"/>
                </c:ext>
              </c:extLst>
            </c:dLbl>
            <c:dLbl>
              <c:idx val="8"/>
              <c:tx>
                <c:rich>
                  <a:bodyPr/>
                  <a:lstStyle/>
                  <a:p>
                    <a:fld id="{A3E1FFE5-A3B2-40A6-8A1F-301E7BF489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A85-463A-9F62-9A71D1CF4E69}"/>
                </c:ext>
              </c:extLst>
            </c:dLbl>
            <c:dLbl>
              <c:idx val="9"/>
              <c:tx>
                <c:rich>
                  <a:bodyPr/>
                  <a:lstStyle/>
                  <a:p>
                    <a:fld id="{F1976AAC-288D-4AFC-9488-DE60C3EE48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A85-463A-9F62-9A71D1CF4E69}"/>
                </c:ext>
              </c:extLst>
            </c:dLbl>
            <c:dLbl>
              <c:idx val="10"/>
              <c:tx>
                <c:rich>
                  <a:bodyPr/>
                  <a:lstStyle/>
                  <a:p>
                    <a:fld id="{46670738-83F1-4847-B82D-BE4AE8BBF8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A85-463A-9F62-9A71D1CF4E69}"/>
                </c:ext>
              </c:extLst>
            </c:dLbl>
            <c:dLbl>
              <c:idx val="11"/>
              <c:tx>
                <c:rich>
                  <a:bodyPr/>
                  <a:lstStyle/>
                  <a:p>
                    <a:fld id="{5281E49A-7113-4CD5-BF11-8D6126742D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A85-463A-9F62-9A71D1CF4E6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Dashboard_ThiTruong!$BP$15:$BP$26</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477200000</c:v>
                </c:pt>
                <c:pt idx="11">
                  <c:v>495800000</c:v>
                </c:pt>
              </c:numCache>
            </c:numRef>
          </c:val>
          <c:extLst>
            <c:ext xmlns:c15="http://schemas.microsoft.com/office/drawing/2012/chart" uri="{02D57815-91ED-43cb-92C2-25804820EDAC}">
              <c15:datalabelsRange>
                <c15:f>Dashboard_ThiTruong!$BQ$15:$BQ$26</c15:f>
                <c15:dlblRangeCache>
                  <c:ptCount val="12"/>
                  <c:pt idx="0">
                    <c:v>330.7tr</c:v>
                  </c:pt>
                  <c:pt idx="1">
                    <c:v>343.9tr</c:v>
                  </c:pt>
                  <c:pt idx="2">
                    <c:v>338.9tr</c:v>
                  </c:pt>
                  <c:pt idx="3">
                    <c:v>355.1tr</c:v>
                  </c:pt>
                  <c:pt idx="4">
                    <c:v>376.4tr</c:v>
                  </c:pt>
                  <c:pt idx="5">
                    <c:v>384.6tr</c:v>
                  </c:pt>
                  <c:pt idx="6">
                    <c:v>396.9tr</c:v>
                  </c:pt>
                  <c:pt idx="7">
                    <c:v>421.0tr</c:v>
                  </c:pt>
                  <c:pt idx="8">
                    <c:v>442.7tr</c:v>
                  </c:pt>
                  <c:pt idx="9">
                    <c:v>469.3tr</c:v>
                  </c:pt>
                  <c:pt idx="10">
                    <c:v>477.2tr</c:v>
                  </c:pt>
                  <c:pt idx="11">
                    <c:v>495.8tr</c:v>
                  </c:pt>
                </c15:dlblRangeCache>
              </c15:datalabelsRange>
            </c:ext>
            <c:ext xmlns:c16="http://schemas.microsoft.com/office/drawing/2014/chart" uri="{C3380CC4-5D6E-409C-BE32-E72D297353CC}">
              <c16:uniqueId val="{00000000-0A85-463A-9F62-9A71D1CF4E69}"/>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Dashboard_ThiTruong!$BR$14</c:f>
              <c:strCache>
                <c:ptCount val="1"/>
                <c:pt idx="0">
                  <c:v>Giá trị mới</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2-A5FD-4643-B3A6-96BB24BFF053}"/>
              </c:ext>
            </c:extLst>
          </c:dPt>
          <c:dLbls>
            <c:dLbl>
              <c:idx val="0"/>
              <c:tx>
                <c:rich>
                  <a:bodyPr/>
                  <a:lstStyle/>
                  <a:p>
                    <a:fld id="{6473F138-0260-4BB4-B720-1C91508844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61-451F-B30E-A672B20DBD9A}"/>
                </c:ext>
              </c:extLst>
            </c:dLbl>
            <c:dLbl>
              <c:idx val="1"/>
              <c:tx>
                <c:rich>
                  <a:bodyPr/>
                  <a:lstStyle/>
                  <a:p>
                    <a:fld id="{058233AC-2CDB-48A1-86A9-9EF4EBE192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D-4643-B3A6-96BB24BFF053}"/>
                </c:ext>
              </c:extLst>
            </c:dLbl>
            <c:dLbl>
              <c:idx val="2"/>
              <c:tx>
                <c:rich>
                  <a:bodyPr/>
                  <a:lstStyle/>
                  <a:p>
                    <a:fld id="{49AA8AAF-70B4-4655-B954-67EB1C81C2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D-4643-B3A6-96BB24BFF053}"/>
                </c:ext>
              </c:extLst>
            </c:dLbl>
            <c:dLbl>
              <c:idx val="3"/>
              <c:tx>
                <c:rich>
                  <a:bodyPr/>
                  <a:lstStyle/>
                  <a:p>
                    <a:fld id="{8A0893CA-FAB0-470B-86E2-DC1FB75EEF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D-4643-B3A6-96BB24BFF053}"/>
                </c:ext>
              </c:extLst>
            </c:dLbl>
            <c:dLbl>
              <c:idx val="4"/>
              <c:tx>
                <c:rich>
                  <a:bodyPr/>
                  <a:lstStyle/>
                  <a:p>
                    <a:fld id="{49C9B538-9DB1-4982-ABF6-8A3C4BFA01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D-4643-B3A6-96BB24BFF053}"/>
                </c:ext>
              </c:extLst>
            </c:dLbl>
            <c:dLbl>
              <c:idx val="5"/>
              <c:tx>
                <c:rich>
                  <a:bodyPr/>
                  <a:lstStyle/>
                  <a:p>
                    <a:fld id="{37BABB48-57B1-4C9C-BE80-7074E62E3B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D-4643-B3A6-96BB24BFF053}"/>
                </c:ext>
              </c:extLst>
            </c:dLbl>
            <c:dLbl>
              <c:idx val="6"/>
              <c:tx>
                <c:rich>
                  <a:bodyPr/>
                  <a:lstStyle/>
                  <a:p>
                    <a:fld id="{0DF05771-5518-456F-9502-19ED8A02B0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D-4643-B3A6-96BB24BFF053}"/>
                </c:ext>
              </c:extLst>
            </c:dLbl>
            <c:dLbl>
              <c:idx val="7"/>
              <c:tx>
                <c:rich>
                  <a:bodyPr/>
                  <a:lstStyle/>
                  <a:p>
                    <a:fld id="{D3783A0E-DA7D-47D0-827F-6F8C244255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D-4643-B3A6-96BB24BFF053}"/>
                </c:ext>
              </c:extLst>
            </c:dLbl>
            <c:dLbl>
              <c:idx val="8"/>
              <c:tx>
                <c:rich>
                  <a:bodyPr/>
                  <a:lstStyle/>
                  <a:p>
                    <a:fld id="{E7107DFB-0550-493A-9508-4DDE1CB5EE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FD-4643-B3A6-96BB24BFF053}"/>
                </c:ext>
              </c:extLst>
            </c:dLbl>
            <c:dLbl>
              <c:idx val="9"/>
              <c:tx>
                <c:rich>
                  <a:bodyPr/>
                  <a:lstStyle/>
                  <a:p>
                    <a:fld id="{F54EF83E-B942-45BC-8284-07128F7B83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5FD-4643-B3A6-96BB24BFF053}"/>
                </c:ext>
              </c:extLst>
            </c:dLbl>
            <c:dLbl>
              <c:idx val="10"/>
              <c:tx>
                <c:rich>
                  <a:bodyPr/>
                  <a:lstStyle/>
                  <a:p>
                    <a:fld id="{D7F9EEFF-C018-4D81-8D08-5905B5BFB5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5FD-4643-B3A6-96BB24BFF053}"/>
                </c:ext>
              </c:extLst>
            </c:dLbl>
            <c:dLbl>
              <c:idx val="11"/>
              <c:tx>
                <c:rich>
                  <a:bodyPr/>
                  <a:lstStyle/>
                  <a:p>
                    <a:fld id="{8C10252A-22B7-4C27-B942-00ECD41B72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FD-4643-B3A6-96BB24BFF05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Dashboard_ThiTruong!$BR$15:$BR$26</c:f>
              <c:numCache>
                <c:formatCode>General</c:formatCode>
                <c:ptCount val="12"/>
                <c:pt idx="0">
                  <c:v>110233333.33333333</c:v>
                </c:pt>
                <c:pt idx="1">
                  <c:v>171950000</c:v>
                </c:pt>
                <c:pt idx="2">
                  <c:v>112966666.66666667</c:v>
                </c:pt>
                <c:pt idx="3">
                  <c:v>177550000</c:v>
                </c:pt>
                <c:pt idx="4">
                  <c:v>125466666.66666667</c:v>
                </c:pt>
                <c:pt idx="5">
                  <c:v>128200000</c:v>
                </c:pt>
                <c:pt idx="6">
                  <c:v>132300000</c:v>
                </c:pt>
                <c:pt idx="7">
                  <c:v>140333333.33333334</c:v>
                </c:pt>
                <c:pt idx="8">
                  <c:v>147566666.66666666</c:v>
                </c:pt>
                <c:pt idx="9">
                  <c:v>156433333.33333334</c:v>
                </c:pt>
                <c:pt idx="10">
                  <c:v>159066666.66666666</c:v>
                </c:pt>
                <c:pt idx="11">
                  <c:v>165266666.66666666</c:v>
                </c:pt>
              </c:numCache>
            </c:numRef>
          </c:val>
          <c:smooth val="0"/>
          <c:extLst>
            <c:ext xmlns:c15="http://schemas.microsoft.com/office/drawing/2012/chart" uri="{02D57815-91ED-43cb-92C2-25804820EDAC}">
              <c15:datalabelsRange>
                <c15:f>Dashboard_ThiTruong!$BS$15:$BS$26</c15:f>
                <c15:dlblRangeCache>
                  <c:ptCount val="12"/>
                  <c:pt idx="0">
                    <c:v>110.2tr</c:v>
                  </c:pt>
                  <c:pt idx="1">
                    <c:v>172.0tr</c:v>
                  </c:pt>
                  <c:pt idx="2">
                    <c:v>113.0tr</c:v>
                  </c:pt>
                  <c:pt idx="3">
                    <c:v>177.6tr</c:v>
                  </c:pt>
                  <c:pt idx="4">
                    <c:v>125.5tr</c:v>
                  </c:pt>
                  <c:pt idx="5">
                    <c:v>128.2tr</c:v>
                  </c:pt>
                  <c:pt idx="6">
                    <c:v>132.3tr</c:v>
                  </c:pt>
                  <c:pt idx="7">
                    <c:v>140.3tr</c:v>
                  </c:pt>
                  <c:pt idx="8">
                    <c:v>147.6tr</c:v>
                  </c:pt>
                  <c:pt idx="9">
                    <c:v>156.4tr</c:v>
                  </c:pt>
                  <c:pt idx="10">
                    <c:v>159.1tr</c:v>
                  </c:pt>
                  <c:pt idx="11">
                    <c:v>165.3tr</c:v>
                  </c:pt>
                </c15:dlblRangeCache>
              </c15:datalabelsRange>
            </c:ext>
            <c:ext xmlns:c16="http://schemas.microsoft.com/office/drawing/2014/chart" uri="{C3380CC4-5D6E-409C-BE32-E72D297353CC}">
              <c16:uniqueId val="{00000011-0A85-463A-9F62-9A71D1CF4E69}"/>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1"/>
        <c:axPos val="r"/>
        <c:numFmt formatCode="General" sourceLinked="1"/>
        <c:majorTickMark val="out"/>
        <c:minorTickMark val="none"/>
        <c:tickLblPos val="nextTo"/>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Dashboard_ThiTruong!$CL$29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Dashboard_ThiTruong!$AY$7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D128-4752-A7E3-33F968431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698-AD07-4E056319AD3F}"/>
              </c:ext>
            </c:extLst>
          </c:dPt>
          <c:dLbls>
            <c:dLbl>
              <c:idx val="0"/>
              <c:tx>
                <c:rich>
                  <a:bodyPr/>
                  <a:lstStyle/>
                  <a:p>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showDataLabelsRange val="1"/>
                </c:ext>
                <c:ext xmlns:c16="http://schemas.microsoft.com/office/drawing/2014/chart" uri="{C3380CC4-5D6E-409C-BE32-E72D297353CC}">
                  <c16:uniqueId val="{00000008-D128-4752-A7E3-33F968431382}"/>
                </c:ext>
              </c:extLst>
            </c:dLbl>
            <c:dLbl>
              <c:idx val="1"/>
              <c:tx>
                <c:rich>
                  <a:bodyPr/>
                  <a:lstStyle/>
                  <a:p>
                    <a:endParaRPr lang="en-US"/>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3-F24D-4698-AD07-4E056319AD3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Dashboard_ThiTruong!$AY$8:$AY$9</c:f>
              <c:strCache>
                <c:ptCount val="2"/>
                <c:pt idx="0">
                  <c:v>B2B</c:v>
                </c:pt>
                <c:pt idx="1">
                  <c:v>B2C</c:v>
                </c:pt>
              </c:strCache>
            </c:strRef>
          </c:cat>
          <c:val>
            <c:numRef>
              <c:f>Dashboard_ThiTruong!$AZ$8:$AZ$9</c:f>
              <c:numCache>
                <c:formatCode>General</c:formatCode>
                <c:ptCount val="2"/>
                <c:pt idx="0">
                  <c:v>#N/A</c:v>
                </c:pt>
                <c:pt idx="1">
                  <c:v>#N/A</c:v>
                </c:pt>
              </c:numCache>
            </c:numRef>
          </c:val>
          <c:extLst>
            <c:ext xmlns:c15="http://schemas.microsoft.com/office/drawing/2012/chart" uri="{02D57815-91ED-43cb-92C2-25804820EDAC}">
              <c15:datalabelsRange>
                <c15:f>Dashboard_ThiTruong!$CL$31:$CL$32</c15:f>
                <c15:dlblRangeCache>
                  <c:ptCount val="2"/>
                </c15:dlblRangeCache>
              </c15:datalabelsRange>
            </c:ext>
            <c:ext xmlns:c16="http://schemas.microsoft.com/office/drawing/2014/chart" uri="{C3380CC4-5D6E-409C-BE32-E72D297353CC}">
              <c16:uniqueId val="{00000007-D128-4752-A7E3-33F968431382}"/>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Dashboard_ThiTruong!$CN$29</c:f>
          <c:strCache>
            <c:ptCount val="1"/>
            <c:pt idx="0">
              <c:v>Doanh thu / khách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Dashboard_ThiTruong!$BA$7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Dashboard_ThiTruong!$BA$8:$BA$9</c:f>
              <c:numCache>
                <c:formatCode>General</c:formatCode>
                <c:ptCount val="2"/>
                <c:pt idx="0">
                  <c:v>#N/A</c:v>
                </c:pt>
                <c:pt idx="1">
                  <c:v>#N/A</c:v>
                </c:pt>
              </c:numCache>
            </c:numRef>
          </c:val>
          <c:extLst>
            <c:ext xmlns:c16="http://schemas.microsoft.com/office/drawing/2014/chart" uri="{C3380CC4-5D6E-409C-BE32-E72D297353CC}">
              <c16:uniqueId val="{00000000-1AF0-4449-AED2-1B579B91E9AD}"/>
            </c:ext>
          </c:extLst>
        </c:ser>
        <c:ser>
          <c:idx val="2"/>
          <c:order val="2"/>
          <c:tx>
            <c:strRef>
              <c:f>Dashboard_ThiTruong!$BC$7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8614-45C7-9280-AA9537FCA7F1}"/>
                </c:ext>
              </c:extLst>
            </c:dLbl>
            <c:dLbl>
              <c:idx val="1"/>
              <c:tx>
                <c:rich>
                  <a:bodyPr/>
                  <a:lstStyle/>
                  <a:p>
                    <a:endParaRPr lang="vi-VN"/>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D818-45A1-8083-FA1D900949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Dashboard_ThiTruong!$BC$8:$BC$9</c:f>
              <c:numCache>
                <c:formatCode>_(* #,##0_);_(* \(#,##0\);_(* "-"??_);_(@_)</c:formatCode>
                <c:ptCount val="2"/>
                <c:pt idx="0">
                  <c:v>#N/A</c:v>
                </c:pt>
                <c:pt idx="1">
                  <c:v>#N/A</c:v>
                </c:pt>
              </c:numCache>
            </c:numRef>
          </c:val>
          <c:extLst>
            <c:ext xmlns:c15="http://schemas.microsoft.com/office/drawing/2012/chart" uri="{02D57815-91ED-43cb-92C2-25804820EDAC}">
              <c15:datalabelsRange>
                <c15:f>Dashboard_ThiTruong!$CQ$31:$CQ$32</c15:f>
                <c15:dlblRangeCache>
                  <c:ptCount val="2"/>
                </c15:dlblRangeCache>
              </c15:datalabelsRange>
            </c:ext>
            <c:ext xmlns:c16="http://schemas.microsoft.com/office/drawing/2014/chart" uri="{C3380CC4-5D6E-409C-BE32-E72D297353CC}">
              <c16:uniqueId val="{00000000-8614-45C7-9280-AA9537FCA7F1}"/>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Dashboard_ThiTruong!$BB$7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Dashboard_ThiTruong!$BB$8:$BB$9</c:f>
              <c:numCache>
                <c:formatCode>General</c:formatCode>
                <c:ptCount val="2"/>
                <c:pt idx="0" formatCode="0%">
                  <c:v>#N/A</c:v>
                </c:pt>
                <c:pt idx="1">
                  <c:v>#N/A</c:v>
                </c:pt>
              </c:numCache>
            </c:numRef>
          </c:val>
          <c:smooth val="0"/>
          <c:extLst>
            <c:ext xmlns:c16="http://schemas.microsoft.com/office/drawing/2014/chart" uri="{C3380CC4-5D6E-409C-BE32-E72D297353CC}">
              <c16:uniqueId val="{00000001-1AF0-4449-AED2-1B579B91E9AD}"/>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Dashboard_SanPham!$AR$7</c:f>
              <c:strCache>
                <c:ptCount val="1"/>
                <c:pt idx="0">
                  <c:v>SKU</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B752-429A-A85E-80061C33E7AC}"/>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3-43D4-924D-3CA792988E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3-43D4-924D-3CA792988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Dashboard_SanPham!$AU$8:$AU$10</c:f>
              <c:numCache>
                <c:formatCode>General</c:formatCode>
                <c:ptCount val="3"/>
                <c:pt idx="0">
                  <c:v>#N/A</c:v>
                </c:pt>
                <c:pt idx="1">
                  <c:v>#N/A</c:v>
                </c:pt>
                <c:pt idx="2">
                  <c:v>#N/A</c:v>
                </c:pt>
              </c:numCache>
            </c:numRef>
          </c:xVal>
          <c:yVal>
            <c:numRef>
              <c:f>Dashboard_SanPham!$AT$8:$AT$10</c:f>
              <c:numCache>
                <c:formatCode>General</c:formatCode>
                <c:ptCount val="3"/>
                <c:pt idx="0">
                  <c:v>#N/A</c:v>
                </c:pt>
                <c:pt idx="1">
                  <c:v>#N/A</c:v>
                </c:pt>
                <c:pt idx="2">
                  <c:v>#N/A</c:v>
                </c:pt>
              </c:numCache>
            </c:numRef>
          </c:yVal>
          <c:bubbleSize>
            <c:numRef>
              <c:f>Dashboard_SanPham!$AS$8:$AS$10</c:f>
              <c:numCache>
                <c:formatCode>General</c:formatCode>
                <c:ptCount val="3"/>
                <c:pt idx="0">
                  <c:v>#N/A</c:v>
                </c:pt>
                <c:pt idx="1">
                  <c:v>#N/A</c:v>
                </c:pt>
                <c:pt idx="2">
                  <c:v>#N/A</c:v>
                </c:pt>
              </c:numCache>
            </c:numRef>
          </c:bubbleSize>
          <c:bubble3D val="0"/>
          <c:extLst>
            <c:ext xmlns:c15="http://schemas.microsoft.com/office/drawing/2012/chart" uri="{02D57815-91ED-43cb-92C2-25804820EDAC}">
              <c15:datalabelsRange>
                <c15:f>Dashboard_SanPham!$AR$8:$AR$10</c15:f>
                <c15:dlblRangeCache>
                  <c:ptCount val="3"/>
                  <c:pt idx="0">
                    <c:v>TP-Aa1-1</c:v>
                  </c:pt>
                  <c:pt idx="1">
                    <c:v>TP-Bb2-2</c:v>
                  </c:pt>
                  <c:pt idx="2">
                    <c:v>TP-Cc3-3</c:v>
                  </c:pt>
                </c15:dlblRangeCache>
              </c15:datalabelsRange>
            </c:ext>
            <c:ext xmlns:c16="http://schemas.microsoft.com/office/drawing/2014/chart" uri="{C3380CC4-5D6E-409C-BE32-E72D297353CC}">
              <c16:uniqueId val="{00000007-B752-429A-A85E-80061C33E7AC}"/>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Dashboard_SanPham!$BO$14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8852E84F-B0E4-48B0-85E0-0EEA8A49D8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9DE-400D-9BDB-C2C912AC3EA6}"/>
                </c:ext>
              </c:extLst>
            </c:dLbl>
            <c:dLbl>
              <c:idx val="1"/>
              <c:tx>
                <c:rich>
                  <a:bodyPr/>
                  <a:lstStyle/>
                  <a:p>
                    <a:fld id="{EAF69D66-DDB1-4080-8A54-036C32F2C8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9DE-400D-9BDB-C2C912AC3EA6}"/>
                </c:ext>
              </c:extLst>
            </c:dLbl>
            <c:dLbl>
              <c:idx val="2"/>
              <c:tx>
                <c:rich>
                  <a:bodyPr/>
                  <a:lstStyle/>
                  <a:p>
                    <a:fld id="{DCA11FCE-7FA5-477A-9E88-5EAE6F7FF8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E-400D-9BDB-C2C912AC3EA6}"/>
                </c:ext>
              </c:extLst>
            </c:dLbl>
            <c:dLbl>
              <c:idx val="3"/>
              <c:tx>
                <c:rich>
                  <a:bodyPr/>
                  <a:lstStyle/>
                  <a:p>
                    <a:fld id="{656CF0DA-3AA1-40B0-9701-F59DF930F6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E-400D-9BDB-C2C912AC3EA6}"/>
                </c:ext>
              </c:extLst>
            </c:dLbl>
            <c:dLbl>
              <c:idx val="4"/>
              <c:tx>
                <c:rich>
                  <a:bodyPr/>
                  <a:lstStyle/>
                  <a:p>
                    <a:fld id="{1C39C91B-DA0D-45FA-A4EB-B4F5B94D050D}"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9DE-400D-9BDB-C2C912AC3EA6}"/>
                </c:ext>
              </c:extLst>
            </c:dLbl>
            <c:dLbl>
              <c:idx val="5"/>
              <c:tx>
                <c:rich>
                  <a:bodyPr/>
                  <a:lstStyle/>
                  <a:p>
                    <a:fld id="{231ADCDC-7BEF-4F4B-B64C-05311FC3518E}"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9DE-400D-9BDB-C2C912AC3EA6}"/>
                </c:ext>
              </c:extLst>
            </c:dLbl>
            <c:dLbl>
              <c:idx val="6"/>
              <c:tx>
                <c:rich>
                  <a:bodyPr/>
                  <a:lstStyle/>
                  <a:p>
                    <a:fld id="{9EB15866-3E85-49FD-A6BC-6F06E68BE17C}"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9DE-400D-9BDB-C2C912AC3EA6}"/>
                </c:ext>
              </c:extLst>
            </c:dLbl>
            <c:dLbl>
              <c:idx val="7"/>
              <c:tx>
                <c:rich>
                  <a:bodyPr/>
                  <a:lstStyle/>
                  <a:p>
                    <a:fld id="{3B2484C9-A9DD-44B8-8D0A-D6258024E1BA}"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E9DE-400D-9BDB-C2C912AC3EA6}"/>
                </c:ext>
              </c:extLst>
            </c:dLbl>
            <c:dLbl>
              <c:idx val="8"/>
              <c:tx>
                <c:rich>
                  <a:bodyPr/>
                  <a:lstStyle/>
                  <a:p>
                    <a:fld id="{8ABFC941-DCCE-49AB-A6F4-8166E936537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E9DE-400D-9BDB-C2C912AC3EA6}"/>
                </c:ext>
              </c:extLst>
            </c:dLbl>
            <c:dLbl>
              <c:idx val="9"/>
              <c:tx>
                <c:rich>
                  <a:bodyPr/>
                  <a:lstStyle/>
                  <a:p>
                    <a:fld id="{25792107-29A0-4FDB-805E-E2F44C30C5BE}"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E9DE-400D-9BDB-C2C912AC3EA6}"/>
                </c:ext>
              </c:extLst>
            </c:dLbl>
            <c:dLbl>
              <c:idx val="10"/>
              <c:tx>
                <c:rich>
                  <a:bodyPr/>
                  <a:lstStyle/>
                  <a:p>
                    <a:fld id="{2755DF4F-545A-45C5-830D-C8766222AC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E-400D-9BDB-C2C912AC3EA6}"/>
                </c:ext>
              </c:extLst>
            </c:dLbl>
            <c:dLbl>
              <c:idx val="11"/>
              <c:tx>
                <c:rich>
                  <a:bodyPr/>
                  <a:lstStyle/>
                  <a:p>
                    <a:fld id="{ABA571FF-7584-4A48-B574-BE9F66DCA1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Dashboard_SanPham!$BO$15:$BO$26</c:f>
              <c:numCache>
                <c:formatCode>General</c:formatCode>
                <c:ptCount val="12"/>
                <c:pt idx="0">
                  <c:v>330700000</c:v>
                </c:pt>
                <c:pt idx="1">
                  <c:v>343900000</c:v>
                </c:pt>
                <c:pt idx="2">
                  <c:v>338900000</c:v>
                </c:pt>
                <c:pt idx="3">
                  <c:v>355100000</c:v>
                </c:pt>
                <c:pt idx="4">
                  <c:v>0</c:v>
                </c:pt>
                <c:pt idx="5">
                  <c:v>0</c:v>
                </c:pt>
                <c:pt idx="6">
                  <c:v>0</c:v>
                </c:pt>
                <c:pt idx="7">
                  <c:v>0</c:v>
                </c:pt>
                <c:pt idx="8">
                  <c:v>0</c:v>
                </c:pt>
                <c:pt idx="9">
                  <c:v>0</c:v>
                </c:pt>
                <c:pt idx="10">
                  <c:v>294405000</c:v>
                </c:pt>
                <c:pt idx="11">
                  <c:v>299060000</c:v>
                </c:pt>
              </c:numCache>
            </c:numRef>
          </c:val>
          <c:extLst>
            <c:ext xmlns:c15="http://schemas.microsoft.com/office/drawing/2012/chart" uri="{02D57815-91ED-43cb-92C2-25804820EDAC}">
              <c15:datalabelsRange>
                <c15:f>Dashboard_SanPham!$BP$15:$BP$26</c15:f>
                <c15:dlblRangeCache>
                  <c:ptCount val="12"/>
                  <c:pt idx="0">
                    <c:v>330.7tr</c:v>
                  </c:pt>
                  <c:pt idx="1">
                    <c:v>343.9tr</c:v>
                  </c:pt>
                  <c:pt idx="2">
                    <c:v>338.9tr</c:v>
                  </c:pt>
                  <c:pt idx="3">
                    <c:v>355.1tr</c:v>
                  </c:pt>
                  <c:pt idx="10">
                    <c:v>294.4tr</c:v>
                  </c:pt>
                  <c:pt idx="11">
                    <c:v>299.1tr</c:v>
                  </c:pt>
                </c15:dlblRangeCache>
              </c15:datalabelsRange>
            </c:ext>
            <c:ext xmlns:c16="http://schemas.microsoft.com/office/drawing/2014/chart" uri="{C3380CC4-5D6E-409C-BE32-E72D297353CC}">
              <c16:uniqueId val="{0000000C-E9DE-400D-9BDB-C2C912AC3EA6}"/>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Dashboard_SanPham!$BQ$14</c:f>
              <c:strCache>
                <c:ptCount val="1"/>
                <c:pt idx="0">
                  <c:v>Bình quân ngày</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E-E9DE-400D-9BDB-C2C912AC3EA6}"/>
              </c:ext>
            </c:extLst>
          </c:dPt>
          <c:dLbls>
            <c:dLbl>
              <c:idx val="0"/>
              <c:tx>
                <c:rich>
                  <a:bodyPr/>
                  <a:lstStyle/>
                  <a:p>
                    <a:fld id="{3E605B1B-8960-462A-A72A-1BDFF3B1C4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E9DE-400D-9BDB-C2C912AC3EA6}"/>
                </c:ext>
              </c:extLst>
            </c:dLbl>
            <c:dLbl>
              <c:idx val="1"/>
              <c:tx>
                <c:rich>
                  <a:bodyPr/>
                  <a:lstStyle/>
                  <a:p>
                    <a:fld id="{8F8BE50C-376E-409B-899F-273A403ED0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9DE-400D-9BDB-C2C912AC3EA6}"/>
                </c:ext>
              </c:extLst>
            </c:dLbl>
            <c:dLbl>
              <c:idx val="2"/>
              <c:tx>
                <c:rich>
                  <a:bodyPr/>
                  <a:lstStyle/>
                  <a:p>
                    <a:fld id="{396A1716-6F04-4470-9399-6EE69FBF28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9DE-400D-9BDB-C2C912AC3EA6}"/>
                </c:ext>
              </c:extLst>
            </c:dLbl>
            <c:dLbl>
              <c:idx val="3"/>
              <c:tx>
                <c:rich>
                  <a:bodyPr/>
                  <a:lstStyle/>
                  <a:p>
                    <a:fld id="{CA22EDDC-96EB-40E1-9039-5DC040D086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DE-400D-9BDB-C2C912AC3EA6}"/>
                </c:ext>
              </c:extLst>
            </c:dLbl>
            <c:dLbl>
              <c:idx val="4"/>
              <c:tx>
                <c:rich>
                  <a:bodyPr/>
                  <a:lstStyle/>
                  <a:p>
                    <a:fld id="{53AD04E7-CF25-4D58-B338-F2A624722093}"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E9DE-400D-9BDB-C2C912AC3EA6}"/>
                </c:ext>
              </c:extLst>
            </c:dLbl>
            <c:dLbl>
              <c:idx val="5"/>
              <c:tx>
                <c:rich>
                  <a:bodyPr/>
                  <a:lstStyle/>
                  <a:p>
                    <a:fld id="{15301758-C6A3-411F-B253-4E3B2B6679A3}"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E9DE-400D-9BDB-C2C912AC3EA6}"/>
                </c:ext>
              </c:extLst>
            </c:dLbl>
            <c:dLbl>
              <c:idx val="6"/>
              <c:tx>
                <c:rich>
                  <a:bodyPr/>
                  <a:lstStyle/>
                  <a:p>
                    <a:fld id="{6940DAFD-5FBC-485E-B545-52EB8D5D93BD}"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E9DE-400D-9BDB-C2C912AC3EA6}"/>
                </c:ext>
              </c:extLst>
            </c:dLbl>
            <c:dLbl>
              <c:idx val="7"/>
              <c:tx>
                <c:rich>
                  <a:bodyPr/>
                  <a:lstStyle/>
                  <a:p>
                    <a:fld id="{7A039018-15D6-4CA6-B3DB-CB7A2BABF66A}"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E9DE-400D-9BDB-C2C912AC3EA6}"/>
                </c:ext>
              </c:extLst>
            </c:dLbl>
            <c:dLbl>
              <c:idx val="8"/>
              <c:tx>
                <c:rich>
                  <a:bodyPr/>
                  <a:lstStyle/>
                  <a:p>
                    <a:fld id="{BE2EAF1C-226F-40C4-A6E1-EC8FA94D7B5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E9DE-400D-9BDB-C2C912AC3EA6}"/>
                </c:ext>
              </c:extLst>
            </c:dLbl>
            <c:dLbl>
              <c:idx val="9"/>
              <c:tx>
                <c:rich>
                  <a:bodyPr/>
                  <a:lstStyle/>
                  <a:p>
                    <a:fld id="{883DC0E5-6E59-44ED-9E66-94F96B5E08D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E9DE-400D-9BDB-C2C912AC3EA6}"/>
                </c:ext>
              </c:extLst>
            </c:dLbl>
            <c:dLbl>
              <c:idx val="10"/>
              <c:tx>
                <c:rich>
                  <a:bodyPr/>
                  <a:lstStyle/>
                  <a:p>
                    <a:fld id="{E7521910-5D04-4964-9A8D-5B490997E1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9DE-400D-9BDB-C2C912AC3EA6}"/>
                </c:ext>
              </c:extLst>
            </c:dLbl>
            <c:dLbl>
              <c:idx val="11"/>
              <c:tx>
                <c:rich>
                  <a:bodyPr/>
                  <a:lstStyle/>
                  <a:p>
                    <a:fld id="{5DA90FEB-AF66-4E2F-B763-B65C919021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Dashboard_SanPham!$BQ$15:$BQ$26</c:f>
              <c:numCache>
                <c:formatCode>General</c:formatCode>
                <c:ptCount val="12"/>
                <c:pt idx="0">
                  <c:v>1817032.9670329671</c:v>
                </c:pt>
                <c:pt idx="1">
                  <c:v>1889560.4395604397</c:v>
                </c:pt>
                <c:pt idx="2">
                  <c:v>1862087.912087912</c:v>
                </c:pt>
                <c:pt idx="3">
                  <c:v>1951098.9010989012</c:v>
                </c:pt>
                <c:pt idx="4">
                  <c:v>0</c:v>
                </c:pt>
                <c:pt idx="5">
                  <c:v>0</c:v>
                </c:pt>
                <c:pt idx="6">
                  <c:v>0</c:v>
                </c:pt>
                <c:pt idx="7">
                  <c:v>0</c:v>
                </c:pt>
                <c:pt idx="8">
                  <c:v>0</c:v>
                </c:pt>
                <c:pt idx="9">
                  <c:v>0</c:v>
                </c:pt>
                <c:pt idx="10">
                  <c:v>1617609.8901098901</c:v>
                </c:pt>
                <c:pt idx="11">
                  <c:v>1643186.8131868131</c:v>
                </c:pt>
              </c:numCache>
            </c:numRef>
          </c:val>
          <c:smooth val="0"/>
          <c:extLst>
            <c:ext xmlns:c15="http://schemas.microsoft.com/office/drawing/2012/chart" uri="{02D57815-91ED-43cb-92C2-25804820EDAC}">
              <c15:datalabelsRange>
                <c15:f>Dashboard_SanPham!$BR$15:$BR$26</c15:f>
                <c15:dlblRangeCache>
                  <c:ptCount val="12"/>
                  <c:pt idx="0">
                    <c:v>1.8tr</c:v>
                  </c:pt>
                  <c:pt idx="1">
                    <c:v>1.9tr</c:v>
                  </c:pt>
                  <c:pt idx="2">
                    <c:v>1.9tr</c:v>
                  </c:pt>
                  <c:pt idx="3">
                    <c:v>2.0tr</c:v>
                  </c:pt>
                  <c:pt idx="10">
                    <c:v>1.6tr</c:v>
                  </c:pt>
                  <c:pt idx="11">
                    <c:v>1.6tr</c:v>
                  </c:pt>
                </c15:dlblRangeCache>
              </c15:datalabelsRange>
            </c:ext>
            <c:ext xmlns:c16="http://schemas.microsoft.com/office/drawing/2014/chart" uri="{C3380CC4-5D6E-409C-BE32-E72D297353CC}">
              <c16:uniqueId val="{0000001A-E9DE-400D-9BDB-C2C912AC3EA6}"/>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Dashboard_SanPham!$CE$29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Dashboard_SanPham!$AY$7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B8-41C1-8D17-96E0B30AB1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8-476A-B148-8467AB6270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6B8-476A-B148-8467AB627065}"/>
              </c:ext>
            </c:extLst>
          </c:dPt>
          <c:dLbls>
            <c:dLbl>
              <c:idx val="0"/>
              <c:tx>
                <c:rich>
                  <a:bodyPr/>
                  <a:lstStyle/>
                  <a:p>
                    <a:fld id="{81912738-734C-4C95-AD65-5D690567FD3E}" type="CATEGORYNAME">
                      <a:rPr lang="en-US"/>
                      <a:pPr/>
                      <a:t>[CATEGORY NAME]</a:t>
                    </a:fld>
                    <a:r>
                      <a:rPr lang="en-US" baseline="0"/>
                      <a:t>; </a:t>
                    </a:r>
                    <a:fld id="{85A11D4F-7860-49F4-A2CB-97B93CA15A10}"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B8-41C1-8D17-96E0B30AB18E}"/>
                </c:ext>
              </c:extLst>
            </c:dLbl>
            <c:dLbl>
              <c:idx val="1"/>
              <c:tx>
                <c:rich>
                  <a:bodyPr/>
                  <a:lstStyle/>
                  <a:p>
                    <a:fld id="{3A84E2DB-F3E0-4498-B8E5-C4D8859D3A29}" type="CATEGORYNAME">
                      <a:rPr lang="en-US"/>
                      <a:pPr/>
                      <a:t>[CATEGORY NAME]</a:t>
                    </a:fld>
                    <a:r>
                      <a:rPr lang="en-US" baseline="0"/>
                      <a:t>; </a:t>
                    </a:r>
                    <a:fld id="{0AA575FF-570D-4A6B-B219-577FFCAA83D9}"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6B8-476A-B148-8467AB627065}"/>
                </c:ext>
              </c:extLst>
            </c:dLbl>
            <c:dLbl>
              <c:idx val="2"/>
              <c:tx>
                <c:rich>
                  <a:bodyPr/>
                  <a:lstStyle/>
                  <a:p>
                    <a:fld id="{93DDABC9-E3DD-4E29-A6D7-FC90711B849B}" type="CATEGORYNAME">
                      <a:rPr lang="en-US"/>
                      <a:pPr/>
                      <a:t>[CATEGORY NAME]</a:t>
                    </a:fld>
                    <a:r>
                      <a:rPr lang="en-US" baseline="0"/>
                      <a:t>; </a:t>
                    </a:r>
                    <a:fld id="{CAE5F739-D285-418B-9B24-BB54BE0D24EC}"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6B8-476A-B148-8467AB6270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Dashboard_SanPham!$AY$8:$AY$10</c:f>
              <c:strCache>
                <c:ptCount val="3"/>
                <c:pt idx="0">
                  <c:v>Nhóm 1</c:v>
                </c:pt>
                <c:pt idx="1">
                  <c:v>Nhóm 2</c:v>
                </c:pt>
                <c:pt idx="2">
                  <c:v>Nhóm 3</c:v>
                </c:pt>
              </c:strCache>
            </c:strRef>
          </c:cat>
          <c:val>
            <c:numRef>
              <c:f>Dashboard_SanPham!$AZ$8:$AZ$10</c:f>
              <c:numCache>
                <c:formatCode>General</c:formatCode>
                <c:ptCount val="3"/>
                <c:pt idx="0">
                  <c:v>554500000</c:v>
                </c:pt>
                <c:pt idx="1">
                  <c:v>601365000</c:v>
                </c:pt>
                <c:pt idx="2">
                  <c:v>806200000</c:v>
                </c:pt>
              </c:numCache>
            </c:numRef>
          </c:val>
          <c:extLst>
            <c:ext xmlns:c15="http://schemas.microsoft.com/office/drawing/2012/chart" uri="{02D57815-91ED-43cb-92C2-25804820EDAC}">
              <c15:datalabelsRange>
                <c15:f>Dashboard_SanPham!$CE$31:$CE$32</c15:f>
              </c15:datalabelsRange>
            </c:ext>
            <c:ext xmlns:c16="http://schemas.microsoft.com/office/drawing/2014/chart" uri="{C3380CC4-5D6E-409C-BE32-E72D297353CC}">
              <c16:uniqueId val="{00000004-26B8-41C1-8D17-96E0B30AB18E}"/>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Dashboard_SanPham!$CG$29</c:f>
          <c:strCache>
            <c:ptCount val="1"/>
            <c:pt idx="0">
              <c:v>Doanh thu / ngày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Dashboard_SanPham!$BA$7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Dashboard_SanPham!$BA$8:$BA$10</c:f>
              <c:numCache>
                <c:formatCode>General</c:formatCode>
                <c:ptCount val="3"/>
                <c:pt idx="0">
                  <c:v>3046703.2967032967</c:v>
                </c:pt>
                <c:pt idx="1">
                  <c:v>3304203.2967032967</c:v>
                </c:pt>
                <c:pt idx="2">
                  <c:v>4429670.3296703296</c:v>
                </c:pt>
              </c:numCache>
            </c:numRef>
          </c:val>
          <c:extLst>
            <c:ext xmlns:c16="http://schemas.microsoft.com/office/drawing/2014/chart" uri="{C3380CC4-5D6E-409C-BE32-E72D297353CC}">
              <c16:uniqueId val="{00000000-C2FB-4231-8924-5F0E1E9A701B}"/>
            </c:ext>
          </c:extLst>
        </c:ser>
        <c:ser>
          <c:idx val="2"/>
          <c:order val="2"/>
          <c:tx>
            <c:strRef>
              <c:f>Dashboard_SanPham!$BC$7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fld id="{DC94AC27-A370-4407-A7A5-1CE0CA2364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FB-4231-8924-5F0E1E9A701B}"/>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859A-40D2-B5B6-A80B453DD871}"/>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859A-40D2-B5B6-A80B453DD87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Dashboard_SanPham!$BC$8:$BC$10</c:f>
              <c:numCache>
                <c:formatCode>_(* #,##0_);_(* \(#,##0\);_(* "-"??_);_(@_)</c:formatCode>
                <c:ptCount val="3"/>
                <c:pt idx="0">
                  <c:v>0</c:v>
                </c:pt>
                <c:pt idx="1">
                  <c:v>0</c:v>
                </c:pt>
                <c:pt idx="2">
                  <c:v>4429670.3296703296</c:v>
                </c:pt>
              </c:numCache>
            </c:numRef>
          </c:val>
          <c:extLst>
            <c:ext xmlns:c15="http://schemas.microsoft.com/office/drawing/2012/chart" uri="{02D57815-91ED-43cb-92C2-25804820EDAC}">
              <c15:datalabelsRange>
                <c15:f>Dashboard_SanPham!#REF!</c15:f>
                <c15:dlblRangeCache>
                  <c:ptCount val="1"/>
                  <c:pt idx="0">
                    <c:v>#REF!</c:v>
                  </c:pt>
                </c15:dlblRangeCache>
              </c15:datalabelsRange>
            </c:ext>
            <c:ext xmlns:c16="http://schemas.microsoft.com/office/drawing/2014/chart" uri="{C3380CC4-5D6E-409C-BE32-E72D297353CC}">
              <c16:uniqueId val="{00000003-C2FB-4231-8924-5F0E1E9A701B}"/>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Dashboard_SanPham!$BB$7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Dashboard_SanPham!$BB$8:$BB$10</c:f>
              <c:numCache>
                <c:formatCode>0%</c:formatCode>
                <c:ptCount val="3"/>
                <c:pt idx="0">
                  <c:v>0</c:v>
                </c:pt>
                <c:pt idx="1">
                  <c:v>0</c:v>
                </c:pt>
                <c:pt idx="2">
                  <c:v>0</c:v>
                </c:pt>
              </c:numCache>
            </c:numRef>
          </c:val>
          <c:smooth val="0"/>
          <c:extLst>
            <c:ext xmlns:c16="http://schemas.microsoft.com/office/drawing/2014/chart" uri="{C3380CC4-5D6E-409C-BE32-E72D297353CC}">
              <c16:uniqueId val="{00000004-C2FB-4231-8924-5F0E1E9A701B}"/>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Dashboard_KPI!$AP$5:$AP$10</c:f>
              <c:strCache>
                <c:ptCount val="6"/>
                <c:pt idx="0">
                  <c:v>ST</c:v>
                </c:pt>
                <c:pt idx="1">
                  <c:v>FB</c:v>
                </c:pt>
                <c:pt idx="2">
                  <c:v>TT</c:v>
                </c:pt>
                <c:pt idx="3">
                  <c:v>SP</c:v>
                </c:pt>
                <c:pt idx="4">
                  <c:v>LZ</c:v>
                </c:pt>
                <c:pt idx="5">
                  <c:v>TK</c:v>
                </c:pt>
              </c:strCache>
            </c:strRef>
          </c:tx>
          <c:spPr>
            <a:solidFill>
              <a:schemeClr val="accent6">
                <a:lumMod val="20000"/>
                <a:lumOff val="80000"/>
              </a:schemeClr>
            </a:solidFill>
            <a:ln w="25400">
              <a:noFill/>
            </a:ln>
            <a:effectLst/>
          </c:spPr>
          <c:invertIfNegative val="0"/>
          <c:dLbls>
            <c:dLbl>
              <c:idx val="0"/>
              <c:tx>
                <c:rich>
                  <a:bodyPr/>
                  <a:lstStyle/>
                  <a:p>
                    <a:fld id="{F30F9380-8AA6-44E0-9FF3-3ED907B2742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6CA-4000-A7E2-B2B315F0D815}"/>
                </c:ext>
              </c:extLst>
            </c:dLbl>
            <c:dLbl>
              <c:idx val="1"/>
              <c:tx>
                <c:rich>
                  <a:bodyPr/>
                  <a:lstStyle/>
                  <a:p>
                    <a:fld id="{EEE8E5E4-FC45-492F-A14E-660E9634FF1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A5-48AD-8A7A-76A6323BF4D3}"/>
                </c:ext>
              </c:extLst>
            </c:dLbl>
            <c:dLbl>
              <c:idx val="2"/>
              <c:tx>
                <c:rich>
                  <a:bodyPr/>
                  <a:lstStyle/>
                  <a:p>
                    <a:fld id="{A0034F85-1D7A-45E0-B67E-3CC7CEE4C01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A5-48AD-8A7A-76A6323BF4D3}"/>
                </c:ext>
              </c:extLst>
            </c:dLbl>
            <c:dLbl>
              <c:idx val="3"/>
              <c:tx>
                <c:rich>
                  <a:bodyPr/>
                  <a:lstStyle/>
                  <a:p>
                    <a:fld id="{D2CD1DDD-53ED-4AA8-9730-C46BF003DC7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A5-48AD-8A7A-76A6323BF4D3}"/>
                </c:ext>
              </c:extLst>
            </c:dLbl>
            <c:dLbl>
              <c:idx val="4"/>
              <c:tx>
                <c:rich>
                  <a:bodyPr/>
                  <a:lstStyle/>
                  <a:p>
                    <a:fld id="{30FC9526-BA47-48EF-83E3-9B63AF4D13F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A5-48AD-8A7A-76A6323BF4D3}"/>
                </c:ext>
              </c:extLst>
            </c:dLbl>
            <c:dLbl>
              <c:idx val="5"/>
              <c:tx>
                <c:rich>
                  <a:bodyPr/>
                  <a:lstStyle/>
                  <a:p>
                    <a:fld id="{910D3397-96CE-4125-BF0D-96BA8F5D672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A5-48AD-8A7A-76A6323BF4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Dashboard_KPI!$AR$5:$AR$10</c:f>
              <c:numCache>
                <c:formatCode>General</c:formatCode>
                <c:ptCount val="6"/>
                <c:pt idx="0">
                  <c:v>0</c:v>
                </c:pt>
                <c:pt idx="1">
                  <c:v>0</c:v>
                </c:pt>
                <c:pt idx="2">
                  <c:v>0</c:v>
                </c:pt>
                <c:pt idx="3">
                  <c:v>0</c:v>
                </c:pt>
                <c:pt idx="4">
                  <c:v>0</c:v>
                </c:pt>
                <c:pt idx="5">
                  <c:v>0</c:v>
                </c:pt>
              </c:numCache>
            </c:numRef>
          </c:xVal>
          <c:yVal>
            <c:numRef>
              <c:f>Dashboard_KPI!$AS$5:$AS$10</c:f>
              <c:numCache>
                <c:formatCode>General</c:formatCode>
                <c:ptCount val="6"/>
                <c:pt idx="0">
                  <c:v>0</c:v>
                </c:pt>
                <c:pt idx="1">
                  <c:v>0</c:v>
                </c:pt>
                <c:pt idx="2">
                  <c:v>0</c:v>
                </c:pt>
                <c:pt idx="3">
                  <c:v>0</c:v>
                </c:pt>
                <c:pt idx="4">
                  <c:v>0</c:v>
                </c:pt>
                <c:pt idx="5">
                  <c:v>0</c:v>
                </c:pt>
              </c:numCache>
            </c:numRef>
          </c:yVal>
          <c:bubbleSize>
            <c:numRef>
              <c:f>Dashboard_KPI!$AQ$5:$AQ$10</c:f>
              <c:numCache>
                <c:formatCode>General</c:formatCode>
                <c:ptCount val="6"/>
                <c:pt idx="0">
                  <c:v>0</c:v>
                </c:pt>
                <c:pt idx="1">
                  <c:v>0</c:v>
                </c:pt>
                <c:pt idx="2">
                  <c:v>0</c:v>
                </c:pt>
                <c:pt idx="3">
                  <c:v>0</c:v>
                </c:pt>
                <c:pt idx="4">
                  <c:v>0</c:v>
                </c:pt>
                <c:pt idx="5">
                  <c:v>0</c:v>
                </c:pt>
              </c:numCache>
            </c:numRef>
          </c:bubbleSize>
          <c:bubble3D val="0"/>
          <c:extLst>
            <c:ext xmlns:c15="http://schemas.microsoft.com/office/drawing/2012/chart" uri="{02D57815-91ED-43cb-92C2-25804820EDAC}">
              <c15:datalabelsRange>
                <c15:f>Dashboard_KPI!$AP$5:$AP$10</c15:f>
                <c15:dlblRangeCache>
                  <c:ptCount val="6"/>
                  <c:pt idx="0">
                    <c:v>ST</c:v>
                  </c:pt>
                  <c:pt idx="1">
                    <c:v>FB</c:v>
                  </c:pt>
                  <c:pt idx="2">
                    <c:v>TT</c:v>
                  </c:pt>
                  <c:pt idx="3">
                    <c:v>SP</c:v>
                  </c:pt>
                  <c:pt idx="4">
                    <c:v>LZ</c:v>
                  </c:pt>
                  <c:pt idx="5">
                    <c:v>TK</c:v>
                  </c:pt>
                </c15:dlblRangeCache>
              </c15:datalabelsRange>
            </c:ext>
            <c:ext xmlns:c16="http://schemas.microsoft.com/office/drawing/2014/chart" uri="{C3380CC4-5D6E-409C-BE32-E72D297353CC}">
              <c16:uniqueId val="{00000000-E6CA-4000-A7E2-B2B315F0D815}"/>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Dashboard_KPI!$AY$4</c:f>
              <c:strCache>
                <c:ptCount val="1"/>
                <c:pt idx="0">
                  <c:v>Mã NV</c:v>
                </c:pt>
              </c:strCache>
            </c:strRef>
          </c:tx>
          <c:spPr>
            <a:solidFill>
              <a:schemeClr val="accent6">
                <a:lumMod val="20000"/>
                <a:lumOff val="80000"/>
              </a:schemeClr>
            </a:solidFill>
            <a:ln w="25400">
              <a:noFill/>
            </a:ln>
            <a:effectLst/>
          </c:spPr>
          <c:invertIfNegative val="0"/>
          <c:dLbls>
            <c:dLbl>
              <c:idx val="0"/>
              <c:tx>
                <c:rich>
                  <a:bodyPr/>
                  <a:lstStyle/>
                  <a:p>
                    <a:fld id="{3BAF9999-3C37-480B-87C3-F708CE65E8B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0F1-4549-85A9-D4FF3E01209D}"/>
                </c:ext>
              </c:extLst>
            </c:dLbl>
            <c:dLbl>
              <c:idx val="1"/>
              <c:tx>
                <c:rich>
                  <a:bodyPr/>
                  <a:lstStyle/>
                  <a:p>
                    <a:fld id="{D7E28DCE-96F9-4E63-A574-8D57E49205A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6D-49A2-B767-31CA54E55481}"/>
                </c:ext>
              </c:extLst>
            </c:dLbl>
            <c:dLbl>
              <c:idx val="2"/>
              <c:tx>
                <c:rich>
                  <a:bodyPr/>
                  <a:lstStyle/>
                  <a:p>
                    <a:fld id="{2EF553F0-D36E-4FEE-BEC5-E35EB5B1D78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6D-49A2-B767-31CA54E554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Dashboard_KPI!$BA$5:$BA$7</c:f>
              <c:numCache>
                <c:formatCode>General</c:formatCode>
                <c:ptCount val="3"/>
                <c:pt idx="0">
                  <c:v>0</c:v>
                </c:pt>
                <c:pt idx="1">
                  <c:v>0</c:v>
                </c:pt>
                <c:pt idx="2">
                  <c:v>0</c:v>
                </c:pt>
              </c:numCache>
            </c:numRef>
          </c:xVal>
          <c:yVal>
            <c:numRef>
              <c:f>Dashboard_KPI!$BB$5:$BB$7</c:f>
              <c:numCache>
                <c:formatCode>General</c:formatCode>
                <c:ptCount val="3"/>
                <c:pt idx="0">
                  <c:v>0</c:v>
                </c:pt>
                <c:pt idx="1">
                  <c:v>0</c:v>
                </c:pt>
                <c:pt idx="2">
                  <c:v>0</c:v>
                </c:pt>
              </c:numCache>
            </c:numRef>
          </c:yVal>
          <c:bubbleSize>
            <c:numRef>
              <c:f>Dashboard_KPI!$AZ$5:$AZ$7</c:f>
              <c:numCache>
                <c:formatCode>General</c:formatCode>
                <c:ptCount val="3"/>
                <c:pt idx="0">
                  <c:v>0</c:v>
                </c:pt>
                <c:pt idx="1">
                  <c:v>0</c:v>
                </c:pt>
                <c:pt idx="2">
                  <c:v>0</c:v>
                </c:pt>
              </c:numCache>
            </c:numRef>
          </c:bubbleSize>
          <c:bubble3D val="0"/>
          <c:extLst>
            <c:ext xmlns:c15="http://schemas.microsoft.com/office/drawing/2012/chart" uri="{02D57815-91ED-43cb-92C2-25804820EDAC}">
              <c15:datalabelsRange>
                <c15:f>Dashboard_KPI!$AY$5:$AY$7</c15:f>
                <c15:dlblRangeCache>
                  <c:ptCount val="3"/>
                  <c:pt idx="0">
                    <c:v>NV01</c:v>
                  </c:pt>
                  <c:pt idx="1">
                    <c:v>NV02</c:v>
                  </c:pt>
                  <c:pt idx="2">
                    <c:v>NV03</c:v>
                  </c:pt>
                </c15:dlblRangeCache>
              </c15:datalabelsRange>
            </c:ext>
            <c:ext xmlns:c16="http://schemas.microsoft.com/office/drawing/2014/chart" uri="{C3380CC4-5D6E-409C-BE32-E72D297353CC}">
              <c16:uniqueId val="{00000006-30F1-4549-85A9-D4FF3E01209D}"/>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Hiệu</a:t>
            </a:r>
            <a:r>
              <a:rPr lang="en-US" b="1" baseline="0"/>
              <a:t> quả tỷ lệ chiết khấu kênh</a:t>
            </a:r>
            <a:endParaRPr lang="vi-V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Dashboard_KPI!$BU$4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Dashboard_KPI!$BU$5:$BU$16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DDC-4B12-BF1C-2D1FB1E110F3}"/>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Dashboard_KPI!$BT$4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Dashboard_KPI!$BT$5:$BT$16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DC-4B12-BF1C-2D1FB1E110F3}"/>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Hiệu</a:t>
            </a:r>
            <a:r>
              <a:rPr lang="en-US" b="1" baseline="0">
                <a:solidFill>
                  <a:schemeClr val="bg1"/>
                </a:solidFill>
              </a:rPr>
              <a:t> quả tỷ lệ hoa hồng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Dashboard_KPI!$BY$4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Dashboard_KPI!$BY$5:$BY$16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FED-4FC8-A328-AF0003683FDB}"/>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Dashboard_KPI!$BX$4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Dashboard_KPI!$BX$5:$BX$16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FED-4FC8-A328-AF0003683FDB}"/>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Kênh phân phối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Dashboard_KPI!$BR$20</c:f>
              <c:strCache>
                <c:ptCount val="1"/>
                <c:pt idx="0">
                  <c:v>Dthu Kênh</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Dashboard_KPI!$BR$21:$BR$32</c:f>
              <c:numCache>
                <c:formatCode>General</c:formatCode>
                <c:ptCount val="12"/>
                <c:pt idx="0">
                  <c:v>109500000</c:v>
                </c:pt>
                <c:pt idx="1">
                  <c:v>0</c:v>
                </c:pt>
                <c:pt idx="2">
                  <c:v>113500000</c:v>
                </c:pt>
                <c:pt idx="3">
                  <c:v>121300000</c:v>
                </c:pt>
                <c:pt idx="4">
                  <c:v>249800000</c:v>
                </c:pt>
                <c:pt idx="5">
                  <c:v>0</c:v>
                </c:pt>
                <c:pt idx="6">
                  <c:v>131700000</c:v>
                </c:pt>
                <c:pt idx="7">
                  <c:v>0</c:v>
                </c:pt>
                <c:pt idx="8">
                  <c:v>292800000</c:v>
                </c:pt>
                <c:pt idx="9">
                  <c:v>314300000</c:v>
                </c:pt>
                <c:pt idx="10">
                  <c:v>0</c:v>
                </c:pt>
                <c:pt idx="11">
                  <c:v>162900000</c:v>
                </c:pt>
              </c:numCache>
            </c:numRef>
          </c:val>
          <c:extLst>
            <c:ext xmlns:c16="http://schemas.microsoft.com/office/drawing/2014/chart" uri="{C3380CC4-5D6E-409C-BE32-E72D297353CC}">
              <c16:uniqueId val="{00000000-4DAC-4E93-BDD6-6BD4DD360261}"/>
            </c:ext>
          </c:extLst>
        </c:ser>
        <c:ser>
          <c:idx val="2"/>
          <c:order val="2"/>
          <c:tx>
            <c:strRef>
              <c:f>Dashboard_KPI!$BX$20</c:f>
              <c:strCache>
                <c:ptCount val="1"/>
                <c:pt idx="0">
                  <c:v>Đạt KPI Kênh</c:v>
                </c:pt>
              </c:strCache>
            </c:strRef>
          </c:tx>
          <c:spPr>
            <a:solidFill>
              <a:schemeClr val="accent6">
                <a:lumMod val="40000"/>
                <a:lumOff val="60000"/>
              </a:schemeClr>
            </a:solidFill>
            <a:ln>
              <a:noFill/>
            </a:ln>
            <a:effectLst/>
          </c:spPr>
          <c:invertIfNegative val="0"/>
          <c:dLbls>
            <c:dLbl>
              <c:idx val="0"/>
              <c:tx>
                <c:rich>
                  <a:bodyPr/>
                  <a:lstStyle/>
                  <a:p>
                    <a:fld id="{94C7373F-779D-4EAD-B3A2-A17C8787F6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AC-4E93-BDD6-6BD4DD360261}"/>
                </c:ext>
              </c:extLst>
            </c:dLbl>
            <c:dLbl>
              <c:idx val="1"/>
              <c:tx>
                <c:rich>
                  <a:bodyPr/>
                  <a:lstStyle/>
                  <a:p>
                    <a:fld id="{09A1260B-D084-4C00-8B01-1D57299A07D5}"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DAC-4E93-BDD6-6BD4DD360261}"/>
                </c:ext>
              </c:extLst>
            </c:dLbl>
            <c:dLbl>
              <c:idx val="2"/>
              <c:tx>
                <c:rich>
                  <a:bodyPr/>
                  <a:lstStyle/>
                  <a:p>
                    <a:fld id="{53556FBA-D3C5-425D-99E6-2B70A650A74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DAC-4E93-BDD6-6BD4DD360261}"/>
                </c:ext>
              </c:extLst>
            </c:dLbl>
            <c:dLbl>
              <c:idx val="3"/>
              <c:tx>
                <c:rich>
                  <a:bodyPr/>
                  <a:lstStyle/>
                  <a:p>
                    <a:fld id="{6970066F-004E-40E3-BC77-EEA13198A3B7}"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DAC-4E93-BDD6-6BD4DD360261}"/>
                </c:ext>
              </c:extLst>
            </c:dLbl>
            <c:dLbl>
              <c:idx val="4"/>
              <c:tx>
                <c:rich>
                  <a:bodyPr/>
                  <a:lstStyle/>
                  <a:p>
                    <a:fld id="{B61AE1E6-C91D-4CAA-8815-F89F6938ECA8}"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DAC-4E93-BDD6-6BD4DD360261}"/>
                </c:ext>
              </c:extLst>
            </c:dLbl>
            <c:dLbl>
              <c:idx val="5"/>
              <c:tx>
                <c:rich>
                  <a:bodyPr/>
                  <a:lstStyle/>
                  <a:p>
                    <a:fld id="{E0267AC9-E37F-42CC-836F-640950E0EA45}"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DAC-4E93-BDD6-6BD4DD360261}"/>
                </c:ext>
              </c:extLst>
            </c:dLbl>
            <c:dLbl>
              <c:idx val="6"/>
              <c:tx>
                <c:rich>
                  <a:bodyPr/>
                  <a:lstStyle/>
                  <a:p>
                    <a:fld id="{24AF583F-D9E5-4994-9E0C-AD7AE27BEEB7}"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4DAC-4E93-BDD6-6BD4DD360261}"/>
                </c:ext>
              </c:extLst>
            </c:dLbl>
            <c:dLbl>
              <c:idx val="7"/>
              <c:tx>
                <c:rich>
                  <a:bodyPr/>
                  <a:lstStyle/>
                  <a:p>
                    <a:fld id="{1AE5ACAF-BB52-486A-8EA8-674A33629F5D}"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DAC-4E93-BDD6-6BD4DD360261}"/>
                </c:ext>
              </c:extLst>
            </c:dLbl>
            <c:dLbl>
              <c:idx val="8"/>
              <c:tx>
                <c:rich>
                  <a:bodyPr/>
                  <a:lstStyle/>
                  <a:p>
                    <a:fld id="{64A4D635-42B9-4DAB-BF6C-B8BF2A576E15}"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4DAC-4E93-BDD6-6BD4DD360261}"/>
                </c:ext>
              </c:extLst>
            </c:dLbl>
            <c:dLbl>
              <c:idx val="9"/>
              <c:tx>
                <c:rich>
                  <a:bodyPr/>
                  <a:lstStyle/>
                  <a:p>
                    <a:fld id="{6224BCE7-3810-4BBC-8199-6961EA34F5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AC-4E93-BDD6-6BD4DD360261}"/>
                </c:ext>
              </c:extLst>
            </c:dLbl>
            <c:dLbl>
              <c:idx val="10"/>
              <c:tx>
                <c:rich>
                  <a:bodyPr/>
                  <a:lstStyle/>
                  <a:p>
                    <a:fld id="{A3CCD432-CBCD-40D3-96E5-EF2667C8112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4DAC-4E93-BDD6-6BD4DD360261}"/>
                </c:ext>
              </c:extLst>
            </c:dLbl>
            <c:dLbl>
              <c:idx val="11"/>
              <c:tx>
                <c:rich>
                  <a:bodyPr/>
                  <a:lstStyle/>
                  <a:p>
                    <a:fld id="{BCC08314-7033-4D1E-A3B4-CF65E5831439}"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4DAC-4E93-BDD6-6BD4DD3602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Dashboard_KPI!$BX$21:$BX$32</c:f>
              <c:numCache>
                <c:formatCode>General</c:formatCode>
                <c:ptCount val="12"/>
                <c:pt idx="0">
                  <c:v>0</c:v>
                </c:pt>
                <c:pt idx="1">
                  <c:v>0</c:v>
                </c:pt>
                <c:pt idx="2">
                  <c:v>0</c:v>
                </c:pt>
                <c:pt idx="3">
                  <c:v>0</c:v>
                </c:pt>
                <c:pt idx="4">
                  <c:v>0</c:v>
                </c:pt>
                <c:pt idx="5">
                  <c:v>0</c:v>
                </c:pt>
                <c:pt idx="6">
                  <c:v>0</c:v>
                </c:pt>
                <c:pt idx="7">
                  <c:v>0</c:v>
                </c:pt>
                <c:pt idx="8">
                  <c:v>0</c:v>
                </c:pt>
                <c:pt idx="9">
                  <c:v>314300000</c:v>
                </c:pt>
                <c:pt idx="10">
                  <c:v>0</c:v>
                </c:pt>
                <c:pt idx="11">
                  <c:v>0</c:v>
                </c:pt>
              </c:numCache>
            </c:numRef>
          </c:val>
          <c:extLst>
            <c:ext xmlns:c15="http://schemas.microsoft.com/office/drawing/2012/chart" uri="{02D57815-91ED-43cb-92C2-25804820EDAC}">
              <c15:datalabelsRange>
                <c15:f>Dashboard_KPI!$BY$21:$BY$32</c15:f>
                <c15:dlblRangeCache>
                  <c:ptCount val="12"/>
                  <c:pt idx="9">
                    <c:v>314.3tr</c:v>
                  </c:pt>
                </c15:dlblRangeCache>
              </c15:datalabelsRange>
            </c:ext>
            <c:ext xmlns:c16="http://schemas.microsoft.com/office/drawing/2014/chart" uri="{C3380CC4-5D6E-409C-BE32-E72D297353CC}">
              <c16:uniqueId val="{00000002-4DAC-4E93-BDD6-6BD4DD360261}"/>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Dashboard_KPI!$BS$20</c:f>
              <c:strCache>
                <c:ptCount val="1"/>
                <c:pt idx="0">
                  <c:v>KPI Kênh</c:v>
                </c:pt>
              </c:strCache>
            </c:strRef>
          </c:tx>
          <c:spPr>
            <a:ln w="28575" cap="rnd">
              <a:solidFill>
                <a:schemeClr val="accent6">
                  <a:lumMod val="20000"/>
                  <a:lumOff val="80000"/>
                </a:schemeClr>
              </a:solidFill>
              <a:round/>
            </a:ln>
            <a:effectLst/>
          </c:spPr>
          <c:marker>
            <c:symbol val="none"/>
          </c:marker>
          <c:val>
            <c:numRef>
              <c:f>Dashboard_KPI!$BS$21:$BS$32</c:f>
              <c:numCache>
                <c:formatCode>General</c:formatCode>
                <c:ptCount val="12"/>
                <c:pt idx="0">
                  <c:v>300000000</c:v>
                </c:pt>
                <c:pt idx="1">
                  <c:v>300000000</c:v>
                </c:pt>
                <c:pt idx="2">
                  <c:v>300000000</c:v>
                </c:pt>
                <c:pt idx="3">
                  <c:v>300000000</c:v>
                </c:pt>
                <c:pt idx="4">
                  <c:v>300000000</c:v>
                </c:pt>
                <c:pt idx="5">
                  <c:v>300000000</c:v>
                </c:pt>
                <c:pt idx="6">
                  <c:v>300000000</c:v>
                </c:pt>
                <c:pt idx="7">
                  <c:v>300000000</c:v>
                </c:pt>
                <c:pt idx="8">
                  <c:v>300000000</c:v>
                </c:pt>
                <c:pt idx="9">
                  <c:v>300000000</c:v>
                </c:pt>
                <c:pt idx="10">
                  <c:v>300000000</c:v>
                </c:pt>
                <c:pt idx="11">
                  <c:v>300000000</c:v>
                </c:pt>
              </c:numCache>
            </c:numRef>
          </c:val>
          <c:smooth val="0"/>
          <c:extLst>
            <c:ext xmlns:c16="http://schemas.microsoft.com/office/drawing/2014/chart" uri="{C3380CC4-5D6E-409C-BE32-E72D297353CC}">
              <c16:uniqueId val="{00000003-4DAC-4E93-BDD6-6BD4DD360261}"/>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Dashboard_KPI!$BT$20</c:f>
              <c:strCache>
                <c:ptCount val="1"/>
                <c:pt idx="0">
                  <c:v>Tỷ lệ KPI kênh</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Dashboard_KPI!$BT$21:$BT$32</c:f>
              <c:numCache>
                <c:formatCode>General</c:formatCode>
                <c:ptCount val="12"/>
                <c:pt idx="0">
                  <c:v>0.36499999999999999</c:v>
                </c:pt>
                <c:pt idx="1">
                  <c:v>0</c:v>
                </c:pt>
                <c:pt idx="2">
                  <c:v>0.37833333333333335</c:v>
                </c:pt>
                <c:pt idx="3">
                  <c:v>0.40433333333333332</c:v>
                </c:pt>
                <c:pt idx="4">
                  <c:v>0.83266666666666667</c:v>
                </c:pt>
                <c:pt idx="5">
                  <c:v>0</c:v>
                </c:pt>
                <c:pt idx="6">
                  <c:v>0.439</c:v>
                </c:pt>
                <c:pt idx="7">
                  <c:v>0</c:v>
                </c:pt>
                <c:pt idx="8">
                  <c:v>0.97599999999999998</c:v>
                </c:pt>
                <c:pt idx="9">
                  <c:v>1.0476666666666667</c:v>
                </c:pt>
                <c:pt idx="10">
                  <c:v>0</c:v>
                </c:pt>
                <c:pt idx="11">
                  <c:v>0.54300000000000004</c:v>
                </c:pt>
              </c:numCache>
            </c:numRef>
          </c:val>
          <c:smooth val="0"/>
          <c:extLst>
            <c:ext xmlns:c16="http://schemas.microsoft.com/office/drawing/2014/chart" uri="{C3380CC4-5D6E-409C-BE32-E72D297353CC}">
              <c16:uniqueId val="{00000001-4DAC-4E93-BDD6-6BD4DD360261}"/>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Nhân sự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Dashboard_KPI!$BU$20</c:f>
              <c:strCache>
                <c:ptCount val="1"/>
                <c:pt idx="0">
                  <c:v>Dthu NV</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Dashboard_KPI!$BU$21:$BU$32</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6="http://schemas.microsoft.com/office/drawing/2014/chart" uri="{C3380CC4-5D6E-409C-BE32-E72D297353CC}">
              <c16:uniqueId val="{00000000-08F5-41C9-B293-E6F8237739B9}"/>
            </c:ext>
          </c:extLst>
        </c:ser>
        <c:ser>
          <c:idx val="2"/>
          <c:order val="2"/>
          <c:tx>
            <c:strRef>
              <c:f>Dashboard_KPI!$BZ$20</c:f>
              <c:strCache>
                <c:ptCount val="1"/>
                <c:pt idx="0">
                  <c:v>Đạt KPI NV</c:v>
                </c:pt>
              </c:strCache>
            </c:strRef>
          </c:tx>
          <c:spPr>
            <a:solidFill>
              <a:schemeClr val="accent6">
                <a:lumMod val="40000"/>
                <a:lumOff val="60000"/>
              </a:schemeClr>
            </a:solidFill>
            <a:ln>
              <a:noFill/>
            </a:ln>
            <a:effectLst/>
          </c:spPr>
          <c:invertIfNegative val="0"/>
          <c:dLbls>
            <c:dLbl>
              <c:idx val="0"/>
              <c:tx>
                <c:rich>
                  <a:bodyPr/>
                  <a:lstStyle/>
                  <a:p>
                    <a:fld id="{64F47E5A-11D5-4DD5-9581-744609314E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9D9-4B81-A762-6C0B778AC1FE}"/>
                </c:ext>
              </c:extLst>
            </c:dLbl>
            <c:dLbl>
              <c:idx val="1"/>
              <c:tx>
                <c:rich>
                  <a:bodyPr/>
                  <a:lstStyle/>
                  <a:p>
                    <a:fld id="{3BDE238A-7520-4F01-A603-FA7DD24600A0}"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9D9-4B81-A762-6C0B778AC1FE}"/>
                </c:ext>
              </c:extLst>
            </c:dLbl>
            <c:dLbl>
              <c:idx val="2"/>
              <c:tx>
                <c:rich>
                  <a:bodyPr/>
                  <a:lstStyle/>
                  <a:p>
                    <a:fld id="{FC30236E-1F6F-4548-94D2-E88D6D46217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9D9-4B81-A762-6C0B778AC1FE}"/>
                </c:ext>
              </c:extLst>
            </c:dLbl>
            <c:dLbl>
              <c:idx val="3"/>
              <c:tx>
                <c:rich>
                  <a:bodyPr/>
                  <a:lstStyle/>
                  <a:p>
                    <a:fld id="{0453E59A-B27D-4F6E-808C-E5F9E3B768D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9D9-4B81-A762-6C0B778AC1FE}"/>
                </c:ext>
              </c:extLst>
            </c:dLbl>
            <c:dLbl>
              <c:idx val="4"/>
              <c:tx>
                <c:rich>
                  <a:bodyPr/>
                  <a:lstStyle/>
                  <a:p>
                    <a:fld id="{D931074A-1B21-416B-963B-545265679FAA}"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9D9-4B81-A762-6C0B778AC1FE}"/>
                </c:ext>
              </c:extLst>
            </c:dLbl>
            <c:dLbl>
              <c:idx val="5"/>
              <c:tx>
                <c:rich>
                  <a:bodyPr/>
                  <a:lstStyle/>
                  <a:p>
                    <a:fld id="{86610276-E671-42AF-A414-EC7FE5275EC6}"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9D9-4B81-A762-6C0B778AC1FE}"/>
                </c:ext>
              </c:extLst>
            </c:dLbl>
            <c:dLbl>
              <c:idx val="6"/>
              <c:tx>
                <c:rich>
                  <a:bodyPr/>
                  <a:lstStyle/>
                  <a:p>
                    <a:fld id="{E02B964E-F878-4B4A-9830-0CD4DF287984}"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59D9-4B81-A762-6C0B778AC1FE}"/>
                </c:ext>
              </c:extLst>
            </c:dLbl>
            <c:dLbl>
              <c:idx val="7"/>
              <c:tx>
                <c:rich>
                  <a:bodyPr/>
                  <a:lstStyle/>
                  <a:p>
                    <a:fld id="{2CAAAB43-C3E0-4E29-892E-F2DAF70969F4}"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59D9-4B81-A762-6C0B778AC1FE}"/>
                </c:ext>
              </c:extLst>
            </c:dLbl>
            <c:dLbl>
              <c:idx val="8"/>
              <c:tx>
                <c:rich>
                  <a:bodyPr/>
                  <a:lstStyle/>
                  <a:p>
                    <a:fld id="{2D997654-8F3C-4139-833F-301DFEAB8651}"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59D9-4B81-A762-6C0B778AC1FE}"/>
                </c:ext>
              </c:extLst>
            </c:dLbl>
            <c:dLbl>
              <c:idx val="9"/>
              <c:tx>
                <c:rich>
                  <a:bodyPr/>
                  <a:lstStyle/>
                  <a:p>
                    <a:fld id="{57BE3749-22FD-4CF1-BFB0-A7D58E9070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D9-4B81-A762-6C0B778AC1FE}"/>
                </c:ext>
              </c:extLst>
            </c:dLbl>
            <c:dLbl>
              <c:idx val="10"/>
              <c:tx>
                <c:rich>
                  <a:bodyPr/>
                  <a:lstStyle/>
                  <a:p>
                    <a:fld id="{F7B3D594-26DC-4368-81AB-BB8C32FDAE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D9-4B81-A762-6C0B778AC1FE}"/>
                </c:ext>
              </c:extLst>
            </c:dLbl>
            <c:dLbl>
              <c:idx val="11"/>
              <c:tx>
                <c:rich>
                  <a:bodyPr/>
                  <a:lstStyle/>
                  <a:p>
                    <a:fld id="{3C6FBFFE-0556-42C1-BC46-A5ABDDAB0A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D9-4B81-A762-6C0B778AC1F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Dashboard_KPI!$BZ$21:$BZ$32</c:f>
              <c:numCache>
                <c:formatCode>General</c:formatCode>
                <c:ptCount val="12"/>
                <c:pt idx="0">
                  <c:v>0</c:v>
                </c:pt>
                <c:pt idx="1">
                  <c:v>0</c:v>
                </c:pt>
                <c:pt idx="2">
                  <c:v>0</c:v>
                </c:pt>
                <c:pt idx="3">
                  <c:v>0</c:v>
                </c:pt>
                <c:pt idx="4">
                  <c:v>0</c:v>
                </c:pt>
                <c:pt idx="5">
                  <c:v>0</c:v>
                </c:pt>
                <c:pt idx="6">
                  <c:v>0</c:v>
                </c:pt>
                <c:pt idx="7">
                  <c:v>0</c:v>
                </c:pt>
                <c:pt idx="8">
                  <c:v>0</c:v>
                </c:pt>
                <c:pt idx="9">
                  <c:v>469300000</c:v>
                </c:pt>
                <c:pt idx="10">
                  <c:v>492200000</c:v>
                </c:pt>
                <c:pt idx="11">
                  <c:v>510800000</c:v>
                </c:pt>
              </c:numCache>
            </c:numRef>
          </c:val>
          <c:extLst>
            <c:ext xmlns:c15="http://schemas.microsoft.com/office/drawing/2012/chart" uri="{02D57815-91ED-43cb-92C2-25804820EDAC}">
              <c15:datalabelsRange>
                <c15:f>Dashboard_KPI!$CA$21:$CA$32</c15:f>
                <c15:dlblRangeCache>
                  <c:ptCount val="12"/>
                  <c:pt idx="9">
                    <c:v>469.3tr</c:v>
                  </c:pt>
                  <c:pt idx="10">
                    <c:v>492.2tr</c:v>
                  </c:pt>
                  <c:pt idx="11">
                    <c:v>510.8tr</c:v>
                  </c:pt>
                </c15:dlblRangeCache>
              </c15:datalabelsRange>
            </c:ext>
            <c:ext xmlns:c16="http://schemas.microsoft.com/office/drawing/2014/chart" uri="{C3380CC4-5D6E-409C-BE32-E72D297353CC}">
              <c16:uniqueId val="{0000000D-08F5-41C9-B293-E6F8237739B9}"/>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Dashboard_KPI!$BV$20</c:f>
              <c:strCache>
                <c:ptCount val="1"/>
                <c:pt idx="0">
                  <c:v>KPI NV</c:v>
                </c:pt>
              </c:strCache>
            </c:strRef>
          </c:tx>
          <c:spPr>
            <a:ln w="28575" cap="rnd">
              <a:solidFill>
                <a:schemeClr val="accent6">
                  <a:lumMod val="20000"/>
                  <a:lumOff val="80000"/>
                </a:schemeClr>
              </a:solidFill>
              <a:round/>
            </a:ln>
            <a:effectLst/>
          </c:spPr>
          <c:marker>
            <c:symbol val="none"/>
          </c:marker>
          <c:val>
            <c:numRef>
              <c:f>Dashboard_KPI!$BV$21:$BV$32</c:f>
              <c:numCache>
                <c:formatCode>General</c:formatCode>
                <c:ptCount val="12"/>
                <c:pt idx="0">
                  <c:v>450000000</c:v>
                </c:pt>
                <c:pt idx="1">
                  <c:v>450000000</c:v>
                </c:pt>
                <c:pt idx="2">
                  <c:v>450000000</c:v>
                </c:pt>
                <c:pt idx="3">
                  <c:v>450000000</c:v>
                </c:pt>
                <c:pt idx="4">
                  <c:v>450000000</c:v>
                </c:pt>
                <c:pt idx="5">
                  <c:v>450000000</c:v>
                </c:pt>
                <c:pt idx="6">
                  <c:v>450000000</c:v>
                </c:pt>
                <c:pt idx="7">
                  <c:v>450000000</c:v>
                </c:pt>
                <c:pt idx="8">
                  <c:v>450000000</c:v>
                </c:pt>
                <c:pt idx="9">
                  <c:v>450000000</c:v>
                </c:pt>
                <c:pt idx="10">
                  <c:v>450000000</c:v>
                </c:pt>
                <c:pt idx="11">
                  <c:v>450000000</c:v>
                </c:pt>
              </c:numCache>
            </c:numRef>
          </c:val>
          <c:smooth val="0"/>
          <c:extLst>
            <c:ext xmlns:c16="http://schemas.microsoft.com/office/drawing/2014/chart" uri="{C3380CC4-5D6E-409C-BE32-E72D297353CC}">
              <c16:uniqueId val="{0000000E-08F5-41C9-B293-E6F8237739B9}"/>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Dashboard_KPI!$BW$20</c:f>
              <c:strCache>
                <c:ptCount val="1"/>
                <c:pt idx="0">
                  <c:v>Tỷ lệ KPI NV</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Dashboard_KPI!$BW$21:$BW$32</c:f>
              <c:numCache>
                <c:formatCode>General</c:formatCode>
                <c:ptCount val="12"/>
                <c:pt idx="0">
                  <c:v>0.73488888888888892</c:v>
                </c:pt>
                <c:pt idx="1">
                  <c:v>0.76422222222222225</c:v>
                </c:pt>
                <c:pt idx="2">
                  <c:v>0.75311111111111106</c:v>
                </c:pt>
                <c:pt idx="3">
                  <c:v>0.7891111111111111</c:v>
                </c:pt>
                <c:pt idx="4">
                  <c:v>0.83644444444444443</c:v>
                </c:pt>
                <c:pt idx="5">
                  <c:v>0.85466666666666669</c:v>
                </c:pt>
                <c:pt idx="6">
                  <c:v>0.88200000000000001</c:v>
                </c:pt>
                <c:pt idx="7">
                  <c:v>0.93555555555555558</c:v>
                </c:pt>
                <c:pt idx="8">
                  <c:v>0.98377777777777775</c:v>
                </c:pt>
                <c:pt idx="9">
                  <c:v>1.042888888888889</c:v>
                </c:pt>
                <c:pt idx="10">
                  <c:v>1.0937777777777777</c:v>
                </c:pt>
                <c:pt idx="11">
                  <c:v>1.1351111111111112</c:v>
                </c:pt>
              </c:numCache>
            </c:numRef>
          </c:val>
          <c:smooth val="0"/>
          <c:extLst>
            <c:ext xmlns:c16="http://schemas.microsoft.com/office/drawing/2014/chart" uri="{C3380CC4-5D6E-409C-BE32-E72D297353CC}">
              <c16:uniqueId val="{0000000F-08F5-41C9-B293-E6F8237739B9}"/>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Kênh theo năm</a:t>
            </a:r>
            <a:endParaRPr lang="en-US" sz="1400">
              <a:effectLst/>
            </a:endParaRPr>
          </a:p>
        </c:rich>
      </c:tx>
      <c:layout>
        <c:manualLayout>
          <c:xMode val="edge"/>
          <c:yMode val="edge"/>
          <c:x val="0.31540750000000001"/>
          <c:y val="4.9986111111111108E-3"/>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813611123113502E-2"/>
          <c:y val="2.4530555555555552E-2"/>
          <c:w val="0.98728110786104051"/>
          <c:h val="0.94014305555555555"/>
        </c:manualLayout>
      </c:layout>
      <c:barChart>
        <c:barDir val="bar"/>
        <c:grouping val="clustered"/>
        <c:varyColors val="0"/>
        <c:ser>
          <c:idx val="1"/>
          <c:order val="0"/>
          <c:tx>
            <c:strRef>
              <c:f>Dashboard_KPI!$BR$20</c:f>
              <c:strCache>
                <c:ptCount val="1"/>
                <c:pt idx="0">
                  <c:v>Dthu Kênh</c:v>
                </c:pt>
              </c:strCache>
            </c:strRef>
          </c:tx>
          <c:spPr>
            <a:solidFill>
              <a:schemeClr val="accent6">
                <a:lumMod val="20000"/>
                <a:lumOff val="80000"/>
              </a:schemeClr>
            </a:solidFill>
            <a:ln w="762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Dashboard_KPI!$BR$33</c:f>
              <c:numCache>
                <c:formatCode>General</c:formatCode>
                <c:ptCount val="1"/>
                <c:pt idx="0">
                  <c:v>1495800000</c:v>
                </c:pt>
              </c:numCache>
            </c:numRef>
          </c:val>
          <c:extLst>
            <c:ext xmlns:c16="http://schemas.microsoft.com/office/drawing/2014/chart" uri="{C3380CC4-5D6E-409C-BE32-E72D297353CC}">
              <c16:uniqueId val="{00000000-6F0B-4420-AE76-5E222ADCE1F8}"/>
            </c:ext>
          </c:extLst>
        </c:ser>
        <c:ser>
          <c:idx val="3"/>
          <c:order val="1"/>
          <c:tx>
            <c:strRef>
              <c:f>Dashboard_KPI!$BS$20</c:f>
              <c:strCache>
                <c:ptCount val="1"/>
                <c:pt idx="0">
                  <c:v>KPI Kênh</c:v>
                </c:pt>
              </c:strCache>
            </c:strRef>
          </c:tx>
          <c:spPr>
            <a:noFill/>
            <a:ln w="28575">
              <a:solidFill>
                <a:schemeClr val="accent2">
                  <a:lumMod val="90000"/>
                </a:schemeClr>
              </a:solidFill>
            </a:ln>
            <a:effectLst/>
          </c:spPr>
          <c:invertIfNegative val="0"/>
          <c:dLbls>
            <c:dLbl>
              <c:idx val="0"/>
              <c:tx>
                <c:rich>
                  <a:bodyPr/>
                  <a:lstStyle/>
                  <a:p>
                    <a:fld id="{A4C88528-5827-4CBC-B02C-73EF7038B13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E-4F99-BF65-8D94CC0C7D4B}"/>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Dashboard_KPI!$BS$33</c:f>
              <c:numCache>
                <c:formatCode>General</c:formatCode>
                <c:ptCount val="1"/>
                <c:pt idx="0">
                  <c:v>2000000000</c:v>
                </c:pt>
              </c:numCache>
            </c:numRef>
          </c:val>
          <c:extLst>
            <c:ext xmlns:c15="http://schemas.microsoft.com/office/drawing/2012/chart" uri="{02D57815-91ED-43cb-92C2-25804820EDAC}">
              <c15:datalabelsRange>
                <c15:f>Dashboard_KPI!$BT$33</c15:f>
                <c15:dlblRangeCache>
                  <c:ptCount val="1"/>
                  <c:pt idx="0">
                    <c:v>75%</c:v>
                  </c:pt>
                </c15:dlblRangeCache>
              </c15:datalabelsRange>
            </c:ext>
            <c:ext xmlns:c16="http://schemas.microsoft.com/office/drawing/2014/chart" uri="{C3380CC4-5D6E-409C-BE32-E72D297353CC}">
              <c16:uniqueId val="{0000000E-6F0B-4420-AE76-5E222ADCE1F8}"/>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Nhân viên theo năm</a:t>
            </a:r>
            <a:endParaRPr lang="en-US" sz="1400">
              <a:effectLst/>
            </a:endParaRPr>
          </a:p>
        </c:rich>
      </c:tx>
      <c:layout>
        <c:manualLayout>
          <c:xMode val="edge"/>
          <c:yMode val="edge"/>
          <c:x val="0.24446138888888888"/>
          <c:y val="7.0583333333333331E-3"/>
        </c:manualLayout>
      </c:layout>
      <c:overlay val="0"/>
      <c:spPr>
        <a:noFill/>
        <a:ln>
          <a:noFill/>
        </a:ln>
        <a:effectLst/>
      </c:spPr>
      <c:txPr>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4.2169444444444447E-2"/>
          <c:w val="1"/>
          <c:h val="0.94014305555555555"/>
        </c:manualLayout>
      </c:layout>
      <c:barChart>
        <c:barDir val="bar"/>
        <c:grouping val="clustered"/>
        <c:varyColors val="0"/>
        <c:ser>
          <c:idx val="1"/>
          <c:order val="0"/>
          <c:tx>
            <c:strRef>
              <c:f>Dashboard_KPI!$BU$20</c:f>
              <c:strCache>
                <c:ptCount val="1"/>
                <c:pt idx="0">
                  <c:v>Dthu NV</c:v>
                </c:pt>
              </c:strCache>
            </c:strRef>
          </c:tx>
          <c:spPr>
            <a:solidFill>
              <a:schemeClr val="accent6">
                <a:lumMod val="20000"/>
                <a:lumOff val="80000"/>
              </a:schemeClr>
            </a:solidFill>
            <a:ln w="381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Dashboard_KPI!$BU$33</c:f>
              <c:numCache>
                <c:formatCode>General</c:formatCode>
                <c:ptCount val="1"/>
                <c:pt idx="0">
                  <c:v>4862500000</c:v>
                </c:pt>
              </c:numCache>
            </c:numRef>
          </c:val>
          <c:extLst>
            <c:ext xmlns:c16="http://schemas.microsoft.com/office/drawing/2014/chart" uri="{C3380CC4-5D6E-409C-BE32-E72D297353CC}">
              <c16:uniqueId val="{00000000-91AE-465E-8E7C-5E02AEB9379E}"/>
            </c:ext>
          </c:extLst>
        </c:ser>
        <c:ser>
          <c:idx val="3"/>
          <c:order val="1"/>
          <c:tx>
            <c:strRef>
              <c:f>Dashboard_KPI!$BV$20</c:f>
              <c:strCache>
                <c:ptCount val="1"/>
                <c:pt idx="0">
                  <c:v>KPI NV</c:v>
                </c:pt>
              </c:strCache>
            </c:strRef>
          </c:tx>
          <c:spPr>
            <a:noFill/>
            <a:ln w="28575">
              <a:solidFill>
                <a:schemeClr val="accent2">
                  <a:lumMod val="90000"/>
                </a:schemeClr>
              </a:solidFill>
            </a:ln>
            <a:effectLst/>
          </c:spPr>
          <c:invertIfNegative val="0"/>
          <c:dLbls>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fld id="{B6F80EB0-A8C0-4979-8062-85C2ADAB5364}" type="CELLRANGE">
                      <a:rPr lang="en-US"/>
                      <a:pPr>
                        <a:defRPr sz="1200" b="1">
                          <a:solidFill>
                            <a:schemeClr val="accent6"/>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1AE-465E-8E7C-5E02AEB93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Dashboard_KPI!$BV$33</c:f>
              <c:numCache>
                <c:formatCode>General</c:formatCode>
                <c:ptCount val="1"/>
                <c:pt idx="0">
                  <c:v>5400000000</c:v>
                </c:pt>
              </c:numCache>
            </c:numRef>
          </c:val>
          <c:extLst>
            <c:ext xmlns:c15="http://schemas.microsoft.com/office/drawing/2012/chart" uri="{02D57815-91ED-43cb-92C2-25804820EDAC}">
              <c15:datalabelsRange>
                <c15:f>Dashboard_KPI!$BW$33</c15:f>
                <c15:dlblRangeCache>
                  <c:ptCount val="1"/>
                  <c:pt idx="0">
                    <c:v>90%</c:v>
                  </c:pt>
                </c15:dlblRangeCache>
              </c15:datalabelsRange>
            </c:ext>
            <c:ext xmlns:c16="http://schemas.microsoft.com/office/drawing/2014/chart" uri="{C3380CC4-5D6E-409C-BE32-E72D297353CC}">
              <c16:uniqueId val="{00000002-91AE-465E-8E7C-5E02AEB9379E}"/>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Dashboard_KPI!$AU$4</c:f>
              <c:strCache>
                <c:ptCount val="1"/>
                <c:pt idx="0">
                  <c:v>Tỷ lệ KPI</c:v>
                </c:pt>
              </c:strCache>
            </c:strRef>
          </c:tx>
          <c:spPr>
            <a:solidFill>
              <a:schemeClr val="accent1"/>
            </a:solidFill>
            <a:ln>
              <a:noFill/>
            </a:ln>
            <a:effectLst/>
          </c:spPr>
          <c:invertIfNegative val="0"/>
          <c:cat>
            <c:strRef>
              <c:f>Dashboard_KPI!$AP$5:$AP$10</c:f>
              <c:strCache>
                <c:ptCount val="6"/>
                <c:pt idx="0">
                  <c:v>ST</c:v>
                </c:pt>
                <c:pt idx="1">
                  <c:v>FB</c:v>
                </c:pt>
                <c:pt idx="2">
                  <c:v>TT</c:v>
                </c:pt>
                <c:pt idx="3">
                  <c:v>SP</c:v>
                </c:pt>
                <c:pt idx="4">
                  <c:v>LZ</c:v>
                </c:pt>
                <c:pt idx="5">
                  <c:v>TK</c:v>
                </c:pt>
              </c:strCache>
            </c:strRef>
          </c:cat>
          <c:val>
            <c:numRef>
              <c:f>Dashboard_KPI!$AU$5:$AU$10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3C-42D5-822D-06539D2563F6}"/>
            </c:ext>
          </c:extLst>
        </c:ser>
        <c:ser>
          <c:idx val="1"/>
          <c:order val="1"/>
          <c:tx>
            <c:strRef>
              <c:f>Dashboard_KPI!$AV$4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Dashboard_KPI!$AP$5:$AP$10</c:f>
              <c:strCache>
                <c:ptCount val="6"/>
                <c:pt idx="0">
                  <c:v>ST</c:v>
                </c:pt>
                <c:pt idx="1">
                  <c:v>FB</c:v>
                </c:pt>
                <c:pt idx="2">
                  <c:v>TT</c:v>
                </c:pt>
                <c:pt idx="3">
                  <c:v>SP</c:v>
                </c:pt>
                <c:pt idx="4">
                  <c:v>LZ</c:v>
                </c:pt>
                <c:pt idx="5">
                  <c:v>TK</c:v>
                </c:pt>
              </c:strCache>
            </c:strRef>
          </c:cat>
          <c:val>
            <c:numRef>
              <c:f>Dashboard_KPI!$AV$5:$AV$10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223C-42D5-822D-06539D2563F6}"/>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Dashboard_KPI!$BD$4</c:f>
              <c:strCache>
                <c:ptCount val="1"/>
                <c:pt idx="0">
                  <c:v>Tỷ lệ KPI</c:v>
                </c:pt>
              </c:strCache>
            </c:strRef>
          </c:tx>
          <c:spPr>
            <a:solidFill>
              <a:schemeClr val="accent1"/>
            </a:solidFill>
            <a:ln>
              <a:noFill/>
            </a:ln>
            <a:effectLst/>
          </c:spPr>
          <c:invertIfNegative val="0"/>
          <c:cat>
            <c:strRef>
              <c:f>Dashboard_KPI!$AY$5:$AY$9</c:f>
              <c:strCache>
                <c:ptCount val="5"/>
                <c:pt idx="0">
                  <c:v>NV01</c:v>
                </c:pt>
                <c:pt idx="1">
                  <c:v>NV02</c:v>
                </c:pt>
                <c:pt idx="2">
                  <c:v>NV03</c:v>
                </c:pt>
                <c:pt idx="3">
                  <c:v>NV04</c:v>
                </c:pt>
                <c:pt idx="4">
                  <c:v>NV05</c:v>
                </c:pt>
              </c:strCache>
            </c:strRef>
          </c:cat>
          <c:val>
            <c:numRef>
              <c:f>Dashboard_KPI!$BD$5:$BD$9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53-440F-BE06-834274A0C737}"/>
            </c:ext>
          </c:extLst>
        </c:ser>
        <c:ser>
          <c:idx val="1"/>
          <c:order val="1"/>
          <c:tx>
            <c:strRef>
              <c:f>Dashboard_KPI!$BE$4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Dashboard_KPI!$AY$5:$AY$9</c:f>
              <c:strCache>
                <c:ptCount val="5"/>
                <c:pt idx="0">
                  <c:v>NV01</c:v>
                </c:pt>
                <c:pt idx="1">
                  <c:v>NV02</c:v>
                </c:pt>
                <c:pt idx="2">
                  <c:v>NV03</c:v>
                </c:pt>
                <c:pt idx="3">
                  <c:v>NV04</c:v>
                </c:pt>
                <c:pt idx="4">
                  <c:v>NV05</c:v>
                </c:pt>
              </c:strCache>
            </c:strRef>
          </c:cat>
          <c:val>
            <c:numRef>
              <c:f>Dashboard_KPI!$BE$5:$BE$9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B53-440F-BE06-834274A0C737}"/>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Dashboard_ChuongTrinh!$BI$5</c:f>
              <c:strCache>
                <c:ptCount val="1"/>
                <c:pt idx="0">
                  <c:v>Dthu tổng</c:v>
                </c:pt>
              </c:strCache>
            </c:strRef>
          </c:tx>
          <c:spPr>
            <a:solidFill>
              <a:schemeClr val="accent1"/>
            </a:solidFill>
            <a:ln>
              <a:noFill/>
            </a:ln>
            <a:effectLst/>
          </c:spPr>
          <c:val>
            <c:numRef>
              <c:f>Dashboard_ChuongTrinh!$BI$6:$BI$17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5B-4708-A5E1-2A55D3736DDE}"/>
            </c:ext>
          </c:extLst>
        </c:ser>
        <c:ser>
          <c:idx val="1"/>
          <c:order val="1"/>
          <c:tx>
            <c:strRef>
              <c:f>Dashboard_ChuongTrinh!$BJ$5</c:f>
              <c:strCache>
                <c:ptCount val="1"/>
                <c:pt idx="0">
                  <c:v>Dthu CT</c:v>
                </c:pt>
              </c:strCache>
            </c:strRef>
          </c:tx>
          <c:spPr>
            <a:solidFill>
              <a:schemeClr val="accent6">
                <a:lumMod val="40000"/>
                <a:lumOff val="60000"/>
              </a:schemeClr>
            </a:solidFill>
            <a:ln>
              <a:noFill/>
            </a:ln>
            <a:effectLst/>
          </c:spPr>
          <c:dLbls>
            <c:dLbl>
              <c:idx val="0"/>
              <c:tx>
                <c:rich>
                  <a:bodyPr/>
                  <a:lstStyle/>
                  <a:p>
                    <a:fld id="{FDCCC468-0D9E-400F-922C-00772B1C4E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5B-4708-A5E1-2A55D3736DDE}"/>
                </c:ext>
              </c:extLst>
            </c:dLbl>
            <c:dLbl>
              <c:idx val="1"/>
              <c:tx>
                <c:rich>
                  <a:bodyPr/>
                  <a:lstStyle/>
                  <a:p>
                    <a:fld id="{46D95C4F-46C1-4CE3-9274-767C412E6E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5B-4708-A5E1-2A55D3736DDE}"/>
                </c:ext>
              </c:extLst>
            </c:dLbl>
            <c:dLbl>
              <c:idx val="2"/>
              <c:tx>
                <c:rich>
                  <a:bodyPr/>
                  <a:lstStyle/>
                  <a:p>
                    <a:fld id="{644BACAE-902C-4EA2-8839-4C42C77A23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5B-4708-A5E1-2A55D3736DDE}"/>
                </c:ext>
              </c:extLst>
            </c:dLbl>
            <c:dLbl>
              <c:idx val="3"/>
              <c:tx>
                <c:rich>
                  <a:bodyPr/>
                  <a:lstStyle/>
                  <a:p>
                    <a:fld id="{858ECEB7-BE85-485C-BF52-68624B334B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5B-4708-A5E1-2A55D3736DDE}"/>
                </c:ext>
              </c:extLst>
            </c:dLbl>
            <c:dLbl>
              <c:idx val="4"/>
              <c:tx>
                <c:rich>
                  <a:bodyPr/>
                  <a:lstStyle/>
                  <a:p>
                    <a:fld id="{109E5CF6-F82B-4A0E-A73E-D6BD228ECB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5B-4708-A5E1-2A55D3736DDE}"/>
                </c:ext>
              </c:extLst>
            </c:dLbl>
            <c:dLbl>
              <c:idx val="5"/>
              <c:tx>
                <c:rich>
                  <a:bodyPr/>
                  <a:lstStyle/>
                  <a:p>
                    <a:fld id="{243FC2C3-3C45-411A-962B-750259EC9B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5B-4708-A5E1-2A55D3736DDE}"/>
                </c:ext>
              </c:extLst>
            </c:dLbl>
            <c:dLbl>
              <c:idx val="6"/>
              <c:tx>
                <c:rich>
                  <a:bodyPr/>
                  <a:lstStyle/>
                  <a:p>
                    <a:fld id="{1C385318-7396-4227-A8C4-4631944E0D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5B-4708-A5E1-2A55D3736DDE}"/>
                </c:ext>
              </c:extLst>
            </c:dLbl>
            <c:dLbl>
              <c:idx val="7"/>
              <c:tx>
                <c:rich>
                  <a:bodyPr/>
                  <a:lstStyle/>
                  <a:p>
                    <a:fld id="{29F108FF-4D22-4168-9FCB-1E305A17B7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5B-4708-A5E1-2A55D3736DDE}"/>
                </c:ext>
              </c:extLst>
            </c:dLbl>
            <c:dLbl>
              <c:idx val="8"/>
              <c:tx>
                <c:rich>
                  <a:bodyPr/>
                  <a:lstStyle/>
                  <a:p>
                    <a:fld id="{D9B1200B-5D18-48F3-A4CE-2BE0A6E9E6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5B-4708-A5E1-2A55D3736DDE}"/>
                </c:ext>
              </c:extLst>
            </c:dLbl>
            <c:dLbl>
              <c:idx val="9"/>
              <c:tx>
                <c:rich>
                  <a:bodyPr/>
                  <a:lstStyle/>
                  <a:p>
                    <a:fld id="{99CC5D17-B36B-40EE-AC63-5F33818290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5B-4708-A5E1-2A55D3736DDE}"/>
                </c:ext>
              </c:extLst>
            </c:dLbl>
            <c:dLbl>
              <c:idx val="10"/>
              <c:tx>
                <c:rich>
                  <a:bodyPr/>
                  <a:lstStyle/>
                  <a:p>
                    <a:fld id="{475A4F6A-05CF-41D1-A6ED-28A90DA89F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5B-4708-A5E1-2A55D3736DDE}"/>
                </c:ext>
              </c:extLst>
            </c:dLbl>
            <c:dLbl>
              <c:idx val="11"/>
              <c:tx>
                <c:rich>
                  <a:bodyPr/>
                  <a:lstStyle/>
                  <a:p>
                    <a:fld id="{A17D63F1-5514-4CAD-BF5F-871A81D308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5B-4708-A5E1-2A55D3736DD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Dashboard_ChuongTrinh!$BJ$6:$BJ$17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Dashboard_ChuongTrinh!$BK$6:$BK$17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1-4D5B-4708-A5E1-2A55D3736DDE}"/>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Dashboard_ChuongTrinh!$BL$5</c:f>
              <c:strCache>
                <c:ptCount val="1"/>
                <c:pt idx="0">
                  <c:v>Dthu tổng</c:v>
                </c:pt>
              </c:strCache>
            </c:strRef>
          </c:tx>
          <c:spPr>
            <a:solidFill>
              <a:schemeClr val="accent1"/>
            </a:solidFill>
            <a:ln w="25400">
              <a:noFill/>
            </a:ln>
            <a:effectLst/>
          </c:spPr>
          <c:val>
            <c:numRef>
              <c:f>Dashboard_ChuongTrinh!$BL$6:$BL$17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4F2-466B-8A04-49B3DA68A423}"/>
            </c:ext>
          </c:extLst>
        </c:ser>
        <c:ser>
          <c:idx val="1"/>
          <c:order val="1"/>
          <c:tx>
            <c:strRef>
              <c:f>Dashboard_ChuongTrinh!$BM$5</c:f>
              <c:strCache>
                <c:ptCount val="1"/>
                <c:pt idx="0">
                  <c:v>Dthu CT</c:v>
                </c:pt>
              </c:strCache>
            </c:strRef>
          </c:tx>
          <c:spPr>
            <a:solidFill>
              <a:schemeClr val="accent6">
                <a:lumMod val="40000"/>
                <a:lumOff val="60000"/>
              </a:schemeClr>
            </a:solidFill>
            <a:ln w="25400">
              <a:noFill/>
            </a:ln>
            <a:effectLst/>
          </c:spPr>
          <c:dLbls>
            <c:dLbl>
              <c:idx val="0"/>
              <c:tx>
                <c:rich>
                  <a:bodyPr/>
                  <a:lstStyle/>
                  <a:p>
                    <a:fld id="{4A7EFD62-ED0F-4408-87A5-D283F28E7B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4F2-466B-8A04-49B3DA68A423}"/>
                </c:ext>
              </c:extLst>
            </c:dLbl>
            <c:dLbl>
              <c:idx val="1"/>
              <c:tx>
                <c:rich>
                  <a:bodyPr/>
                  <a:lstStyle/>
                  <a:p>
                    <a:fld id="{B1AF408D-9965-4F6C-9732-CDDED1F2E5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F2-466B-8A04-49B3DA68A423}"/>
                </c:ext>
              </c:extLst>
            </c:dLbl>
            <c:dLbl>
              <c:idx val="2"/>
              <c:tx>
                <c:rich>
                  <a:bodyPr/>
                  <a:lstStyle/>
                  <a:p>
                    <a:fld id="{19730C17-4463-413E-A836-FE665C46B0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F2-466B-8A04-49B3DA68A423}"/>
                </c:ext>
              </c:extLst>
            </c:dLbl>
            <c:dLbl>
              <c:idx val="3"/>
              <c:tx>
                <c:rich>
                  <a:bodyPr/>
                  <a:lstStyle/>
                  <a:p>
                    <a:fld id="{3ADC7F5B-F46F-4029-866D-5F27D572E4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F2-466B-8A04-49B3DA68A423}"/>
                </c:ext>
              </c:extLst>
            </c:dLbl>
            <c:dLbl>
              <c:idx val="4"/>
              <c:tx>
                <c:rich>
                  <a:bodyPr/>
                  <a:lstStyle/>
                  <a:p>
                    <a:fld id="{C6BED39D-3571-47E7-9C2C-5C9824A0C8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F2-466B-8A04-49B3DA68A423}"/>
                </c:ext>
              </c:extLst>
            </c:dLbl>
            <c:dLbl>
              <c:idx val="5"/>
              <c:tx>
                <c:rich>
                  <a:bodyPr/>
                  <a:lstStyle/>
                  <a:p>
                    <a:fld id="{0D4B93DA-23A9-4F21-B2DB-EF25534DF6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F2-466B-8A04-49B3DA68A423}"/>
                </c:ext>
              </c:extLst>
            </c:dLbl>
            <c:dLbl>
              <c:idx val="6"/>
              <c:tx>
                <c:rich>
                  <a:bodyPr/>
                  <a:lstStyle/>
                  <a:p>
                    <a:fld id="{FBD1B019-F55A-41F9-98BA-3A9A672790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F2-466B-8A04-49B3DA68A423}"/>
                </c:ext>
              </c:extLst>
            </c:dLbl>
            <c:dLbl>
              <c:idx val="7"/>
              <c:tx>
                <c:rich>
                  <a:bodyPr/>
                  <a:lstStyle/>
                  <a:p>
                    <a:fld id="{CA80AC60-ADC7-4AB8-8035-25BF53CA11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F2-466B-8A04-49B3DA68A423}"/>
                </c:ext>
              </c:extLst>
            </c:dLbl>
            <c:dLbl>
              <c:idx val="8"/>
              <c:tx>
                <c:rich>
                  <a:bodyPr/>
                  <a:lstStyle/>
                  <a:p>
                    <a:fld id="{7879F99E-3056-45C2-9E93-36F5371FD5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F2-466B-8A04-49B3DA68A423}"/>
                </c:ext>
              </c:extLst>
            </c:dLbl>
            <c:dLbl>
              <c:idx val="9"/>
              <c:tx>
                <c:rich>
                  <a:bodyPr/>
                  <a:lstStyle/>
                  <a:p>
                    <a:fld id="{AED2005C-8F61-4245-8CAC-AB16AA4339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F2-466B-8A04-49B3DA68A423}"/>
                </c:ext>
              </c:extLst>
            </c:dLbl>
            <c:dLbl>
              <c:idx val="10"/>
              <c:tx>
                <c:rich>
                  <a:bodyPr/>
                  <a:lstStyle/>
                  <a:p>
                    <a:fld id="{263956AC-3CF9-4F35-86F3-8F144B03B9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F2-466B-8A04-49B3DA68A423}"/>
                </c:ext>
              </c:extLst>
            </c:dLbl>
            <c:dLbl>
              <c:idx val="11"/>
              <c:tx>
                <c:rich>
                  <a:bodyPr/>
                  <a:lstStyle/>
                  <a:p>
                    <a:fld id="{A90E8479-93EF-415E-AE0D-78220564DA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F2-466B-8A04-49B3DA68A42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Dashboard_ChuongTrinh!$BM$6:$BM$17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Dashboard_ChuongTrinh!$BN$6:$BN$17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D-A4F2-466B-8A04-49B3DA68A423}"/>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doanh thu</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7C5-4A0E-89CC-255A1945F621}"/>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3D5-47A4-9F7D-4D67F5D8BDA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3D5-47A4-9F7D-4D67F5D8BDA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3D5-47A4-9F7D-4D67F5D8BDA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Dashboard_ChuongTrinh!$AO$6:$AO$9</c:f>
              <c:numCache>
                <c:formatCode>General</c:formatCode>
                <c:ptCount val="4"/>
                <c:pt idx="0">
                  <c:v>#N/A</c:v>
                </c:pt>
                <c:pt idx="1">
                  <c:v>#N/A</c:v>
                </c:pt>
                <c:pt idx="2">
                  <c:v>#N/A</c:v>
                </c:pt>
                <c:pt idx="3">
                  <c:v>#N/A</c:v>
                </c:pt>
              </c:numCache>
            </c:numRef>
          </c:xVal>
          <c:yVal>
            <c:numRef>
              <c:f>Dashboard_ChuongTrinh!$AP$6:$AP$9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0-07C5-4A0E-89CC-255A1945F621}"/>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doanh thu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doanh thu</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khách mới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42DA-4BB9-B589-4331CFA31BC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08E-419C-809D-91CB69342A3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08E-419C-809D-91CB69342A3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08E-419C-809D-91CB69342A3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Dashboard_ChuongTrinh!$AQ$6:$AQ$9</c:f>
              <c:numCache>
                <c:formatCode>General</c:formatCode>
                <c:ptCount val="4"/>
                <c:pt idx="0">
                  <c:v>#N/A</c:v>
                </c:pt>
                <c:pt idx="1">
                  <c:v>#N/A</c:v>
                </c:pt>
                <c:pt idx="2">
                  <c:v>#N/A</c:v>
                </c:pt>
                <c:pt idx="3">
                  <c:v>#N/A</c:v>
                </c:pt>
              </c:numCache>
            </c:numRef>
          </c:xVal>
          <c:yVal>
            <c:numRef>
              <c:f>Dashboard_ChuongTrinh!$AR$6:$AR$9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42DA-4BB9-B589-4331CFA31BC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tạo khách mới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Số</a:t>
                </a:r>
                <a:r>
                  <a:rPr lang="en-US" b="1" baseline="0"/>
                  <a:t> lượng khách mới mang lại</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đơn hàng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266-4044-A462-C2A2D959BC0A}"/>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CBC9-4434-BA49-5CADF9F405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BC9-4434-BA49-5CADF9F4055D}"/>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BC9-4434-BA49-5CADF9F40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Dashboard_ChuongTrinh!$AS$6:$AS$9</c:f>
              <c:numCache>
                <c:formatCode>General</c:formatCode>
                <c:ptCount val="4"/>
                <c:pt idx="0">
                  <c:v>#N/A</c:v>
                </c:pt>
                <c:pt idx="1">
                  <c:v>#N/A</c:v>
                </c:pt>
                <c:pt idx="2">
                  <c:v>#N/A</c:v>
                </c:pt>
                <c:pt idx="3">
                  <c:v>#N/A</c:v>
                </c:pt>
              </c:numCache>
            </c:numRef>
          </c:xVal>
          <c:yVal>
            <c:numRef>
              <c:f>Dashboard_ChuongTrinh!$AT$6:$AT$9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1266-4044-A462-C2A2D959BC0A}"/>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đơn hàng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đơn hàng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lượng sản phẩm</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DAB-4433-B72D-E7C507F2D9A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0BA-44D7-B1CC-468CB7C74AA7}"/>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0BA-44D7-B1CC-468CB7C74AA7}"/>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0BA-44D7-B1CC-468CB7C74AA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Dashboard_ChuongTrinh!$AU$6:$AU$9</c:f>
              <c:numCache>
                <c:formatCode>General</c:formatCode>
                <c:ptCount val="4"/>
                <c:pt idx="0">
                  <c:v>#N/A</c:v>
                </c:pt>
                <c:pt idx="1">
                  <c:v>#N/A</c:v>
                </c:pt>
                <c:pt idx="2">
                  <c:v>#N/A</c:v>
                </c:pt>
                <c:pt idx="3">
                  <c:v>#N/A</c:v>
                </c:pt>
              </c:numCache>
            </c:numRef>
          </c:xVal>
          <c:yVal>
            <c:numRef>
              <c:f>Dashboard_ChuongTrinh!$AV$6:$AV$9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3-1DAB-4433-B72D-E7C507F2D9A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sản lượng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sản lượng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[EASY.xlsm]Sheet_DuPhongPhaiThu!PivotTable12</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Sheet_DuPhongPhaiThu!$C$22:$C$23</c:f>
              <c:strCache>
                <c:ptCount val="1"/>
                <c:pt idx="0">
                  <c:v>KH1</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Sheet_DuPhongPhaiThu!$C$24:$C$27</c:f>
              <c:numCache>
                <c:formatCode>_(* #,##0_);_(* \(#,##0\);_(* "-"??_);_(@_)</c:formatCode>
                <c:ptCount val="3"/>
                <c:pt idx="0">
                  <c:v>100000</c:v>
                </c:pt>
                <c:pt idx="1">
                  <c:v>200000</c:v>
                </c:pt>
                <c:pt idx="2">
                  <c:v>200000</c:v>
                </c:pt>
              </c:numCache>
            </c:numRef>
          </c:val>
          <c:extLst>
            <c:ext xmlns:c16="http://schemas.microsoft.com/office/drawing/2014/chart" uri="{C3380CC4-5D6E-409C-BE32-E72D297353CC}">
              <c16:uniqueId val="{00000000-7F63-4247-94C7-EFC71D469351}"/>
            </c:ext>
          </c:extLst>
        </c:ser>
        <c:ser>
          <c:idx val="1"/>
          <c:order val="1"/>
          <c:tx>
            <c:strRef>
              <c:f>Sheet_DuPhongPhaiThu!$D$22:$D$23</c:f>
              <c:strCache>
                <c:ptCount val="1"/>
                <c:pt idx="0">
                  <c:v>KH2</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Sheet_DuPhongPhaiThu!$D$24:$D$27</c:f>
              <c:numCache>
                <c:formatCode>_(* #,##0_);_(* \(#,##0\);_(* "-"??_);_(@_)</c:formatCode>
                <c:ptCount val="3"/>
                <c:pt idx="0">
                  <c:v>200000</c:v>
                </c:pt>
                <c:pt idx="1">
                  <c:v>100000</c:v>
                </c:pt>
                <c:pt idx="2">
                  <c:v>100000</c:v>
                </c:pt>
              </c:numCache>
            </c:numRef>
          </c:val>
          <c:extLst>
            <c:ext xmlns:c16="http://schemas.microsoft.com/office/drawing/2014/chart" uri="{C3380CC4-5D6E-409C-BE32-E72D297353CC}">
              <c16:uniqueId val="{00000002-7F63-4247-94C7-EFC71D469351}"/>
            </c:ext>
          </c:extLst>
        </c:ser>
        <c:dLbls>
          <c:dLblPos val="ctr"/>
          <c:showLegendKey val="0"/>
          <c:showVal val="1"/>
          <c:showCatName val="0"/>
          <c:showSerName val="0"/>
          <c:showPercent val="0"/>
          <c:showBubbleSize val="0"/>
        </c:dLbls>
        <c:gapWidth val="150"/>
        <c:overlap val="100"/>
        <c:axId val="1441351359"/>
        <c:axId val="1441349919"/>
      </c:barChart>
      <c:catAx>
        <c:axId val="14413513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1349919"/>
        <c:crosses val="autoZero"/>
        <c:auto val="1"/>
        <c:lblAlgn val="ctr"/>
        <c:lblOffset val="100"/>
        <c:noMultiLvlLbl val="0"/>
      </c:catAx>
      <c:valAx>
        <c:axId val="1441349919"/>
        <c:scaling>
          <c:orientation val="minMax"/>
        </c:scaling>
        <c:delete val="1"/>
        <c:axPos val="l"/>
        <c:numFmt formatCode="_(* #,##0_);_(* \(#,##0\);_(* &quot;-&quot;??_);_(@_)" sourceLinked="1"/>
        <c:majorTickMark val="none"/>
        <c:minorTickMark val="none"/>
        <c:tickLblPos val="nextTo"/>
        <c:crossAx val="1441351359"/>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Sheet_PhaiThu!$C$24</c:f>
              <c:strCache>
                <c:ptCount val="1"/>
                <c:pt idx="0">
                  <c:v>KH1</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Sheet_PhaiThu!$D$24:$H$24</c:f>
              <c:numCache>
                <c:formatCode>_(* #,##0_);_(* \(#,##0\);_(* "-"??_);_(@_)</c:formatCode>
                <c:ptCount val="5"/>
                <c:pt idx="1">
                  <c:v>300000</c:v>
                </c:pt>
                <c:pt idx="2">
                  <c:v>400000</c:v>
                </c:pt>
                <c:pt idx="3">
                  <c:v>400000</c:v>
                </c:pt>
                <c:pt idx="4">
                  <c:v>0</c:v>
                </c:pt>
              </c:numCache>
            </c:numRef>
          </c:val>
          <c:extLst>
            <c:ext xmlns:c16="http://schemas.microsoft.com/office/drawing/2014/chart" uri="{C3380CC4-5D6E-409C-BE32-E72D297353CC}">
              <c16:uniqueId val="{00000000-E048-45B5-87F6-B6D258F37DF7}"/>
            </c:ext>
          </c:extLst>
        </c:ser>
        <c:ser>
          <c:idx val="1"/>
          <c:order val="1"/>
          <c:tx>
            <c:strRef>
              <c:f>Sheet_PhaiThu!$C$25</c:f>
              <c:strCache>
                <c:ptCount val="1"/>
                <c:pt idx="0">
                  <c:v>KH2</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Sheet_PhaiThu!$D$25:$H$25</c:f>
              <c:numCache>
                <c:formatCode>_(* #,##0_);_(* \(#,##0\);_(* "-"??_);_(@_)</c:formatCode>
                <c:ptCount val="5"/>
                <c:pt idx="1">
                  <c:v>400000</c:v>
                </c:pt>
                <c:pt idx="2">
                  <c:v>300000</c:v>
                </c:pt>
                <c:pt idx="3">
                  <c:v>300000</c:v>
                </c:pt>
                <c:pt idx="4">
                  <c:v>0</c:v>
                </c:pt>
              </c:numCache>
            </c:numRef>
          </c:val>
          <c:extLst>
            <c:ext xmlns:c16="http://schemas.microsoft.com/office/drawing/2014/chart" uri="{C3380CC4-5D6E-409C-BE32-E72D297353CC}">
              <c16:uniqueId val="{00000001-E048-45B5-87F6-B6D258F37DF7}"/>
            </c:ext>
          </c:extLst>
        </c:ser>
        <c:ser>
          <c:idx val="2"/>
          <c:order val="2"/>
          <c:tx>
            <c:strRef>
              <c:f>Sheet_PhaiThu!$C$26</c:f>
              <c:strCache>
                <c:ptCount val="1"/>
                <c:pt idx="0">
                  <c:v>KH3</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Sheet_PhaiThu!$D$26:$H$26</c:f>
              <c:numCache>
                <c:formatCode>_(* #,##0_);_(* \(#,##0\);_(* "-"??_);_(@_)</c:formatCode>
                <c:ptCount val="5"/>
                <c:pt idx="1">
                  <c:v>0</c:v>
                </c:pt>
                <c:pt idx="2">
                  <c:v>-500000</c:v>
                </c:pt>
                <c:pt idx="3">
                  <c:v>-800000</c:v>
                </c:pt>
                <c:pt idx="4">
                  <c:v>0</c:v>
                </c:pt>
              </c:numCache>
            </c:numRef>
          </c:val>
          <c:extLst>
            <c:ext xmlns:c16="http://schemas.microsoft.com/office/drawing/2014/chart" uri="{C3380CC4-5D6E-409C-BE32-E72D297353CC}">
              <c16:uniqueId val="{00000002-E048-45B5-87F6-B6D258F37DF7}"/>
            </c:ext>
          </c:extLst>
        </c:ser>
        <c:dLbls>
          <c:showLegendKey val="0"/>
          <c:showVal val="0"/>
          <c:showCatName val="0"/>
          <c:showSerName val="0"/>
          <c:showPercent val="0"/>
          <c:showBubbleSize val="0"/>
        </c:dLbls>
        <c:gapWidth val="150"/>
        <c:overlap val="100"/>
        <c:axId val="665669567"/>
        <c:axId val="665674367"/>
      </c:barChart>
      <c:catAx>
        <c:axId val="6656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74367"/>
        <c:crosses val="autoZero"/>
        <c:auto val="1"/>
        <c:lblAlgn val="ctr"/>
        <c:lblOffset val="100"/>
        <c:noMultiLvlLbl val="0"/>
      </c:catAx>
      <c:valAx>
        <c:axId val="665674367"/>
        <c:scaling>
          <c:orientation val="minMax"/>
        </c:scaling>
        <c:delete val="1"/>
        <c:axPos val="l"/>
        <c:numFmt formatCode="_(* #,##0_);_(* \(#,##0\);_(* &quot;-&quot;??_);_(@_)" sourceLinked="1"/>
        <c:majorTickMark val="none"/>
        <c:minorTickMark val="none"/>
        <c:tickLblPos val="nextTo"/>
        <c:crossAx val="66566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Sheet_PhaiTra!$C$28</c:f>
              <c:strCache>
                <c:ptCount val="1"/>
                <c:pt idx="0">
                  <c:v> NCC1 </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Sheet_PhaiTra!$D$28:$H$28</c:f>
              <c:numCache>
                <c:formatCode>_(* #,##0_);_(* \(#,##0\);_(* "-"??_);_(@_)</c:formatCode>
                <c:ptCount val="5"/>
                <c:pt idx="1">
                  <c:v>-11946</c:v>
                </c:pt>
                <c:pt idx="2">
                  <c:v>-333042</c:v>
                </c:pt>
                <c:pt idx="3">
                  <c:v>430146</c:v>
                </c:pt>
                <c:pt idx="4">
                  <c:v>0</c:v>
                </c:pt>
              </c:numCache>
            </c:numRef>
          </c:val>
          <c:extLst>
            <c:ext xmlns:c16="http://schemas.microsoft.com/office/drawing/2014/chart" uri="{C3380CC4-5D6E-409C-BE32-E72D297353CC}">
              <c16:uniqueId val="{00000000-134A-49C3-A7E2-9F0E5A696432}"/>
            </c:ext>
          </c:extLst>
        </c:ser>
        <c:ser>
          <c:idx val="1"/>
          <c:order val="1"/>
          <c:tx>
            <c:strRef>
              <c:f>Sheet_PhaiTra!$C$29</c:f>
              <c:strCache>
                <c:ptCount val="1"/>
                <c:pt idx="0">
                  <c:v> NCC2 </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Sheet_PhaiTra!$D$29:$H$29</c:f>
              <c:numCache>
                <c:formatCode>_(* #,##0_);_(* \(#,##0\);_(* "-"??_);_(@_)</c:formatCode>
                <c:ptCount val="5"/>
                <c:pt idx="1">
                  <c:v>403962</c:v>
                </c:pt>
                <c:pt idx="2">
                  <c:v>75837</c:v>
                </c:pt>
                <c:pt idx="3">
                  <c:v>-376901</c:v>
                </c:pt>
                <c:pt idx="4">
                  <c:v>0</c:v>
                </c:pt>
              </c:numCache>
            </c:numRef>
          </c:val>
          <c:extLst>
            <c:ext xmlns:c16="http://schemas.microsoft.com/office/drawing/2014/chart" uri="{C3380CC4-5D6E-409C-BE32-E72D297353CC}">
              <c16:uniqueId val="{00000001-134A-49C3-A7E2-9F0E5A696432}"/>
            </c:ext>
          </c:extLst>
        </c:ser>
        <c:ser>
          <c:idx val="2"/>
          <c:order val="2"/>
          <c:tx>
            <c:strRef>
              <c:f>Sheet_PhaiTra!$C$30</c:f>
              <c:strCache>
                <c:ptCount val="1"/>
                <c:pt idx="0">
                  <c:v> NCC3 </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Sheet_PhaiTra!$D$30:$H$30</c:f>
              <c:numCache>
                <c:formatCode>_(* #,##0_);_(* \(#,##0\);_(* "-"??_);_(@_)</c:formatCode>
                <c:ptCount val="5"/>
                <c:pt idx="1">
                  <c:v>-163708</c:v>
                </c:pt>
                <c:pt idx="2">
                  <c:v>420578</c:v>
                </c:pt>
                <c:pt idx="3">
                  <c:v>-252902</c:v>
                </c:pt>
                <c:pt idx="4">
                  <c:v>0</c:v>
                </c:pt>
              </c:numCache>
            </c:numRef>
          </c:val>
          <c:extLst>
            <c:ext xmlns:c16="http://schemas.microsoft.com/office/drawing/2014/chart" uri="{C3380CC4-5D6E-409C-BE32-E72D297353CC}">
              <c16:uniqueId val="{00000002-134A-49C3-A7E2-9F0E5A696432}"/>
            </c:ext>
          </c:extLst>
        </c:ser>
        <c:dLbls>
          <c:showLegendKey val="0"/>
          <c:showVal val="0"/>
          <c:showCatName val="0"/>
          <c:showSerName val="0"/>
          <c:showPercent val="0"/>
          <c:showBubbleSize val="0"/>
        </c:dLbls>
        <c:gapWidth val="219"/>
        <c:overlap val="100"/>
        <c:axId val="1441572639"/>
        <c:axId val="1441562079"/>
      </c:barChart>
      <c:catAx>
        <c:axId val="14415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562079"/>
        <c:crosses val="autoZero"/>
        <c:auto val="1"/>
        <c:lblAlgn val="ctr"/>
        <c:lblOffset val="100"/>
        <c:noMultiLvlLbl val="0"/>
      </c:catAx>
      <c:valAx>
        <c:axId val="1441562079"/>
        <c:scaling>
          <c:orientation val="minMax"/>
        </c:scaling>
        <c:delete val="1"/>
        <c:axPos val="l"/>
        <c:numFmt formatCode="_(* #,##0_);_(* \(#,##0\);_(* &quot;-&quot;??_);_(@_)" sourceLinked="1"/>
        <c:majorTickMark val="none"/>
        <c:minorTickMark val="none"/>
        <c:tickLblPos val="nextTo"/>
        <c:crossAx val="1441572639"/>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Sheet_DiemDatHang!$G$23</c:f>
              <c:strCache>
                <c:ptCount val="1"/>
                <c:pt idx="0">
                  <c:v>Tồn tối thiểu</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Sheet_DiemDatHang!$G$24:$G$26</c:f>
              <c:numCache>
                <c:formatCode>_(* #,##0_);_(* \(#,##0\);_(* "-"??_);_(@_)</c:formatCode>
                <c:ptCount val="3"/>
                <c:pt idx="0">
                  <c:v>23.054347826086957</c:v>
                </c:pt>
                <c:pt idx="1">
                  <c:v>23.947826086956525</c:v>
                </c:pt>
                <c:pt idx="2">
                  <c:v>21.641304347826093</c:v>
                </c:pt>
              </c:numCache>
            </c:numRef>
          </c:yVal>
          <c:smooth val="0"/>
          <c:extLst>
            <c:ext xmlns:c16="http://schemas.microsoft.com/office/drawing/2014/chart" uri="{C3380CC4-5D6E-409C-BE32-E72D297353CC}">
              <c16:uniqueId val="{00000000-A3CB-4558-8DFD-5840B1420A87}"/>
            </c:ext>
          </c:extLst>
        </c:ser>
        <c:ser>
          <c:idx val="1"/>
          <c:order val="1"/>
          <c:tx>
            <c:strRef>
              <c:f>Sheet_DiemDatHang!$H$23</c:f>
              <c:strCache>
                <c:ptCount val="1"/>
                <c:pt idx="0">
                  <c:v>Tồn tối đa</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Sheet_DiemDatHang!$H$24:$H$26</c:f>
              <c:numCache>
                <c:formatCode>_(* #,##0_);_(* \(#,##0\);_(* "-"??_);_(@_)</c:formatCode>
                <c:ptCount val="3"/>
                <c:pt idx="0">
                  <c:v>69.163043478260875</c:v>
                </c:pt>
                <c:pt idx="1">
                  <c:v>71.843478260869574</c:v>
                </c:pt>
                <c:pt idx="2">
                  <c:v>64.923913043478279</c:v>
                </c:pt>
              </c:numCache>
            </c:numRef>
          </c:yVal>
          <c:smooth val="0"/>
          <c:extLst>
            <c:ext xmlns:c16="http://schemas.microsoft.com/office/drawing/2014/chart" uri="{C3380CC4-5D6E-409C-BE32-E72D297353CC}">
              <c16:uniqueId val="{00000001-A3CB-4558-8DFD-5840B1420A87}"/>
            </c:ext>
          </c:extLst>
        </c:ser>
        <c:ser>
          <c:idx val="2"/>
          <c:order val="2"/>
          <c:tx>
            <c:strRef>
              <c:f>Sheet_DiemDatHang!$I$23</c:f>
              <c:strCache>
                <c:ptCount val="1"/>
                <c:pt idx="0">
                  <c:v>Tồn đầu ngày</c:v>
                </c:pt>
              </c:strCache>
            </c:strRef>
          </c:tx>
          <c:spPr>
            <a:ln w="19050" cap="rnd">
              <a:noFill/>
              <a:round/>
            </a:ln>
            <a:effectLst/>
          </c:spPr>
          <c:marker>
            <c:symbol val="circle"/>
            <c:size val="8"/>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Sheet_DiemDatHang!$F$24:$F$26</c:f>
              <c:strCache>
                <c:ptCount val="3"/>
                <c:pt idx="0">
                  <c:v>HH1</c:v>
                </c:pt>
                <c:pt idx="1">
                  <c:v>TP1</c:v>
                </c:pt>
                <c:pt idx="2">
                  <c:v>TP2</c:v>
                </c:pt>
              </c:strCache>
            </c:strRef>
          </c:xVal>
          <c:yVal>
            <c:numRef>
              <c:f>Sheet_DiemDatHang!$I$24:$I$26</c:f>
              <c:numCache>
                <c:formatCode>_(* #,##0_);_(* \(#,##0\);_(* "-"??_);_(@_)</c:formatCode>
                <c:ptCount val="3"/>
                <c:pt idx="0">
                  <c:v>69</c:v>
                </c:pt>
                <c:pt idx="1">
                  <c:v>85</c:v>
                </c:pt>
                <c:pt idx="2">
                  <c:v>22</c:v>
                </c:pt>
              </c:numCache>
            </c:numRef>
          </c:yVal>
          <c:smooth val="0"/>
          <c:extLst>
            <c:ext xmlns:c16="http://schemas.microsoft.com/office/drawing/2014/chart" uri="{C3380CC4-5D6E-409C-BE32-E72D297353CC}">
              <c16:uniqueId val="{00000002-A3CB-4558-8DFD-5840B1420A87}"/>
            </c:ext>
          </c:extLst>
        </c:ser>
        <c:dLbls>
          <c:showLegendKey val="0"/>
          <c:showVal val="0"/>
          <c:showCatName val="0"/>
          <c:showSerName val="0"/>
          <c:showPercent val="0"/>
          <c:showBubbleSize val="0"/>
        </c:dLbls>
        <c:axId val="1320818735"/>
        <c:axId val="1320800015"/>
      </c:scatterChart>
      <c:valAx>
        <c:axId val="1320818735"/>
        <c:scaling>
          <c:orientation val="minMax"/>
        </c:scaling>
        <c:delete val="1"/>
        <c:axPos val="b"/>
        <c:majorTickMark val="none"/>
        <c:minorTickMark val="none"/>
        <c:tickLblPos val="nextTo"/>
        <c:crossAx val="1320800015"/>
        <c:crosses val="autoZero"/>
        <c:crossBetween val="midCat"/>
      </c:valAx>
      <c:valAx>
        <c:axId val="132080001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18735"/>
        <c:crosses val="autoZero"/>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[EASY.xlsm]Sheet_DiemDatHang!PivotTable6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Sheet_DiemDatHang!$C$23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34-4D73-A3D4-CEAB2D7CB3C0}"/>
              </c:ext>
            </c:extLst>
          </c:dPt>
          <c:dPt>
            <c:idx val="1"/>
            <c:bubble3D val="0"/>
            <c:spPr>
              <a:solidFill>
                <a:schemeClr val="accent2"/>
              </a:solidFill>
              <a:ln>
                <a:noFill/>
              </a:ln>
              <a:effectLst/>
            </c:spPr>
            <c:extLst>
              <c:ext xmlns:c16="http://schemas.microsoft.com/office/drawing/2014/chart" uri="{C3380CC4-5D6E-409C-BE32-E72D297353CC}">
                <c16:uniqueId val="{00000003-5634-4D73-A3D4-CEAB2D7CB3C0}"/>
              </c:ext>
            </c:extLst>
          </c:dPt>
          <c:dPt>
            <c:idx val="2"/>
            <c:bubble3D val="0"/>
            <c:spPr>
              <a:solidFill>
                <a:schemeClr val="accent3"/>
              </a:solidFill>
              <a:ln>
                <a:noFill/>
              </a:ln>
              <a:effectLst/>
            </c:spPr>
            <c:extLst>
              <c:ext xmlns:c16="http://schemas.microsoft.com/office/drawing/2014/chart" uri="{C3380CC4-5D6E-409C-BE32-E72D297353CC}">
                <c16:uniqueId val="{00000005-5634-4D73-A3D4-CEAB2D7CB3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Sheet_DiemDatHang!$B$24:$B$27</c:f>
              <c:strCache>
                <c:ptCount val="3"/>
                <c:pt idx="0">
                  <c:v>HH1</c:v>
                </c:pt>
                <c:pt idx="1">
                  <c:v>TP1</c:v>
                </c:pt>
                <c:pt idx="2">
                  <c:v>TP2</c:v>
                </c:pt>
              </c:strCache>
            </c:strRef>
          </c:cat>
          <c:val>
            <c:numRef>
              <c:f>Sheet_DiemDatHang!$C$24:$C$27</c:f>
              <c:numCache>
                <c:formatCode>_(* #,##0_);_(* \(#,##0\);_(* "-"??_);_(@_)</c:formatCode>
                <c:ptCount val="3"/>
                <c:pt idx="0">
                  <c:v>0</c:v>
                </c:pt>
                <c:pt idx="1">
                  <c:v>0</c:v>
                </c:pt>
                <c:pt idx="2">
                  <c:v>45.446739130434793</c:v>
                </c:pt>
              </c:numCache>
            </c:numRef>
          </c:val>
          <c:extLst>
            <c:ext xmlns:c16="http://schemas.microsoft.com/office/drawing/2014/chart" uri="{C3380CC4-5D6E-409C-BE32-E72D297353CC}">
              <c16:uniqueId val="{00000000-23E0-4B1F-834C-1ECCB5F982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[EASY.xlsm]Sheet_KHTieuThu!PivotTable7</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Sheet_KHTieuThu!$C$21</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Sheet_KHTieuThu!$B$22:$B$24</c:f>
              <c:strCache>
                <c:ptCount val="2"/>
                <c:pt idx="0">
                  <c:v>TP1</c:v>
                </c:pt>
                <c:pt idx="1">
                  <c:v>TP2</c:v>
                </c:pt>
              </c:strCache>
            </c:strRef>
          </c:cat>
          <c:val>
            <c:numRef>
              <c:f>Sheet_KHTieuThu!$C$22:$C$24</c:f>
              <c:numCache>
                <c:formatCode>#,##0_);\(#,##0\)</c:formatCode>
                <c:ptCount val="2"/>
                <c:pt idx="0">
                  <c:v>319894.73684210522</c:v>
                </c:pt>
                <c:pt idx="1">
                  <c:v>339175.25773195876</c:v>
                </c:pt>
              </c:numCache>
            </c:numRef>
          </c:val>
          <c:extLst>
            <c:ext xmlns:c16="http://schemas.microsoft.com/office/drawing/2014/chart" uri="{C3380CC4-5D6E-409C-BE32-E72D297353CC}">
              <c16:uniqueId val="{00000000-B60B-4D53-A6DE-53C2E0F3173E}"/>
            </c:ext>
          </c:extLst>
        </c:ser>
        <c:dLbls>
          <c:showLegendKey val="0"/>
          <c:showVal val="0"/>
          <c:showCatName val="0"/>
          <c:showSerName val="0"/>
          <c:showPercent val="0"/>
          <c:showBubbleSize val="0"/>
        </c:dLbls>
        <c:gapWidth val="219"/>
        <c:overlap val="-27"/>
        <c:axId val="1031852191"/>
        <c:axId val="1031866111"/>
      </c:barChart>
      <c:catAx>
        <c:axId val="103185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6111"/>
        <c:crosses val="autoZero"/>
        <c:auto val="1"/>
        <c:lblAlgn val="ctr"/>
        <c:lblOffset val="100"/>
        <c:noMultiLvlLbl val="0"/>
      </c:catAx>
      <c:valAx>
        <c:axId val="1031866111"/>
        <c:scaling>
          <c:orientation val="minMax"/>
        </c:scaling>
        <c:delete val="1"/>
        <c:axPos val="l"/>
        <c:numFmt formatCode="#,##0_);\(#,##0\)" sourceLinked="1"/>
        <c:majorTickMark val="none"/>
        <c:minorTickMark val="none"/>
        <c:tickLblPos val="nextTo"/>
        <c:crossAx val="1031852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[EASY.xlsm]Sheet_KHTieuThu!PivotTable8</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Sheet_KHTieuThu!$F$21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805-4942-B585-118535FC08E7}"/>
              </c:ext>
            </c:extLst>
          </c:dPt>
          <c:dPt>
            <c:idx val="1"/>
            <c:bubble3D val="0"/>
            <c:spPr>
              <a:solidFill>
                <a:schemeClr val="accent2"/>
              </a:solidFill>
              <a:ln>
                <a:noFill/>
              </a:ln>
              <a:effectLst/>
            </c:spPr>
            <c:extLst>
              <c:ext xmlns:c16="http://schemas.microsoft.com/office/drawing/2014/chart" uri="{C3380CC4-5D6E-409C-BE32-E72D297353CC}">
                <c16:uniqueId val="{00000003-A805-4942-B585-118535FC08E7}"/>
              </c:ext>
            </c:extLst>
          </c:dPt>
          <c:dPt>
            <c:idx val="2"/>
            <c:bubble3D val="0"/>
            <c:spPr>
              <a:solidFill>
                <a:schemeClr val="accent3"/>
              </a:solidFill>
              <a:ln>
                <a:noFill/>
              </a:ln>
              <a:effectLst/>
            </c:spPr>
            <c:extLst>
              <c:ext xmlns:c16="http://schemas.microsoft.com/office/drawing/2014/chart" uri="{C3380CC4-5D6E-409C-BE32-E72D297353CC}">
                <c16:uniqueId val="{00000005-A805-4942-B585-118535FC08E7}"/>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Sheet_KHTieuThu!$E$22:$E$25</c:f>
              <c:strCache>
                <c:ptCount val="3"/>
                <c:pt idx="0">
                  <c:v>NL1</c:v>
                </c:pt>
                <c:pt idx="1">
                  <c:v>NL2</c:v>
                </c:pt>
                <c:pt idx="2">
                  <c:v>Điện</c:v>
                </c:pt>
              </c:strCache>
            </c:strRef>
          </c:cat>
          <c:val>
            <c:numRef>
              <c:f>Sheet_KHTieuThu!$F$22:$F$25</c:f>
              <c:numCache>
                <c:formatCode>#,##0_);\(#,##0\)</c:formatCode>
                <c:ptCount val="3"/>
                <c:pt idx="0">
                  <c:v>210526.31578947368</c:v>
                </c:pt>
                <c:pt idx="1">
                  <c:v>105263.15789473684</c:v>
                </c:pt>
                <c:pt idx="2">
                  <c:v>4105.2631578947367</c:v>
                </c:pt>
              </c:numCache>
            </c:numRef>
          </c:val>
          <c:extLst>
            <c:ext xmlns:c16="http://schemas.microsoft.com/office/drawing/2014/chart" uri="{C3380CC4-5D6E-409C-BE32-E72D297353CC}">
              <c16:uniqueId val="{00000000-260D-482C-AAD9-2BF289B8DF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Sheet_KHTieuThu!$I$21</c:f>
              <c:strCache>
                <c:ptCount val="1"/>
                <c:pt idx="0">
                  <c:v>Tồn kho</c:v>
                </c:pt>
              </c:strCache>
            </c:strRef>
          </c:tx>
          <c:spPr>
            <a:solidFill>
              <a:schemeClr val="accent1"/>
            </a:solidFill>
            <a:ln>
              <a:noFill/>
            </a:ln>
            <a:effectLst/>
          </c:spPr>
          <c:invertIfNegative val="0"/>
          <c:cat>
            <c:strRef>
              <c:f>Sheet_KHTieuThu!$H$22:$H$24</c:f>
              <c:strCache>
                <c:ptCount val="2"/>
                <c:pt idx="0">
                  <c:v>NL1</c:v>
                </c:pt>
                <c:pt idx="1">
                  <c:v>NL2</c:v>
                </c:pt>
              </c:strCache>
            </c:strRef>
          </c:cat>
          <c:val>
            <c:numRef>
              <c:f>Sheet_KHTieuThu!$I$22:$I$24</c:f>
              <c:numCache>
                <c:formatCode>#,##0_);\(#,##0\)</c:formatCode>
                <c:ptCount val="2"/>
                <c:pt idx="0">
                  <c:v>169</c:v>
                </c:pt>
                <c:pt idx="1">
                  <c:v>88</c:v>
                </c:pt>
              </c:numCache>
            </c:numRef>
          </c:val>
          <c:extLst>
            <c:ext xmlns:c16="http://schemas.microsoft.com/office/drawing/2014/chart" uri="{C3380CC4-5D6E-409C-BE32-E72D297353CC}">
              <c16:uniqueId val="{00000000-AD54-4D4D-AC1A-2E88E7ECC190}"/>
            </c:ext>
          </c:extLst>
        </c:ser>
        <c:ser>
          <c:idx val="1"/>
          <c:order val="1"/>
          <c:tx>
            <c:strRef>
              <c:f>Sheet_KHTieuThu!$J$21</c:f>
              <c:strCache>
                <c:ptCount val="1"/>
                <c:pt idx="0">
                  <c:v>Cần đặt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Sheet_KHTieuThu!$H$22:$H$24</c:f>
              <c:strCache>
                <c:ptCount val="2"/>
                <c:pt idx="0">
                  <c:v>NL1</c:v>
                </c:pt>
                <c:pt idx="1">
                  <c:v>NL2</c:v>
                </c:pt>
              </c:strCache>
            </c:strRef>
          </c:cat>
          <c:val>
            <c:numRef>
              <c:f>Sheet_KHTieuThu!$J$22:$J$24</c:f>
              <c:numCache>
                <c:formatCode>#,##0_);\(#,##0\)</c:formatCode>
                <c:ptCount val="2"/>
                <c:pt idx="0">
                  <c:v>746.89799240368961</c:v>
                </c:pt>
                <c:pt idx="1">
                  <c:v>264.68583830710799</c:v>
                </c:pt>
              </c:numCache>
            </c:numRef>
          </c:val>
          <c:extLst>
            <c:ext xmlns:c16="http://schemas.microsoft.com/office/drawing/2014/chart" uri="{C3380CC4-5D6E-409C-BE32-E72D297353CC}">
              <c16:uniqueId val="{00000002-AD54-4D4D-AC1A-2E88E7ECC190}"/>
            </c:ext>
          </c:extLst>
        </c:ser>
        <c:dLbls>
          <c:showLegendKey val="0"/>
          <c:showVal val="0"/>
          <c:showCatName val="0"/>
          <c:showSerName val="0"/>
          <c:showPercent val="0"/>
          <c:showBubbleSize val="0"/>
        </c:dLbls>
        <c:gapWidth val="219"/>
        <c:overlap val="100"/>
        <c:axId val="231061951"/>
        <c:axId val="231048511"/>
      </c:barChart>
      <c:catAx>
        <c:axId val="2310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48511"/>
        <c:crosses val="autoZero"/>
        <c:auto val="1"/>
        <c:lblAlgn val="ctr"/>
        <c:lblOffset val="100"/>
        <c:noMultiLvlLbl val="0"/>
      </c:catAx>
      <c:valAx>
        <c:axId val="231048511"/>
        <c:scaling>
          <c:orientation val="minMax"/>
        </c:scaling>
        <c:delete val="1"/>
        <c:axPos val="l"/>
        <c:numFmt formatCode="#,##0_);\(#,##0\)" sourceLinked="1"/>
        <c:majorTickMark val="none"/>
        <c:minorTickMark val="none"/>
        <c:tickLblPos val="nextTo"/>
        <c:crossAx val="231061951"/>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0" cap="rnd">
            <a:solidFill>
              <a:schemeClr val="accent3"/>
            </a:solidFill>
            <a:round/>
          </a:ln>
          <a:effectLst/>
        </c:spPr>
        <c:marker>
          <c:symbol val="none"/>
        </c:marker>
      </c:pivotFmt>
    </c:pivotFmts>
    <c:plotArea>
      <c:layout/>
      <c:barChart>
        <c:barDir val="col"/>
        <c:grouping val="clustered"/>
        <c:varyColors val="0"/>
        <c:ser>
          <c:idx val="0"/>
          <c:order val="0"/>
          <c:tx>
            <c:strRef>
              <c:f>Sheet_KHTieuThu!$M$21</c:f>
              <c:strCache>
                <c:ptCount val="1"/>
                <c:pt idx="0">
                  <c:v>Mục tiêu</c:v>
                </c:pt>
              </c:strCache>
            </c:strRef>
          </c:tx>
          <c:spPr>
            <a:solidFill>
              <a:schemeClr val="accent1"/>
            </a:solidFill>
            <a:ln>
              <a:noFill/>
            </a:ln>
            <a:effectLst/>
          </c:spPr>
          <c:invertIfNegative val="0"/>
          <c:cat>
            <c:strRef>
              <c:f>Sheet_KHTieuThu!$L$22:$L$25</c:f>
              <c:strCache>
                <c:ptCount val="3"/>
                <c:pt idx="0">
                  <c:v>1-3-2025</c:v>
                </c:pt>
                <c:pt idx="1">
                  <c:v>1-4-2025</c:v>
                </c:pt>
                <c:pt idx="2">
                  <c:v>1-5-2025</c:v>
                </c:pt>
              </c:strCache>
            </c:strRef>
          </c:cat>
          <c:val>
            <c:numRef>
              <c:f>Sheet_KHTieuThu!$M$22:$M$25</c:f>
              <c:numCache>
                <c:formatCode>#,##0_);\(#,##0\)</c:formatCode>
                <c:ptCount val="3"/>
                <c:pt idx="0">
                  <c:v>25000000</c:v>
                </c:pt>
                <c:pt idx="1">
                  <c:v>20000000</c:v>
                </c:pt>
                <c:pt idx="2">
                  <c:v>10000000</c:v>
                </c:pt>
              </c:numCache>
            </c:numRef>
          </c:val>
          <c:extLst>
            <c:ext xmlns:c16="http://schemas.microsoft.com/office/drawing/2014/chart" uri="{C3380CC4-5D6E-409C-BE32-E72D297353CC}">
              <c16:uniqueId val="{00000000-3714-4763-94AE-6616A8CE7808}"/>
            </c:ext>
          </c:extLst>
        </c:ser>
        <c:ser>
          <c:idx val="1"/>
          <c:order val="1"/>
          <c:tx>
            <c:strRef>
              <c:f>Sheet_KHTieuThu!$N$21</c:f>
              <c:strCache>
                <c:ptCount val="1"/>
                <c:pt idx="0">
                  <c:v>Thực tế</c:v>
                </c:pt>
              </c:strCache>
            </c:strRef>
          </c:tx>
          <c:spPr>
            <a:solidFill>
              <a:schemeClr val="accent2"/>
            </a:solidFill>
            <a:ln>
              <a:noFill/>
            </a:ln>
            <a:effectLst/>
          </c:spPr>
          <c:invertIfNegative val="0"/>
          <c:cat>
            <c:strRef>
              <c:f>Sheet_KHTieuThu!$L$22:$L$25</c:f>
              <c:strCache>
                <c:ptCount val="3"/>
                <c:pt idx="0">
                  <c:v>1-3-2025</c:v>
                </c:pt>
                <c:pt idx="1">
                  <c:v>1-4-2025</c:v>
                </c:pt>
                <c:pt idx="2">
                  <c:v>1-5-2025</c:v>
                </c:pt>
              </c:strCache>
            </c:strRef>
          </c:cat>
          <c:val>
            <c:numRef>
              <c:f>Sheet_KHTieuThu!$N$22:$N$25</c:f>
              <c:numCache>
                <c:formatCode>#,##0_);\(#,##0\)</c:formatCode>
                <c:ptCount val="3"/>
                <c:pt idx="0">
                  <c:v>27200000</c:v>
                </c:pt>
                <c:pt idx="1">
                  <c:v>18730437.570594341</c:v>
                </c:pt>
                <c:pt idx="2">
                  <c:v>8488470.3856612295</c:v>
                </c:pt>
              </c:numCache>
            </c:numRef>
          </c:val>
          <c:extLst>
            <c:ext xmlns:c16="http://schemas.microsoft.com/office/drawing/2014/chart" uri="{C3380CC4-5D6E-409C-BE32-E72D297353CC}">
              <c16:uniqueId val="{00000002-3714-4763-94AE-6616A8CE7808}"/>
            </c:ext>
          </c:extLst>
        </c:ser>
        <c:dLbls>
          <c:showLegendKey val="0"/>
          <c:showVal val="0"/>
          <c:showCatName val="0"/>
          <c:showSerName val="0"/>
          <c:showPercent val="0"/>
          <c:showBubbleSize val="0"/>
        </c:dLbls>
        <c:gapWidth val="245"/>
        <c:overlap val="100"/>
        <c:axId val="273472639"/>
        <c:axId val="273473119"/>
      </c:barChart>
      <c:lineChart>
        <c:grouping val="standard"/>
        <c:varyColors val="0"/>
        <c:ser>
          <c:idx val="2"/>
          <c:order val="2"/>
          <c:tx>
            <c:strRef>
              <c:f>Sheet_KHTieuThu!$O$21</c:f>
              <c:strCache>
                <c:ptCount val="1"/>
                <c:pt idx="0">
                  <c:v>Hiệu quả </c:v>
                </c:pt>
              </c:strCache>
            </c:strRef>
          </c:tx>
          <c:spPr>
            <a:ln w="0"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Sheet_KHTieuThu!$L$22:$L$25</c:f>
              <c:strCache>
                <c:ptCount val="3"/>
                <c:pt idx="0">
                  <c:v>1-3-2025</c:v>
                </c:pt>
                <c:pt idx="1">
                  <c:v>1-4-2025</c:v>
                </c:pt>
                <c:pt idx="2">
                  <c:v>1-5-2025</c:v>
                </c:pt>
              </c:strCache>
            </c:strRef>
          </c:cat>
          <c:val>
            <c:numRef>
              <c:f>Sheet_KHTieuThu!$O$22:$O$25</c:f>
              <c:numCache>
                <c:formatCode>0%</c:formatCode>
                <c:ptCount val="3"/>
                <c:pt idx="0">
                  <c:v>-8.8000000000000078E-2</c:v>
                </c:pt>
                <c:pt idx="1">
                  <c:v>6.3478121470282978E-2</c:v>
                </c:pt>
                <c:pt idx="2">
                  <c:v>0.15115296143387702</c:v>
                </c:pt>
              </c:numCache>
            </c:numRef>
          </c:val>
          <c:smooth val="0"/>
          <c:extLst>
            <c:ext xmlns:c16="http://schemas.microsoft.com/office/drawing/2014/chart" uri="{C3380CC4-5D6E-409C-BE32-E72D297353CC}">
              <c16:uniqueId val="{00000003-3714-4763-94AE-6616A8CE7808}"/>
            </c:ext>
          </c:extLst>
        </c:ser>
        <c:dLbls>
          <c:showLegendKey val="0"/>
          <c:showVal val="0"/>
          <c:showCatName val="0"/>
          <c:showSerName val="0"/>
          <c:showPercent val="0"/>
          <c:showBubbleSize val="0"/>
        </c:dLbls>
        <c:marker val="1"/>
        <c:smooth val="0"/>
        <c:axId val="273473599"/>
        <c:axId val="273472159"/>
      </c:lineChart>
      <c:catAx>
        <c:axId val="2734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73119"/>
        <c:crosses val="autoZero"/>
        <c:auto val="1"/>
        <c:lblAlgn val="ctr"/>
        <c:lblOffset val="100"/>
        <c:noMultiLvlLbl val="0"/>
      </c:catAx>
      <c:valAx>
        <c:axId val="273473119"/>
        <c:scaling>
          <c:orientation val="minMax"/>
        </c:scaling>
        <c:delete val="1"/>
        <c:axPos val="l"/>
        <c:numFmt formatCode="#,##0_);\(#,##0\)" sourceLinked="1"/>
        <c:majorTickMark val="none"/>
        <c:minorTickMark val="none"/>
        <c:tickLblPos val="nextTo"/>
        <c:crossAx val="273472639"/>
        <c:crosses val="autoZero"/>
        <c:crossBetween val="between"/>
      </c:valAx>
      <c:valAx>
        <c:axId val="273472159"/>
        <c:scaling>
          <c:orientation val="minMax"/>
        </c:scaling>
        <c:delete val="1"/>
        <c:axPos val="r"/>
        <c:numFmt formatCode="0%" sourceLinked="1"/>
        <c:majorTickMark val="out"/>
        <c:minorTickMark val="none"/>
        <c:tickLblPos val="nextTo"/>
        <c:crossAx val="273473599"/>
        <c:crosses val="max"/>
        <c:crossBetween val="between"/>
      </c:valAx>
      <c:catAx>
        <c:axId val="273473599"/>
        <c:scaling>
          <c:orientation val="minMax"/>
        </c:scaling>
        <c:delete val="1"/>
        <c:axPos val="b"/>
        <c:numFmt formatCode="General" sourceLinked="1"/>
        <c:majorTickMark val="out"/>
        <c:minorTickMark val="none"/>
        <c:tickLblPos val="nextTo"/>
        <c:crossAx val="27347215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[EASY.xlsm]Sheet_NguonHang!PivotTable2</c:name>
    <c:fmtId val="6"/>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pieChart>
        <c:varyColors val="1"/>
        <c:ser>
          <c:idx val="0"/>
          <c:order val="0"/>
          <c:tx>
            <c:strRef>
              <c:f>Sheet_NguonHang!$F$6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5C5-4EDF-BE2D-04B6306F4D35}"/>
              </c:ext>
            </c:extLst>
          </c:dPt>
          <c:dPt>
            <c:idx val="1"/>
            <c:bubble3D val="0"/>
            <c:spPr>
              <a:solidFill>
                <a:schemeClr val="accent2"/>
              </a:solidFill>
              <a:ln>
                <a:noFill/>
              </a:ln>
              <a:effectLst/>
            </c:spPr>
            <c:extLst>
              <c:ext xmlns:c16="http://schemas.microsoft.com/office/drawing/2014/chart" uri="{C3380CC4-5D6E-409C-BE32-E72D297353CC}">
                <c16:uniqueId val="{00000003-75C5-4EDF-BE2D-04B6306F4D35}"/>
              </c:ext>
            </c:extLst>
          </c:dPt>
          <c:dPt>
            <c:idx val="2"/>
            <c:bubble3D val="0"/>
            <c:spPr>
              <a:solidFill>
                <a:schemeClr val="accent3"/>
              </a:solidFill>
              <a:ln>
                <a:noFill/>
              </a:ln>
              <a:effectLst/>
            </c:spPr>
            <c:extLst>
              <c:ext xmlns:c16="http://schemas.microsoft.com/office/drawing/2014/chart" uri="{C3380CC4-5D6E-409C-BE32-E72D297353CC}">
                <c16:uniqueId val="{00000005-75C5-4EDF-BE2D-04B6306F4D3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Sheet_NguonHang!$E$7:$E$10</c:f>
              <c:strCache>
                <c:ptCount val="3"/>
                <c:pt idx="0">
                  <c:v>HH1</c:v>
                </c:pt>
                <c:pt idx="1">
                  <c:v>NL1</c:v>
                </c:pt>
                <c:pt idx="2">
                  <c:v>NL2</c:v>
                </c:pt>
              </c:strCache>
            </c:strRef>
          </c:cat>
          <c:val>
            <c:numRef>
              <c:f>Sheet_NguonHang!$F$7:$F$10</c:f>
              <c:numCache>
                <c:formatCode>_(* #,##0_);_(* \(#,##0\);_(* "-"??_);_(@_)</c:formatCode>
                <c:ptCount val="3"/>
                <c:pt idx="0">
                  <c:v>23096559</c:v>
                </c:pt>
                <c:pt idx="1">
                  <c:v>39699855</c:v>
                </c:pt>
                <c:pt idx="2">
                  <c:v>44003929</c:v>
                </c:pt>
              </c:numCache>
            </c:numRef>
          </c:val>
          <c:extLst>
            <c:ext xmlns:c16="http://schemas.microsoft.com/office/drawing/2014/chart" uri="{C3380CC4-5D6E-409C-BE32-E72D297353CC}">
              <c16:uniqueId val="{00000006-75C5-4EDF-BE2D-04B6306F4D3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Sheet_NguonHang!$C$6</c:f>
              <c:strCache>
                <c:ptCount val="1"/>
                <c:pt idx="0">
                  <c:v>Total</c:v>
                </c:pt>
              </c:strCache>
            </c:strRef>
          </c:tx>
          <c:spPr>
            <a:solidFill>
              <a:schemeClr val="accent1"/>
            </a:solidFill>
            <a:ln>
              <a:noFill/>
            </a:ln>
            <a:effectLst/>
          </c:spPr>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Sheet_NguonHang!$B$7:$B$10</c:f>
              <c:strCache>
                <c:ptCount val="3"/>
                <c:pt idx="0">
                  <c:v>Mar</c:v>
                </c:pt>
                <c:pt idx="1">
                  <c:v>Apr</c:v>
                </c:pt>
                <c:pt idx="2">
                  <c:v>May</c:v>
                </c:pt>
              </c:strCache>
            </c:strRef>
          </c:cat>
          <c:val>
            <c:numRef>
              <c:f>Sheet_NguonHang!$C$7:$C$10</c:f>
              <c:numCache>
                <c:formatCode>_(* #,##0_);_(* \(#,##0\);_(* "-"??_);_(@_)</c:formatCode>
                <c:ptCount val="3"/>
                <c:pt idx="0">
                  <c:v>79228308</c:v>
                </c:pt>
                <c:pt idx="1">
                  <c:v>6935065</c:v>
                </c:pt>
                <c:pt idx="2">
                  <c:v>20636970</c:v>
                </c:pt>
              </c:numCache>
            </c:numRef>
          </c:val>
          <c:extLst>
            <c:ext xmlns:c16="http://schemas.microsoft.com/office/drawing/2014/chart" uri="{C3380CC4-5D6E-409C-BE32-E72D297353CC}">
              <c16:uniqueId val="{00000000-A12F-4C08-B5BD-90870B907941}"/>
            </c:ext>
          </c:extLst>
        </c:ser>
        <c:dLbls>
          <c:showLegendKey val="0"/>
          <c:showVal val="1"/>
          <c:showCatName val="0"/>
          <c:showSerName val="0"/>
          <c:showPercent val="0"/>
          <c:showBubbleSize val="0"/>
        </c:dLbls>
        <c:axId val="1101287023"/>
        <c:axId val="1101279343"/>
      </c:areaChart>
      <c:catAx>
        <c:axId val="11012870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279343"/>
        <c:crosses val="autoZero"/>
        <c:auto val="1"/>
        <c:lblAlgn val="ctr"/>
        <c:lblOffset val="100"/>
        <c:noMultiLvlLbl val="0"/>
      </c:catAx>
      <c:valAx>
        <c:axId val="1101279343"/>
        <c:scaling>
          <c:orientation val="minMax"/>
        </c:scaling>
        <c:delete val="1"/>
        <c:axPos val="l"/>
        <c:numFmt formatCode="_(* #,##0_);_(* \(#,##0\);_(* &quot;-&quot;??_);_(@_)" sourceLinked="1"/>
        <c:majorTickMark val="none"/>
        <c:minorTickMark val="none"/>
        <c:tickLblPos val="nextTo"/>
        <c:crossAx val="110128702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[EASY.xlsm]Sheet_NguonHang!PivotTable8</c:name>
    <c:fmtId val="0"/>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Sheet_NguonHang!$M$6</c:f>
              <c:strCache>
                <c:ptCount val="1"/>
                <c:pt idx="0">
                  <c:v>Đơn giá</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Sheet_NguonHang!$M$7:$M$10</c:f>
              <c:numCache>
                <c:formatCode>General</c:formatCode>
                <c:ptCount val="3"/>
                <c:pt idx="0">
                  <c:v>84882.25</c:v>
                </c:pt>
                <c:pt idx="1">
                  <c:v>102040</c:v>
                </c:pt>
                <c:pt idx="2">
                  <c:v>102194</c:v>
                </c:pt>
              </c:numCache>
            </c:numRef>
          </c:val>
          <c:extLst>
            <c:ext xmlns:c16="http://schemas.microsoft.com/office/drawing/2014/chart" uri="{C3380CC4-5D6E-409C-BE32-E72D297353CC}">
              <c16:uniqueId val="{00000000-FA8E-49B8-B374-26C348B2A5DC}"/>
            </c:ext>
          </c:extLst>
        </c:ser>
        <c:dLbls>
          <c:showLegendKey val="0"/>
          <c:showVal val="0"/>
          <c:showCatName val="0"/>
          <c:showSerName val="0"/>
          <c:showPercent val="0"/>
          <c:showBubbleSize val="0"/>
        </c:dLbls>
        <c:gapWidth val="219"/>
        <c:axId val="1062937135"/>
        <c:axId val="1062940495"/>
      </c:barChart>
      <c:lineChart>
        <c:grouping val="standard"/>
        <c:varyColors val="0"/>
        <c:ser>
          <c:idx val="1"/>
          <c:order val="1"/>
          <c:tx>
            <c:strRef>
              <c:f>Sheet_NguonHang!$N$6</c:f>
              <c:strCache>
                <c:ptCount val="1"/>
                <c:pt idx="0">
                  <c:v>Ngày ship</c:v>
                </c:pt>
              </c:strCache>
            </c:strRef>
          </c:tx>
          <c:spPr>
            <a:ln w="28575" cap="rnd">
              <a:solidFill>
                <a:schemeClr val="accent2"/>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Sheet_NguonHang!$N$7:$N$10</c:f>
              <c:numCache>
                <c:formatCode>General</c:formatCode>
                <c:ptCount val="3"/>
                <c:pt idx="0">
                  <c:v>0.75</c:v>
                </c:pt>
                <c:pt idx="1">
                  <c:v>0</c:v>
                </c:pt>
                <c:pt idx="2">
                  <c:v>1</c:v>
                </c:pt>
              </c:numCache>
            </c:numRef>
          </c:val>
          <c:smooth val="0"/>
          <c:extLst>
            <c:ext xmlns:c16="http://schemas.microsoft.com/office/drawing/2014/chart" uri="{C3380CC4-5D6E-409C-BE32-E72D297353CC}">
              <c16:uniqueId val="{00000002-FA8E-49B8-B374-26C348B2A5DC}"/>
            </c:ext>
          </c:extLst>
        </c:ser>
        <c:dLbls>
          <c:showLegendKey val="0"/>
          <c:showVal val="0"/>
          <c:showCatName val="0"/>
          <c:showSerName val="0"/>
          <c:showPercent val="0"/>
          <c:showBubbleSize val="0"/>
        </c:dLbls>
        <c:marker val="1"/>
        <c:smooth val="0"/>
        <c:axId val="1063151695"/>
        <c:axId val="1063154575"/>
      </c:lineChart>
      <c:catAx>
        <c:axId val="106293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940495"/>
        <c:crosses val="autoZero"/>
        <c:auto val="1"/>
        <c:lblAlgn val="ctr"/>
        <c:lblOffset val="100"/>
        <c:noMultiLvlLbl val="0"/>
      </c:catAx>
      <c:valAx>
        <c:axId val="1062940495"/>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2937135"/>
        <c:crosses val="autoZero"/>
        <c:crossBetween val="between"/>
      </c:valAx>
      <c:valAx>
        <c:axId val="10631545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3151695"/>
        <c:crosses val="max"/>
        <c:crossBetween val="between"/>
      </c:valAx>
      <c:catAx>
        <c:axId val="1063151695"/>
        <c:scaling>
          <c:orientation val="minMax"/>
        </c:scaling>
        <c:delete val="1"/>
        <c:axPos val="b"/>
        <c:numFmt formatCode="General" sourceLinked="1"/>
        <c:majorTickMark val="out"/>
        <c:minorTickMark val="none"/>
        <c:tickLblPos val="nextTo"/>
        <c:crossAx val="10631545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[EASY.xlsm]Sheet_NguonHang!PivotTable9</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Sheet_NguonHang!$I$6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408-43B5-BFA1-1312250F683D}"/>
              </c:ext>
            </c:extLst>
          </c:dPt>
          <c:dPt>
            <c:idx val="1"/>
            <c:bubble3D val="0"/>
            <c:spPr>
              <a:solidFill>
                <a:schemeClr val="accent2"/>
              </a:solidFill>
              <a:ln>
                <a:noFill/>
              </a:ln>
              <a:effectLst/>
            </c:spPr>
            <c:extLst>
              <c:ext xmlns:c16="http://schemas.microsoft.com/office/drawing/2014/chart" uri="{C3380CC4-5D6E-409C-BE32-E72D297353CC}">
                <c16:uniqueId val="{00000003-5408-43B5-BFA1-1312250F683D}"/>
              </c:ext>
            </c:extLst>
          </c:dPt>
          <c:dPt>
            <c:idx val="2"/>
            <c:bubble3D val="0"/>
            <c:spPr>
              <a:solidFill>
                <a:schemeClr val="accent3"/>
              </a:solidFill>
              <a:ln>
                <a:noFill/>
              </a:ln>
              <a:effectLst/>
            </c:spPr>
            <c:extLst>
              <c:ext xmlns:c16="http://schemas.microsoft.com/office/drawing/2014/chart" uri="{C3380CC4-5D6E-409C-BE32-E72D297353CC}">
                <c16:uniqueId val="{00000005-5408-43B5-BFA1-1312250F683D}"/>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Sheet_NguonHang!$H$7:$H$10</c:f>
              <c:strCache>
                <c:ptCount val="3"/>
                <c:pt idx="0">
                  <c:v>NCC1</c:v>
                </c:pt>
                <c:pt idx="1">
                  <c:v>NCC2</c:v>
                </c:pt>
                <c:pt idx="2">
                  <c:v>NCC3</c:v>
                </c:pt>
              </c:strCache>
            </c:strRef>
          </c:cat>
          <c:val>
            <c:numRef>
              <c:f>Sheet_NguonHang!$I$7:$I$10</c:f>
              <c:numCache>
                <c:formatCode>_(* #,##0_);_(* \(#,##0\);_(* "-"??_);_(@_)</c:formatCode>
                <c:ptCount val="3"/>
                <c:pt idx="0">
                  <c:v>54430146</c:v>
                </c:pt>
                <c:pt idx="1">
                  <c:v>48623099</c:v>
                </c:pt>
                <c:pt idx="2">
                  <c:v>3747098</c:v>
                </c:pt>
              </c:numCache>
            </c:numRef>
          </c:val>
          <c:extLst>
            <c:ext xmlns:c16="http://schemas.microsoft.com/office/drawing/2014/chart" uri="{C3380CC4-5D6E-409C-BE32-E72D297353CC}">
              <c16:uniqueId val="{00000000-ED41-42D1-9AEB-23F7F52408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[EASY.xlsm]Sheet_DuPhongTonKho!PivotTable11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Sheet_DuPhongTonKho!$C$21:$C$22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Sheet_DuPhongTonKho!$C$23:$C$26</c:f>
              <c:numCache>
                <c:formatCode>_(* #,##0_);_(* \(#,##0\);_(* "-"??_);_(@_)</c:formatCode>
                <c:ptCount val="3"/>
                <c:pt idx="0">
                  <c:v>71284.637313432802</c:v>
                </c:pt>
                <c:pt idx="2">
                  <c:v>304294.31268656714</c:v>
                </c:pt>
              </c:numCache>
            </c:numRef>
          </c:val>
          <c:extLst>
            <c:ext xmlns:c16="http://schemas.microsoft.com/office/drawing/2014/chart" uri="{C3380CC4-5D6E-409C-BE32-E72D297353CC}">
              <c16:uniqueId val="{00000000-00BA-4288-991C-50EF8E9DA1DC}"/>
            </c:ext>
          </c:extLst>
        </c:ser>
        <c:ser>
          <c:idx val="1"/>
          <c:order val="1"/>
          <c:tx>
            <c:strRef>
              <c:f>Sheet_DuPhongTonKho!$D$21:$D$22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Sheet_DuPhongTonKho!$D$23:$D$26</c:f>
              <c:numCache>
                <c:formatCode>_(* #,##0_);_(* \(#,##0\);_(* "-"??_);_(@_)</c:formatCode>
                <c:ptCount val="3"/>
                <c:pt idx="0">
                  <c:v>5461230.0948885884</c:v>
                </c:pt>
                <c:pt idx="1">
                  <c:v>3878156.8210526318</c:v>
                </c:pt>
                <c:pt idx="2">
                  <c:v>1585928.3</c:v>
                </c:pt>
              </c:numCache>
            </c:numRef>
          </c:val>
          <c:extLst>
            <c:ext xmlns:c16="http://schemas.microsoft.com/office/drawing/2014/chart" uri="{C3380CC4-5D6E-409C-BE32-E72D297353CC}">
              <c16:uniqueId val="{00000002-00BA-4288-991C-50EF8E9DA1DC}"/>
            </c:ext>
          </c:extLst>
        </c:ser>
        <c:ser>
          <c:idx val="2"/>
          <c:order val="2"/>
          <c:tx>
            <c:strRef>
              <c:f>Sheet_DuPhongTonKho!$E$21:$E$22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Sheet_DuPhongTonKho!$E$23:$E$26</c:f>
              <c:numCache>
                <c:formatCode>_(* #,##0_);_(* \(#,##0\);_(* "-"??_);_(@_)</c:formatCode>
                <c:ptCount val="3"/>
                <c:pt idx="0">
                  <c:v>719490.96854972269</c:v>
                </c:pt>
                <c:pt idx="1">
                  <c:v>994140.11321242829</c:v>
                </c:pt>
                <c:pt idx="2">
                  <c:v>1830850.8074074076</c:v>
                </c:pt>
              </c:numCache>
            </c:numRef>
          </c:val>
          <c:extLst>
            <c:ext xmlns:c16="http://schemas.microsoft.com/office/drawing/2014/chart" uri="{C3380CC4-5D6E-409C-BE32-E72D297353CC}">
              <c16:uniqueId val="{00000003-00BA-4288-991C-50EF8E9DA1DC}"/>
            </c:ext>
          </c:extLst>
        </c:ser>
        <c:dLbls>
          <c:dLblPos val="ctr"/>
          <c:showLegendKey val="0"/>
          <c:showVal val="1"/>
          <c:showCatName val="0"/>
          <c:showSerName val="0"/>
          <c:showPercent val="0"/>
          <c:showBubbleSize val="0"/>
        </c:dLbls>
        <c:gapWidth val="150"/>
        <c:overlap val="100"/>
        <c:axId val="1231855887"/>
        <c:axId val="1231912527"/>
      </c:barChart>
      <c:catAx>
        <c:axId val="1231855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12527"/>
        <c:crosses val="autoZero"/>
        <c:auto val="1"/>
        <c:lblAlgn val="ctr"/>
        <c:lblOffset val="100"/>
        <c:noMultiLvlLbl val="0"/>
      </c:catAx>
      <c:valAx>
        <c:axId val="1231912527"/>
        <c:scaling>
          <c:orientation val="minMax"/>
        </c:scaling>
        <c:delete val="1"/>
        <c:axPos val="l"/>
        <c:numFmt formatCode="_(* #,##0_);_(* \(#,##0\);_(* &quot;-&quot;??_);_(@_)" sourceLinked="1"/>
        <c:majorTickMark val="none"/>
        <c:minorTickMark val="none"/>
        <c:tickLblPos val="nextTo"/>
        <c:crossAx val="1231855887"/>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1"/>
          <c:showPercent val="0"/>
          <c:showBubbleSize val="0"/>
          <c:extLst>
            <c:ext xmlns:c15="http://schemas.microsoft.com/office/drawing/2012/chart" uri="{CE6537A1-D6FC-4f65-9D91-7224C49458BB}"/>
          </c:extLst>
        </c:dLbl>
      </c:pivotFmt>
      <c:pivotFmt>
        <c:idx val="6"/>
        <c:dLbl>
          <c:idx val="0"/>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Sheet_TonKho!$Q$21:$Q$23</c:f>
              <c:strCache>
                <c:ptCount val="1"/>
                <c:pt idx="0">
                  <c:v>Nguyên liệu - NL1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Sheet_TonKho!$Q$24:$Q$27</c:f>
              <c:numCache>
                <c:formatCode>_(* #,##0_);_(* \(#,##0\);_(* "-"??_);_(@_)</c:formatCode>
                <c:ptCount val="3"/>
                <c:pt idx="0">
                  <c:v>171</c:v>
                </c:pt>
                <c:pt idx="1">
                  <c:v>152</c:v>
                </c:pt>
                <c:pt idx="2">
                  <c:v>169</c:v>
                </c:pt>
              </c:numCache>
            </c:numRef>
          </c:val>
          <c:extLst>
            <c:ext xmlns:c16="http://schemas.microsoft.com/office/drawing/2014/chart" uri="{C3380CC4-5D6E-409C-BE32-E72D297353CC}">
              <c16:uniqueId val="{00000000-9115-4F87-9914-3B117A9F7151}"/>
            </c:ext>
          </c:extLst>
        </c:ser>
        <c:ser>
          <c:idx val="1"/>
          <c:order val="1"/>
          <c:tx>
            <c:strRef>
              <c:f>Sheet_TonKho!$R$21:$R$23</c:f>
              <c:strCache>
                <c:ptCount val="1"/>
                <c:pt idx="0">
                  <c:v>Nguyên liệu - NL2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Sheet_TonKho!$R$24:$R$27</c:f>
              <c:numCache>
                <c:formatCode>_(* #,##0_);_(* \(#,##0\);_(* "-"??_);_(@_)</c:formatCode>
                <c:ptCount val="3"/>
                <c:pt idx="0">
                  <c:v>138</c:v>
                </c:pt>
                <c:pt idx="1">
                  <c:v>75</c:v>
                </c:pt>
                <c:pt idx="2">
                  <c:v>88</c:v>
                </c:pt>
              </c:numCache>
            </c:numRef>
          </c:val>
          <c:extLst>
            <c:ext xmlns:c16="http://schemas.microsoft.com/office/drawing/2014/chart" uri="{C3380CC4-5D6E-409C-BE32-E72D297353CC}">
              <c16:uniqueId val="{00000001-9115-4F87-9914-3B117A9F7151}"/>
            </c:ext>
          </c:extLst>
        </c:ser>
        <c:ser>
          <c:idx val="2"/>
          <c:order val="2"/>
          <c:tx>
            <c:strRef>
              <c:f>Sheet_TonKho!$S$21:$S$23</c:f>
              <c:strCache>
                <c:ptCount val="1"/>
                <c:pt idx="0">
                  <c:v>Thành phẩm - TP1</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Sheet_TonKho!$S$24:$S$27</c:f>
              <c:numCache>
                <c:formatCode>_(* #,##0_);_(* \(#,##0\);_(* "-"??_);_(@_)</c:formatCode>
                <c:ptCount val="3"/>
                <c:pt idx="0">
                  <c:v>106</c:v>
                </c:pt>
                <c:pt idx="1">
                  <c:v>146</c:v>
                </c:pt>
                <c:pt idx="2">
                  <c:v>66</c:v>
                </c:pt>
              </c:numCache>
            </c:numRef>
          </c:val>
          <c:extLst>
            <c:ext xmlns:c16="http://schemas.microsoft.com/office/drawing/2014/chart" uri="{C3380CC4-5D6E-409C-BE32-E72D297353CC}">
              <c16:uniqueId val="{00000002-9115-4F87-9914-3B117A9F7151}"/>
            </c:ext>
          </c:extLst>
        </c:ser>
        <c:ser>
          <c:idx val="3"/>
          <c:order val="3"/>
          <c:tx>
            <c:strRef>
              <c:f>Sheet_TonKho!$T$21:$T$23</c:f>
              <c:strCache>
                <c:ptCount val="1"/>
                <c:pt idx="0">
                  <c:v>Thành phẩm - TP2</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Sheet_TonKho!$T$24:$T$27</c:f>
              <c:numCache>
                <c:formatCode>_(* #,##0_);_(* \(#,##0\);_(* "-"??_);_(@_)</c:formatCode>
                <c:ptCount val="3"/>
                <c:pt idx="0">
                  <c:v>35</c:v>
                </c:pt>
                <c:pt idx="1">
                  <c:v>20</c:v>
                </c:pt>
                <c:pt idx="2">
                  <c:v>45</c:v>
                </c:pt>
              </c:numCache>
            </c:numRef>
          </c:val>
          <c:extLst>
            <c:ext xmlns:c16="http://schemas.microsoft.com/office/drawing/2014/chart" uri="{C3380CC4-5D6E-409C-BE32-E72D297353CC}">
              <c16:uniqueId val="{0000000C-2F3E-4CF1-9E22-659D917747A1}"/>
            </c:ext>
          </c:extLst>
        </c:ser>
        <c:ser>
          <c:idx val="4"/>
          <c:order val="4"/>
          <c:tx>
            <c:strRef>
              <c:f>Sheet_TonKho!$U$21:$U$23</c:f>
              <c:strCache>
                <c:ptCount val="1"/>
                <c:pt idx="0">
                  <c:v>Hàng hóa - HH1</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Sheet_TonKho!$U$24:$U$27</c:f>
              <c:numCache>
                <c:formatCode>_(* #,##0_);_(* \(#,##0\);_(* "-"??_);_(@_)</c:formatCode>
                <c:ptCount val="3"/>
                <c:pt idx="0">
                  <c:v>103</c:v>
                </c:pt>
                <c:pt idx="1">
                  <c:v>8</c:v>
                </c:pt>
                <c:pt idx="2">
                  <c:v>69</c:v>
                </c:pt>
              </c:numCache>
            </c:numRef>
          </c:val>
          <c:extLst>
            <c:ext xmlns:c16="http://schemas.microsoft.com/office/drawing/2014/chart" uri="{C3380CC4-5D6E-409C-BE32-E72D297353CC}">
              <c16:uniqueId val="{0000000D-2F3E-4CF1-9E22-659D917747A1}"/>
            </c:ext>
          </c:extLst>
        </c:ser>
        <c:dLbls>
          <c:dLblPos val="ctr"/>
          <c:showLegendKey val="0"/>
          <c:showVal val="1"/>
          <c:showCatName val="0"/>
          <c:showSerName val="0"/>
          <c:showPercent val="0"/>
          <c:showBubbleSize val="0"/>
        </c:dLbls>
        <c:gapWidth val="150"/>
        <c:overlap val="100"/>
        <c:axId val="633090447"/>
        <c:axId val="633063087"/>
      </c:barChart>
      <c:catAx>
        <c:axId val="6330904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3063087"/>
        <c:crosses val="autoZero"/>
        <c:auto val="1"/>
        <c:lblAlgn val="ctr"/>
        <c:lblOffset val="100"/>
        <c:noMultiLvlLbl val="0"/>
      </c:catAx>
      <c:valAx>
        <c:axId val="633063087"/>
        <c:scaling>
          <c:orientation val="minMax"/>
        </c:scaling>
        <c:delete val="1"/>
        <c:axPos val="l"/>
        <c:numFmt formatCode="_(* #,##0_);_(* \(#,##0\);_(* &quot;-&quot;??_);_(@_)" sourceLinked="1"/>
        <c:majorTickMark val="none"/>
        <c:minorTickMark val="none"/>
        <c:tickLblPos val="nextTo"/>
        <c:crossAx val="6330904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Sheet_TonKho!$F$21:$F$22</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Sheet_TonKho!$E$23:$E$26</c:f>
              <c:strCache>
                <c:ptCount val="3"/>
                <c:pt idx="0">
                  <c:v>03-2025</c:v>
                </c:pt>
                <c:pt idx="1">
                  <c:v>04-2025</c:v>
                </c:pt>
                <c:pt idx="2">
                  <c:v>05-2025</c:v>
                </c:pt>
              </c:strCache>
            </c:strRef>
          </c:cat>
          <c:val>
            <c:numRef>
              <c:f>Sheet_TonKho!$F$23:$F$26</c:f>
              <c:numCache>
                <c:formatCode>_(* #,##0_);_(* \(#,##0\);_(* "-"??_);_(@_)</c:formatCode>
                <c:ptCount val="3"/>
                <c:pt idx="0">
                  <c:v>553</c:v>
                </c:pt>
                <c:pt idx="1">
                  <c:v>401</c:v>
                </c:pt>
                <c:pt idx="2">
                  <c:v>437</c:v>
                </c:pt>
              </c:numCache>
            </c:numRef>
          </c:val>
          <c:extLst>
            <c:ext xmlns:c16="http://schemas.microsoft.com/office/drawing/2014/chart" uri="{C3380CC4-5D6E-409C-BE32-E72D297353CC}">
              <c16:uniqueId val="{00000000-5EAE-4342-BB2B-F516D96A7A6D}"/>
            </c:ext>
          </c:extLst>
        </c:ser>
        <c:dLbls>
          <c:dLblPos val="inEnd"/>
          <c:showLegendKey val="0"/>
          <c:showVal val="1"/>
          <c:showCatName val="0"/>
          <c:showSerName val="0"/>
          <c:showPercent val="0"/>
          <c:showBubbleSize val="0"/>
        </c:dLbls>
        <c:gapWidth val="65"/>
        <c:axId val="1231962927"/>
        <c:axId val="1231936527"/>
      </c:barChart>
      <c:catAx>
        <c:axId val="1231962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36527"/>
        <c:crosses val="autoZero"/>
        <c:auto val="1"/>
        <c:lblAlgn val="ctr"/>
        <c:lblOffset val="100"/>
        <c:noMultiLvlLbl val="0"/>
      </c:catAx>
      <c:valAx>
        <c:axId val="1231936527"/>
        <c:scaling>
          <c:orientation val="minMax"/>
        </c:scaling>
        <c:delete val="1"/>
        <c:axPos val="l"/>
        <c:numFmt formatCode="_(* #,##0_);_(* \(#,##0\);_(* &quot;-&quot;??_);_(@_)" sourceLinked="1"/>
        <c:majorTickMark val="none"/>
        <c:minorTickMark val="none"/>
        <c:tickLblPos val="nextTo"/>
        <c:crossAx val="12319629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[EASY.xlsm]Sheet_TonKho!PivotTable4</c:name>
    <c:fmtId val="0"/>
  </c:pivotSource>
  <c:chart>
    <c:autoTitleDeleted val="0"/>
    <c:pivotFmts>
      <c:pivotFmt>
        <c:idx val="0"/>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Sheet_TonKho!$AH$21:$AH$22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Sheet_TonKho!$AH$23:$AH$26</c:f>
              <c:numCache>
                <c:formatCode>_(* #,##0_);_(* \(#,##0\);_(* "-"??_);_(@_)</c:formatCode>
                <c:ptCount val="3"/>
                <c:pt idx="0">
                  <c:v>5914113.746268657</c:v>
                </c:pt>
                <c:pt idx="1">
                  <c:v>9734331.7611940298</c:v>
                </c:pt>
                <c:pt idx="2">
                  <c:v>1425692.7462686568</c:v>
                </c:pt>
              </c:numCache>
            </c:numRef>
          </c:val>
          <c:extLst>
            <c:ext xmlns:c16="http://schemas.microsoft.com/office/drawing/2014/chart" uri="{C3380CC4-5D6E-409C-BE32-E72D297353CC}">
              <c16:uniqueId val="{00000000-6416-40D8-9A7A-20D418017009}"/>
            </c:ext>
          </c:extLst>
        </c:ser>
        <c:ser>
          <c:idx val="1"/>
          <c:order val="1"/>
          <c:tx>
            <c:strRef>
              <c:f>Sheet_TonKho!$AI$21:$AI$22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Sheet_TonKho!$AI$23:$AI$26</c:f>
              <c:numCache>
                <c:formatCode>_(* #,##0_);_(* \(#,##0\);_(* "-"??_);_(@_)</c:formatCode>
                <c:ptCount val="3"/>
                <c:pt idx="0">
                  <c:v>5921794.871794872</c:v>
                </c:pt>
                <c:pt idx="1">
                  <c:v>3007450.3741418766</c:v>
                </c:pt>
                <c:pt idx="2">
                  <c:v>5745298.7928473447</c:v>
                </c:pt>
              </c:numCache>
            </c:numRef>
          </c:val>
          <c:extLst>
            <c:ext xmlns:c16="http://schemas.microsoft.com/office/drawing/2014/chart" uri="{C3380CC4-5D6E-409C-BE32-E72D297353CC}">
              <c16:uniqueId val="{00000006-6416-40D8-9A7A-20D418017009}"/>
            </c:ext>
          </c:extLst>
        </c:ser>
        <c:ser>
          <c:idx val="2"/>
          <c:order val="2"/>
          <c:tx>
            <c:strRef>
              <c:f>Sheet_TonKho!$AJ$21:$AJ$22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Sheet_TonKho!$AJ$23:$AJ$26</c:f>
              <c:numCache>
                <c:formatCode>_(* #,##0_);_(* \(#,##0\);_(* "-"??_);_(@_)</c:formatCode>
                <c:ptCount val="3"/>
                <c:pt idx="0">
                  <c:v>4812804.8167141499</c:v>
                </c:pt>
                <c:pt idx="1">
                  <c:v>13305460.205299949</c:v>
                </c:pt>
                <c:pt idx="2">
                  <c:v>8759216.8246460371</c:v>
                </c:pt>
              </c:numCache>
            </c:numRef>
          </c:val>
          <c:extLst>
            <c:ext xmlns:c16="http://schemas.microsoft.com/office/drawing/2014/chart" uri="{C3380CC4-5D6E-409C-BE32-E72D297353CC}">
              <c16:uniqueId val="{00000007-6416-40D8-9A7A-20D418017009}"/>
            </c:ext>
          </c:extLst>
        </c:ser>
        <c:dLbls>
          <c:dLblPos val="inEnd"/>
          <c:showLegendKey val="0"/>
          <c:showVal val="1"/>
          <c:showCatName val="0"/>
          <c:showSerName val="0"/>
          <c:showPercent val="0"/>
          <c:showBubbleSize val="0"/>
        </c:dLbls>
        <c:gapWidth val="65"/>
        <c:overlap val="100"/>
        <c:axId val="1231963887"/>
        <c:axId val="1231953807"/>
      </c:barChart>
      <c:catAx>
        <c:axId val="1231963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53807"/>
        <c:crosses val="autoZero"/>
        <c:auto val="1"/>
        <c:lblAlgn val="ctr"/>
        <c:lblOffset val="100"/>
        <c:noMultiLvlLbl val="0"/>
      </c:catAx>
      <c:valAx>
        <c:axId val="1231953807"/>
        <c:scaling>
          <c:orientation val="minMax"/>
        </c:scaling>
        <c:delete val="1"/>
        <c:axPos val="l"/>
        <c:numFmt formatCode="_(* #,##0_);_(* \(#,##0\);_(* &quot;-&quot;??_);_(@_)" sourceLinked="1"/>
        <c:majorTickMark val="none"/>
        <c:minorTickMark val="none"/>
        <c:tickLblPos val="nextTo"/>
        <c:crossAx val="1231963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Sheet_TonKho!$C$21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104-4C88-904A-F4F00ABA2D88}"/>
              </c:ext>
            </c:extLst>
          </c:dPt>
          <c:dPt>
            <c:idx val="1"/>
            <c:bubble3D val="0"/>
            <c:spPr>
              <a:solidFill>
                <a:schemeClr val="accent2"/>
              </a:solidFill>
              <a:ln>
                <a:noFill/>
              </a:ln>
              <a:effectLst/>
            </c:spPr>
            <c:extLst>
              <c:ext xmlns:c16="http://schemas.microsoft.com/office/drawing/2014/chart" uri="{C3380CC4-5D6E-409C-BE32-E72D297353CC}">
                <c16:uniqueId val="{00000003-D104-4C88-904A-F4F00ABA2D8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Sheet_TonKho!$B$22:$B$23</c:f>
              <c:strCache>
                <c:ptCount val="2"/>
                <c:pt idx="0">
                  <c:v>Tồn kho chưa tiêu thụ</c:v>
                </c:pt>
                <c:pt idx="1">
                  <c:v>Tồn kho giá vốn thành phẩm</c:v>
                </c:pt>
              </c:strCache>
            </c:strRef>
          </c:cat>
          <c:val>
            <c:numRef>
              <c:f>Sheet_TonKho!$C$22:$C$23</c:f>
              <c:numCache>
                <c:formatCode>_(* #,##0_);_(* \(#,##0\);_(* "-"??_);_(@_)</c:formatCode>
                <c:ptCount val="2"/>
                <c:pt idx="0">
                  <c:v>35332325.538446799</c:v>
                </c:pt>
                <c:pt idx="1">
                  <c:v>12841853.32237763</c:v>
                </c:pt>
              </c:numCache>
            </c:numRef>
          </c:val>
          <c:extLst>
            <c:ext xmlns:c16="http://schemas.microsoft.com/office/drawing/2014/chart" uri="{C3380CC4-5D6E-409C-BE32-E72D297353CC}">
              <c16:uniqueId val="{00000003-F877-4CAB-A66C-DFFC2F5E58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[EASY.xlsm]Sheet_KhauHao!PivotTable4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Sheet_KhauHao!$C$20</c:f>
              <c:strCache>
                <c:ptCount val="1"/>
                <c:pt idx="0">
                  <c:v>Khấu hao Sản xuất </c:v>
                </c:pt>
              </c:strCache>
            </c:strRef>
          </c:tx>
          <c:spPr>
            <a:solidFill>
              <a:schemeClr val="accent1"/>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Sheet_KhauHao!$C$21:$C$44</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0-9172-4BFB-8ECC-EAFA80BD8D16}"/>
            </c:ext>
          </c:extLst>
        </c:ser>
        <c:ser>
          <c:idx val="1"/>
          <c:order val="1"/>
          <c:tx>
            <c:strRef>
              <c:f>Sheet_KhauHao!$D$20</c:f>
              <c:strCache>
                <c:ptCount val="1"/>
                <c:pt idx="0">
                  <c:v>Khấu hao Bán hàng </c:v>
                </c:pt>
              </c:strCache>
            </c:strRef>
          </c:tx>
          <c:spPr>
            <a:solidFill>
              <a:schemeClr val="accent2"/>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Sheet_KhauHao!$D$21:$D$44</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2-9172-4BFB-8ECC-EAFA80BD8D16}"/>
            </c:ext>
          </c:extLst>
        </c:ser>
        <c:ser>
          <c:idx val="2"/>
          <c:order val="2"/>
          <c:tx>
            <c:strRef>
              <c:f>Sheet_KhauHao!$E$20</c:f>
              <c:strCache>
                <c:ptCount val="1"/>
                <c:pt idx="0">
                  <c:v>Khấu hao Quản lý </c:v>
                </c:pt>
              </c:strCache>
            </c:strRef>
          </c:tx>
          <c:spPr>
            <a:solidFill>
              <a:schemeClr val="accent3"/>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Sheet_KhauHao!$E$21:$E$44</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3-9172-4BFB-8ECC-EAFA80BD8D16}"/>
            </c:ext>
          </c:extLst>
        </c:ser>
        <c:dLbls>
          <c:showLegendKey val="0"/>
          <c:showVal val="0"/>
          <c:showCatName val="0"/>
          <c:showSerName val="0"/>
          <c:showPercent val="0"/>
          <c:showBubbleSize val="0"/>
        </c:dLbls>
        <c:gapWidth val="70"/>
        <c:overlap val="100"/>
        <c:axId val="728738143"/>
        <c:axId val="728738623"/>
      </c:barChart>
      <c:barChart>
        <c:barDir val="col"/>
        <c:grouping val="stacked"/>
        <c:varyColors val="0"/>
        <c:ser>
          <c:idx val="3"/>
          <c:order val="3"/>
          <c:tx>
            <c:strRef>
              <c:f>Sheet_KhauHao!$F$20</c:f>
              <c:strCache>
                <c:ptCount val="1"/>
                <c:pt idx="0">
                  <c:v>Tổng</c:v>
                </c:pt>
              </c:strCache>
            </c:strRef>
          </c:tx>
          <c:spPr>
            <a:solidFill>
              <a:schemeClr val="accent4"/>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Sheet_KhauHao!$F$21:$F$44</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4-9172-4BFB-8ECC-EAFA80BD8D16}"/>
            </c:ext>
          </c:extLst>
        </c:ser>
        <c:dLbls>
          <c:showLegendKey val="0"/>
          <c:showVal val="0"/>
          <c:showCatName val="0"/>
          <c:showSerName val="0"/>
          <c:showPercent val="0"/>
          <c:showBubbleSize val="0"/>
        </c:dLbls>
        <c:gapWidth val="500"/>
        <c:overlap val="-100"/>
        <c:axId val="726840463"/>
        <c:axId val="726846223"/>
      </c:barChart>
      <c:catAx>
        <c:axId val="72873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738623"/>
        <c:crosses val="autoZero"/>
        <c:auto val="1"/>
        <c:lblAlgn val="ctr"/>
        <c:lblOffset val="100"/>
        <c:noMultiLvlLbl val="0"/>
      </c:catAx>
      <c:valAx>
        <c:axId val="728738623"/>
        <c:scaling>
          <c:orientation val="minMax"/>
        </c:scaling>
        <c:delete val="1"/>
        <c:axPos val="l"/>
        <c:numFmt formatCode="_(#,##0_);_(\(#,##0\);_(\-_);_(@_)" sourceLinked="1"/>
        <c:majorTickMark val="none"/>
        <c:minorTickMark val="none"/>
        <c:tickLblPos val="nextTo"/>
        <c:crossAx val="728738143"/>
        <c:crosses val="autoZero"/>
        <c:crossBetween val="between"/>
      </c:valAx>
      <c:valAx>
        <c:axId val="726846223"/>
        <c:scaling>
          <c:orientation val="minMax"/>
        </c:scaling>
        <c:delete val="1"/>
        <c:axPos val="r"/>
        <c:numFmt formatCode="_(#,##0_);_(\(#,##0\);_(\-_);_(@_)" sourceLinked="1"/>
        <c:majorTickMark val="out"/>
        <c:minorTickMark val="none"/>
        <c:tickLblPos val="nextTo"/>
        <c:crossAx val="726840463"/>
        <c:crosses val="max"/>
        <c:crossBetween val="between"/>
      </c:valAx>
      <c:catAx>
        <c:axId val="726840463"/>
        <c:scaling>
          <c:orientation val="minMax"/>
        </c:scaling>
        <c:delete val="1"/>
        <c:axPos val="b"/>
        <c:numFmt formatCode="General" sourceLinked="1"/>
        <c:majorTickMark val="out"/>
        <c:minorTickMark val="none"/>
        <c:tickLblPos val="nextTo"/>
        <c:crossAx val="72684622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[EASY.xlsm]Sheet_LaiVay!PivotTable1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Sheet_LaiVay!$C$21</c:f>
              <c:strCache>
                <c:ptCount val="1"/>
                <c:pt idx="0">
                  <c:v>Gốc</c:v>
                </c:pt>
              </c:strCache>
            </c:strRef>
          </c:tx>
          <c:spPr>
            <a:solidFill>
              <a:schemeClr val="accent1"/>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Sheet_LaiVay!$C$22:$C$49</c:f>
              <c:numCache>
                <c:formatCode>_(* #,##0_);_(* \(#,##0\);_(* "-"??_);_(@_)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0-A930-4F29-A532-A1FD1533EBA4}"/>
            </c:ext>
          </c:extLst>
        </c:ser>
        <c:ser>
          <c:idx val="1"/>
          <c:order val="1"/>
          <c:tx>
            <c:strRef>
              <c:f>Sheet_LaiVay!$D$21</c:f>
              <c:strCache>
                <c:ptCount val="1"/>
                <c:pt idx="0">
                  <c:v>Lãi</c:v>
                </c:pt>
              </c:strCache>
            </c:strRef>
          </c:tx>
          <c:spPr>
            <a:solidFill>
              <a:schemeClr val="accent2"/>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Sheet_LaiVay!$D$22:$D$49</c:f>
              <c:numCache>
                <c:formatCode>_(* #,##0_);_(* \(#,##0\);_(* "-"??_);_(@_)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2-A930-4F29-A532-A1FD1533EBA4}"/>
            </c:ext>
          </c:extLst>
        </c:ser>
        <c:dLbls>
          <c:showLegendKey val="0"/>
          <c:showVal val="0"/>
          <c:showCatName val="0"/>
          <c:showSerName val="0"/>
          <c:showPercent val="0"/>
          <c:showBubbleSize val="0"/>
        </c:dLbls>
        <c:gapWidth val="0"/>
        <c:overlap val="-100"/>
        <c:axId val="366045599"/>
        <c:axId val="366038879"/>
      </c:barChart>
      <c:barChart>
        <c:barDir val="bar"/>
        <c:grouping val="stacked"/>
        <c:varyColors val="0"/>
        <c:ser>
          <c:idx val="2"/>
          <c:order val="2"/>
          <c:tx>
            <c:strRef>
              <c:f>Sheet_LaiVay!$E$21</c:f>
              <c:strCache>
                <c:ptCount val="1"/>
                <c:pt idx="0">
                  <c:v>Tổng</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Sheet_LaiVay!$E$22:$E$49</c:f>
              <c:numCache>
                <c:formatCode>_(* #,##0_);_(* \(#,##0\);_(* "-"??_);_(@_)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5-A930-4F29-A532-A1FD1533EBA4}"/>
            </c:ext>
          </c:extLst>
        </c:ser>
        <c:dLbls>
          <c:showLegendKey val="0"/>
          <c:showVal val="0"/>
          <c:showCatName val="0"/>
          <c:showSerName val="0"/>
          <c:showPercent val="0"/>
          <c:showBubbleSize val="0"/>
        </c:dLbls>
        <c:gapWidth val="129"/>
        <c:overlap val="-100"/>
        <c:axId val="1839948223"/>
        <c:axId val="8267855"/>
      </c:barChart>
      <c:catAx>
        <c:axId val="36604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38879"/>
        <c:crosses val="autoZero"/>
        <c:auto val="1"/>
        <c:lblAlgn val="ctr"/>
        <c:lblOffset val="100"/>
        <c:noMultiLvlLbl val="0"/>
      </c:catAx>
      <c:valAx>
        <c:axId val="366038879"/>
        <c:scaling>
          <c:orientation val="minMax"/>
        </c:scaling>
        <c:delete val="1"/>
        <c:axPos val="b"/>
        <c:numFmt formatCode="_(* #,##0_);_(* \(#,##0\);_(* &quot;-&quot;??_);_(@_)" sourceLinked="1"/>
        <c:majorTickMark val="none"/>
        <c:minorTickMark val="none"/>
        <c:tickLblPos val="nextTo"/>
        <c:crossAx val="366045599"/>
        <c:crosses val="autoZero"/>
        <c:crossBetween val="between"/>
      </c:valAx>
      <c:valAx>
        <c:axId val="8267855"/>
        <c:scaling>
          <c:orientation val="minMax"/>
        </c:scaling>
        <c:delete val="1"/>
        <c:axPos val="t"/>
        <c:numFmt formatCode="_(* #,##0_);_(* \(#,##0\);_(* &quot;-&quot;??_);_(@_)" sourceLinked="1"/>
        <c:majorTickMark val="out"/>
        <c:minorTickMark val="none"/>
        <c:tickLblPos val="nextTo"/>
        <c:crossAx val="1839948223"/>
        <c:crosses val="max"/>
        <c:crossBetween val="between"/>
      </c:valAx>
      <c:catAx>
        <c:axId val="1839948223"/>
        <c:scaling>
          <c:orientation val="minMax"/>
        </c:scaling>
        <c:delete val="1"/>
        <c:axPos val="l"/>
        <c:numFmt formatCode="General" sourceLinked="1"/>
        <c:majorTickMark val="out"/>
        <c:minorTickMark val="none"/>
        <c:tickLblPos val="nextTo"/>
        <c:crossAx val="826785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[EASY.xlsm]Sheet_LaiVay!PivotTable2</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Sheet_LaiVay!$H$21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C-432E-A050-83612708CBC2}"/>
              </c:ext>
            </c:extLst>
          </c:dPt>
          <c:dPt>
            <c:idx val="1"/>
            <c:bubble3D val="0"/>
            <c:spPr>
              <a:solidFill>
                <a:schemeClr val="accent2"/>
              </a:solidFill>
              <a:ln>
                <a:noFill/>
              </a:ln>
              <a:effectLst/>
            </c:spPr>
            <c:extLst>
              <c:ext xmlns:c16="http://schemas.microsoft.com/office/drawing/2014/chart" uri="{C3380CC4-5D6E-409C-BE32-E72D297353CC}">
                <c16:uniqueId val="{00000003-6E2C-432E-A050-83612708CBC2}"/>
              </c:ext>
            </c:extLst>
          </c:dPt>
          <c:dPt>
            <c:idx val="2"/>
            <c:bubble3D val="0"/>
            <c:spPr>
              <a:solidFill>
                <a:schemeClr val="accent3"/>
              </a:solidFill>
              <a:ln>
                <a:noFill/>
              </a:ln>
              <a:effectLst/>
            </c:spPr>
            <c:extLst>
              <c:ext xmlns:c16="http://schemas.microsoft.com/office/drawing/2014/chart" uri="{C3380CC4-5D6E-409C-BE32-E72D297353CC}">
                <c16:uniqueId val="{00000005-6E2C-432E-A050-83612708CBC2}"/>
              </c:ext>
            </c:extLst>
          </c:dPt>
          <c:dPt>
            <c:idx val="3"/>
            <c:bubble3D val="0"/>
            <c:spPr>
              <a:solidFill>
                <a:schemeClr val="accent4"/>
              </a:solidFill>
              <a:ln>
                <a:noFill/>
              </a:ln>
              <a:effectLst/>
            </c:spPr>
            <c:extLst>
              <c:ext xmlns:c16="http://schemas.microsoft.com/office/drawing/2014/chart" uri="{C3380CC4-5D6E-409C-BE32-E72D297353CC}">
                <c16:uniqueId val="{00000007-6E2C-432E-A050-83612708CBC2}"/>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Sheet_LaiVay!$G$22:$G$26</c:f>
              <c:strCache>
                <c:ptCount val="4"/>
                <c:pt idx="0">
                  <c:v>VAY1</c:v>
                </c:pt>
                <c:pt idx="1">
                  <c:v>VAY2</c:v>
                </c:pt>
                <c:pt idx="2">
                  <c:v>VAY3</c:v>
                </c:pt>
                <c:pt idx="3">
                  <c:v>VAY4</c:v>
                </c:pt>
              </c:strCache>
            </c:strRef>
          </c:cat>
          <c:val>
            <c:numRef>
              <c:f>Sheet_LaiVay!$H$22:$H$26</c:f>
              <c:numCache>
                <c:formatCode>_(* #,##0_);_(* \(#,##0\);_(* "-"??_);_(@_)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8109-4B6D-AE72-4C562B77A0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[EASY.xlsm]Sheet_TSCD!PivotTable3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Sheet_TSCD!$C$23</c:f>
              <c:strCache>
                <c:ptCount val="1"/>
                <c:pt idx="0">
                  <c:v>Giá trị đầu tư</c:v>
                </c:pt>
              </c:strCache>
            </c:strRef>
          </c:tx>
          <c:spPr>
            <a:solidFill>
              <a:schemeClr val="accent1"/>
            </a:solidFill>
            <a:ln>
              <a:noFill/>
            </a:ln>
            <a:effectLst/>
          </c:spPr>
          <c:invertIfNegative val="0"/>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Sheet_TSCD!$C$24:$C$36</c:f>
              <c:numCache>
                <c:formatCode>_(* #,##0_);_(* \(#,##0\);_(* "-"??_);_(@_)</c:formatCode>
                <c:ptCount val="6"/>
                <c:pt idx="0">
                  <c:v>5000000000</c:v>
                </c:pt>
                <c:pt idx="1">
                  <c:v>3000000000</c:v>
                </c:pt>
                <c:pt idx="2">
                  <c:v>1000000000</c:v>
                </c:pt>
                <c:pt idx="3">
                  <c:v>500000000</c:v>
                </c:pt>
                <c:pt idx="4">
                  <c:v>350000000</c:v>
                </c:pt>
                <c:pt idx="5">
                  <c:v>25000000</c:v>
                </c:pt>
              </c:numCache>
            </c:numRef>
          </c:val>
          <c:extLst>
            <c:ext xmlns:c16="http://schemas.microsoft.com/office/drawing/2014/chart" uri="{C3380CC4-5D6E-409C-BE32-E72D297353CC}">
              <c16:uniqueId val="{00000000-76B5-47D7-BF45-D05E3DD99281}"/>
            </c:ext>
          </c:extLst>
        </c:ser>
        <c:ser>
          <c:idx val="1"/>
          <c:order val="1"/>
          <c:tx>
            <c:strRef>
              <c:f>Sheet_TSCD!$D$23</c:f>
              <c:strCache>
                <c:ptCount val="1"/>
                <c:pt idx="0">
                  <c:v>Khấu hao lũy kế</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Sheet_TSCD!$D$24:$D$36</c:f>
              <c:numCache>
                <c:formatCode>_(* #,##0_);_(* \(#,##0\);_(* "-"??_);_(@_)</c:formatCode>
                <c:ptCount val="6"/>
                <c:pt idx="0">
                  <c:v>440109514.03148526</c:v>
                </c:pt>
                <c:pt idx="1">
                  <c:v>269733059.54825461</c:v>
                </c:pt>
                <c:pt idx="2">
                  <c:v>162902121.83436003</c:v>
                </c:pt>
                <c:pt idx="3">
                  <c:v>114442162.90212183</c:v>
                </c:pt>
                <c:pt idx="4">
                  <c:v>61615331.964407936</c:v>
                </c:pt>
                <c:pt idx="5">
                  <c:v>10997033.994980607</c:v>
                </c:pt>
              </c:numCache>
            </c:numRef>
          </c:val>
          <c:extLst>
            <c:ext xmlns:c16="http://schemas.microsoft.com/office/drawing/2014/chart" uri="{C3380CC4-5D6E-409C-BE32-E72D297353CC}">
              <c16:uniqueId val="{00000002-76B5-47D7-BF45-D05E3DD99281}"/>
            </c:ext>
          </c:extLst>
        </c:ser>
        <c:dLbls>
          <c:showLegendKey val="0"/>
          <c:showVal val="0"/>
          <c:showCatName val="0"/>
          <c:showSerName val="0"/>
          <c:showPercent val="0"/>
          <c:showBubbleSize val="0"/>
        </c:dLbls>
        <c:gapWidth val="80"/>
        <c:overlap val="100"/>
        <c:axId val="7895519"/>
        <c:axId val="7895999"/>
      </c:barChart>
      <c:lineChart>
        <c:grouping val="standard"/>
        <c:varyColors val="0"/>
        <c:ser>
          <c:idx val="2"/>
          <c:order val="2"/>
          <c:tx>
            <c:strRef>
              <c:f>Sheet_TSCD!$E$23</c:f>
              <c:strCache>
                <c:ptCount val="1"/>
                <c:pt idx="0">
                  <c:v>Tỷ lệ khấu hao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Sheet_TSCD!$E$24:$E$36</c:f>
              <c:numCache>
                <c:formatCode>0%</c:formatCode>
                <c:ptCount val="6"/>
                <c:pt idx="0">
                  <c:v>8.8021902806297056E-2</c:v>
                </c:pt>
                <c:pt idx="1">
                  <c:v>8.9911019849418197E-2</c:v>
                </c:pt>
                <c:pt idx="2">
                  <c:v>0.16290212183436004</c:v>
                </c:pt>
                <c:pt idx="3">
                  <c:v>0.22888432580424364</c:v>
                </c:pt>
                <c:pt idx="4">
                  <c:v>0.17604380561259411</c:v>
                </c:pt>
                <c:pt idx="5">
                  <c:v>0.43988135979922427</c:v>
                </c:pt>
              </c:numCache>
            </c:numRef>
          </c:val>
          <c:smooth val="0"/>
          <c:extLst>
            <c:ext xmlns:c16="http://schemas.microsoft.com/office/drawing/2014/chart" uri="{C3380CC4-5D6E-409C-BE32-E72D297353CC}">
              <c16:uniqueId val="{00000003-76B5-47D7-BF45-D05E3DD99281}"/>
            </c:ext>
          </c:extLst>
        </c:ser>
        <c:dLbls>
          <c:showLegendKey val="0"/>
          <c:showVal val="0"/>
          <c:showCatName val="0"/>
          <c:showSerName val="0"/>
          <c:showPercent val="0"/>
          <c:showBubbleSize val="0"/>
        </c:dLbls>
        <c:marker val="1"/>
        <c:smooth val="0"/>
        <c:axId val="359637775"/>
        <c:axId val="359629615"/>
      </c:lineChart>
      <c:catAx>
        <c:axId val="78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999"/>
        <c:crosses val="autoZero"/>
        <c:auto val="1"/>
        <c:lblAlgn val="ctr"/>
        <c:lblOffset val="100"/>
        <c:noMultiLvlLbl val="0"/>
      </c:catAx>
      <c:valAx>
        <c:axId val="789599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519"/>
        <c:crosses val="autoZero"/>
        <c:crossBetween val="between"/>
      </c:valAx>
      <c:valAx>
        <c:axId val="35962961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37775"/>
        <c:crosses val="max"/>
        <c:crossBetween val="between"/>
      </c:valAx>
      <c:catAx>
        <c:axId val="359637775"/>
        <c:scaling>
          <c:orientation val="minMax"/>
        </c:scaling>
        <c:delete val="1"/>
        <c:axPos val="b"/>
        <c:numFmt formatCode="General" sourceLinked="1"/>
        <c:majorTickMark val="out"/>
        <c:minorTickMark val="none"/>
        <c:tickLblPos val="nextTo"/>
        <c:crossAx val="359629615"/>
        <c:crosses val="autoZero"/>
        <c:auto val="1"/>
        <c:lblAlgn val="ctr"/>
        <c:lblOffset val="100"/>
        <c:noMultiLvlLbl val="0"/>
      </c:cat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_xlchart.v5.2</cx:f>
        <cx:nf>_xlchart.v5.3</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_xlchart.v5.0</cx:f>
              <cx:v>Tỉnh</cx:v>
            </cx:txData>
          </cx:tx>
          <cx:spPr>
            <a:solidFill>
              <a:schemeClr val="accent1"/>
            </a:solidFill>
          </cx:spPr>
          <cx:dataId val="0"/>
          <cx:layoutPr>
            <cx:geography cultureLanguage="en-US" cultureRegion="VN" attribution="Powered by Bing">
              <cx:geoCache provider="{E9337A44-BEBE-4D9F-B70C-5C5E7DAFC167}">
                <cx:binary>1H3Nct24tt6ruDwO1QRAAsSp07cq5N5bEiXbsvzTticstSyTBEGCJEAS5AtkkEke4WaYVGYZ3uG5
L3LfJGvb3W4JLdt1kFOpHJWqXNrcBMG11rf+8AH+6639y628uxmf2FZ2+i+39uenlTH9X376Sd9W
d+2NPmnr21Fp9cmc3Kr2J/XpU31799PH8Wapu/InHKLop9vqZjR39um//BVGK+/Upbq9MbXqXk53
43p9pydp9HeuPXrpyc3Htu52tTZjfWvQz08v//av6kl2Uz99cteZ2qyv1/7u56cPvvX0yU/uWH96
7hMJUzPTR7gX4xNC4xAnhPHPP8nTJ1J15W+XURidIIQTRhP++0Of37Rw4+XND2fyeR43Hz+Od1rD
q3z+996ND6Z97/NbNXXmKLMSxPfz07f1nelu2qdPaq2yL5cydZz62+ef3/Wnh/L+l786H8DbO5/c
U4krqh9devKtyd3Xx4Pv/J36QOQkwoTwCIdffpCjj+QEx5RiTODCl4d+0cdXMX17Jo/r4+uND6b9
/5vcHxgLIAFe+sm//7f/+Lf/2lW/y+EfAIbwBNMwjgmJv4ABbP4BGOgJDlkUxmHy5frvj/6iguOc
dvX3J/S4Dv6488F7fnnNL0P+U2nn/d/+Z/ck/dt//0c6KnTCGI15SKLHdROdxJSHgAvyGTgOPN7f
wYS+7zgfV83XGx3NfP38n0oxZ3/71yev//1/fN9G/74IgsAjJTxJABhfFONGkPiEEYZjiCIP4XJ2
8+S1F1q+3uio5Ovn/1QqeV5W//Fv/+XJf+5+l87/vR9D/AQTCBKE0ceDSHTCo5gyFDoqgbnc/WAm
j6Pk642OSr5+/k+lktfVTVc9Ofvb/775x+kEhydhFDNCSfi4/4pPCOI4ioijk98mo747l8e1cu9W
Ry/3rvyTaQaCCkSW//WP9GCgmjiMEhSh+HG40BPCcULDyAkqIEWYjJcPu3frn1Xz+6D/b1Xz7Sz5
awGxuzE3+8+Vx71E+ftXP1sm1EPOrd8rYL5ksOcff36KwpjHEQ3vJdHHcR4kvi+nm658oIWHd97d
aHMciZ5wjjiJGeY8CSP29Mly9+VKfEIRZgmkfXA5Pl7p1GgquCk5gUzvmFZwxDhNWPz0iVbT50sw
HIZEkBMCpVPCQ/q18rtSci1V91Usv/39pJvaK1V3Rv/8FCDef/nWca4soXEUxUmMYW4Eyq2YwPXb
m2soLuHL6D8ts+iTWXXxuVwXta+6qE9tO33kYXjKl+LA56FIC1nJ9J6gHnls9OfHxohykiRRAu8R
Oo8lUAWufF3i803P16sRV2W1vvz+I0BC7pvFiFFIqyMC2iSQUd9/M5RsSRw28IipXw5ivhhRmY/R
l8ruS2H3yHugR58CUqQJiaE8Is6LJDOZNxpE8TmTc9ZMY9aN/ZnEb7oC5aQ/m7YyS/RbvTQZHcc0
ZmqfJHYHeN/bot9//43pn944JjGYCgZPTmIoFh6+cRga2YwFzGUMZEpIdLrpKis2+0wv+tX3HxXF
D188iSKo3VkMcYWDCR7l/PBh1UBJkRCJz+u4smnShb+Yvll3TZ1smSn1lOm2r3YMJSZdmvCGrO2a
CsKHw4pRnE7DUp2Sqtdp0ZjpoELVZQGiWZx09WWkULlbt2VLB9qrfWy3XUD4W7Z0b7lIrlAS0mdb
YC60QSodrPi4juZNtG30gEm0pkvf8/OwmC5YXJK0MUG8n2j8MmlVu5uG8KbDMn5HG7TpFIVz/1Zt
RIypNlGZMtt/0G1V6R2KoiTJRMXDKgtZManTSLB23skwaMtnpI+FOQxhgHW6aKNPa0szMVY3scDl
tA9qG9B0XBv+ptzI+laP/Holq61TMevubNB8XzWElalkAT+NFK33BavsmqFacZFVesOfWGei6z60
9HxVQ/t6sqY/raZiOG1ku8CN1GRWbpcLNb8KUi9pEqkxW9RAQeP6mpcj31HFqnTA+mW/ULRfaVNf
2HpluzZu5M40yym3YZWOkkYpm8vudAoxzmrUlvvCyigLK63SrUn0Ye4idcBF96aRSlzxCSdnUiUk
j6Y+PBfNqk5n3qM0nuMmpajj6cJDncZqu922MEyjoka7vk7koZnYeBgbddaO4X7hpUqLcPk4DJt9
sVB72oR8n5SvBrOkbatvwoJc6XkoUx0MBzmMO9zq8ixhaNuvRYCzYBN1xod6OYTtIvbVTOUeLYx9
qKKqyEfOT5clPBDc9flqcH/aG17tl9WAuQa9SstWiucDa1lWBezj2JTd2TiQ8jSa2umU8ub1NBTb
haS1SjttL6FPNZ12W8MOKymnD5vB6DyYsMnCVq77epjntGyGNVND87xRg0g3Xi7ZKoYGDCgg+3Wt
zpaZd+eiaMZdKOf+LGQszlQvw/fEBtMZ+Kv3VUyXTHXVmkaqfyHGOU5blJxXkxL7UK0otVZ0Z1ET
vRGo7g5NaUXWirhK67oe97EMRTpyE+0pS0zWh3rcWdIchmk+laSNM+j30RSxrjznwoYZEaXZzYXh
5zYw2z7pEnUQ0fuhW5+PE6ZpPVeHcWkouLVGrhmI+n2/dYDLJLZpU9fhHndmPUzjqNKpbqJsHsf2
tJCq3M8jLvbU1mVajG2fDYkAT7iZtAyaOQ05y1CIn+tmSaNhjneYmHXPFzQ8xzULMtnUdxreuKAs
a3s5pUM0RWdNGZZpGJc0XUb6q8RllC6oY2lXVnXGtqZODRK72pJPcxu9I21y2gl7vdjSpCoY9xBm
yx2po5eiU91ukfR2JqvZxXXzmmi973nSv4ybcH4ZzcE16KM702Mi0jCwZbpCBAz1ZSv466avm3SJ
w19HLn4py2pn2/qXRoxjNqJ1ALdX5SraZMrrqDqESFywZj0vmvJFhF7Gs9o1yNq0IDLrWn1lMX+H
Vjbuyw7MOypoebD9mBiRrijWYM66SYKsMTHZbcrcrU3yhiqTzqJJecP2emanVRBXu0LIPVhBl9Zo
XxVvm7AOdk073LYJZ6kU9XPRl+9QVD0P1vqynCJx2hfLNa63N7Od01qXLzSXOsVrIUk6Dwvgyozh
kM48brK6ASFPyfKph9xlV4Ym3oXLMoIzozbt0AYv3WC0rwtWZ1K27LBV85RR218HYiFXpSnZnlX0
bElMnWLcynTT9rztMHgumqQG1wdarO9t0N6OK/mgLJ53szZhKur2XSJauWManTPWn+uA7HC8vTR9
cmiTMqVLd752XQlueQ5yTRqRVnN86OeQpbgo95DTlClY7pBuRF/bscZ7How4HUoWH6ICTLUQZN+M
6FzY9mBj+zqqxi2tt1bsuq1EqS4jlfbF3EIoGsJ9oBRPYx2HKQQTfSFR/Z7Z5qyJuEprehe2TaYR
ueCFfi4rmrXrhZlBU61Ow6hcLpGNk7SSQ/GGTC8UBuc26z2KjEkJQ2lR2mxNBpWOQVpb+ZZN8O2k
mfu0m8yroRD9bsP80sa/qGFOzaqCtO3602FtdNaVbaamKxSIMQ8LHO6pNuWumbctg1xyzCzj8lzF
qE9Ru+zsvKCsY+ZCxs1r2siP2xh+WOpGpYJvgK5ytM/QxHWqJb5DVYiybRlet7aMD4Es9qHUdUa6
NUrJUoIvThp02sr4JpiG6BAE/ZrOCx+zqKr7/dCWzfW8kCbt+xLljanGXWcWclgBf2wYhp3UETt8
zk5+KxN+S8u+ZLm3ql/Huqx+W+L4+ue/PPt93eRzD/6Pz4+LJH/89Vq18Ot+5figr9+B5/z24GMB
8OCPPxUk3yg5vizCfOPig3rkQd31ewvgmKlDF+tehvanUuRrK/2PCubzHb+XIPwkohzFERQhHIUI
MsffSxB8AqkMhZ7Ml1LjjxIEkxNyTO3gF0cxQgwyvN9KkOQkgs84LBUwBlUSeOq/pwR5WAsEGEUs
oklCjunsvdIDculVbVLZvOjobmU3wUrO7sngkez8WyM7ibCtKRplL5e8MsstaZrbYCg/+A19fOS9
SffCBoUKOpsbwcBRDOi6Ie2c+Q3uFBOcUy6tFEvO4qrdWdW+kE1BvoDjmyXLt4TiJOy8D5pkwdWS
x2y65Eg22Sb5/HfVdX/oEoz1vlgSqqUaJ5h5omhxIE3Q7RXn3c5PLlCV3x/ddoaEkMfOuVolS0XC
IRivmPnNHTuFYllXwiSgxHwoh3lP+7G44M26+M392Iq+P/e1WGtabHTKm6TPk0TuK/6bu/umRh/W
8F+FjgG794demnq2RbPOucQqxGdzV2t9umHRDDcGPL/NprXAIg2KObiIugh7Khs7wLXJJmy32inv
6uWuirsdUvqjl6axg1xIDnqpWzLlFvW8eBlvnTyv8VYuL/zGP4LjHnwhqSmYMD1M3QTPNKJ7befX
fkM74EUTmjqG2JQPjK00beexu4o2M3vO3IGvDqAcn4ZhyqeyF9ehTKKzFbHYEwMOfksZmSoMFEx+
GHmqOwopVbH9oCNzFO4fvaY/7NSBb99vJd1KmPrIoQGwWwvU/wrdqObm+4I/mt0jwyMHvxVbOO3D
wuS4DAKSBnIp8om07fWw8VXvirgOz7//pG+8CHKwnEzzKFpeTTkZQnPKjRpO0VQpPx0gB854NSMG
+zS5HWOczpjMqZzWnd/UHcxSWSC5FpHJ6VzXV23bDs/GOLrwG9xBbd9MSVzjbspbxp8VY6jyBgrT
H7TaviX04+f3IJtATTvRKTR50Fp+LWQ1vQ6C1i9TQA5obbgRpmMNYhGVuEDQxjq0KxRXfnJxMFsn
ZqPlQkze9UVdnw6irl/Ymm2ecRE5qF3WpFg0tP3yTo94PwkGZcEw3fpN3kGtDDhrprA1eU8ofx8E
aH3Xbwj7ZSOhA1rDZ1GvDRh7X01TBuXCktXdcPX9qR8R84hHOK413jcZLIe1X0qmczHGy6dBxvii
6zd2FawDhnbJVKzNgXck9pNU6AB3of2gkwiCSjiX55WtPtlNcD8Tgmb/g1eBirWEcglwK5PlgvDk
dYT7V9+X0jeA5baLl2kRY98nJudzdSnC+Xxty1O/oR3Mhpx2MHYJSQ9VW9pOwft4XBdPkTiYrRhX
cx8CqswUNs821NhTteD+F7+pO5idUCGtEaXO+Xi6FmWKVZP5jeygNcbCNqHBYx6IKG30sitqtvMb
2sFqhxjBVReMeSfZi8nWb1SCvFQJVL2HBmihqAxEv8GsTaDSNqSvKwvtB595w1LCw8HDCo9rO5ox
HwL+jEht0mmUb/zGdlAZldCb29g65lIM0F+yu3WwXuKG9bmH0zZC46gJ7Jhvnf4F6I37wOjcb9ZO
KFV9rxZSw6xNhZ61Rp6KMfKKdYw7oIwrWJ8pYmRgXQp/XJr1EgeL56wdSG7MNMEk6zFHTZxBtyYt
lZ9pM+7gseZhsSHajXnJ1A1H5nqQtV/WC52Rh3rsx9UGquzH3FYR2y+qGU6namr2fqp0QNljTKvB
glBIPGQRgsUngf1UeWTI3g9wc4KTse2aMY/7ju0oCz5ytn3ymnbiYBLIO9IQCm4KEfKhWtVLoUav
oM8SB5JqKRRtknLMQTbQ7rzjLPRzJImDyJ4ksU6Osq6CLVXkFpoFflpMHEAmmpVd2YOLgkWTj9VU
xdD01L/6idpB5LrYUUxEjTm2Vqamne4KFHlFG5Y4kEyiktWDFDpnKz41DO0bOfuFhMSBJNU9go6i
HHO1hFfzSN8VbT39YNpHhf05dWOJC8kkQLZn4KTspIYQ1ollU2ZctsNd2+K43UUiGb0KC5Y4+Fy7
qLUhisd8Xu2zWOMPQCW89lIsc/DJy2btrQbh656uKe9hFSIIIuRn7MxBaKlVaKxBEJJhNZEm+sU6
a6/2JmMOQpeNR4K3kEhsa1KlSbs0qW6n/gfKPdr1I8plDkqVsFtri2DIV7Tuy2pKSSH9YHrky9z3
iC2PUbnVECZ6FsrU8mhMA4Xf+qnTwSkknJOmE/itBDgB2r6CZHbnN7KDUs23oOEjjDz2JBv6OFXs
md/IDkhLWBBLLCpA1pROqaHstZJb+QMLPEr1MUU6KA1nEpbULjov0NCYlPVk4Ncd7WL1tphi9sbv
FRyA8nEwjAoQjrDlWQOEhyEp/OROHYDiSkKxw/iQi3nYzbY7myEf95o1ddDZaPBbBidDHuqPOoRV
UuFnhdTBZrhRHaoN5hzp9nKImrO67+sfKPRoyY8olDrIjCYxx51iIOquYukyF2HaCM8UjjrY7KJl
UbqGNIvNmzgbVqZ3qxLYLxrR4yvd6w9NvOZFxEHeSccyOQHjZ2s8VemgM8CzXSoFEreJOExDANyC
4tzPShx4gnANsD8AnqaLT40klwhKTr+hHXA2mtDF9hQEYulO6FfAIPSUhwNItJQTqwYQtV7wrk+S
QycCv9AQu4BkpCRhDfIgLVBoLE+h2+05tAPIcAKP1EMOnk+y2VkM7qpEnkM7kByiTjZAZIRZg/ue
sLxc58rPQGIHkbVYhk5QMuTAcsLXEZnWdCQCe47uQBLB+hbDSQS+hAiRopG91vxHxeDx5R/xJbED
SGZ1tZUTNA7ZLOlwiCZoCq8WkT6NgIbwcd7W1WY2jIAV4WXwLod13IqqmboWsETRbon0rwUyfx9h
9fe1C+BWPvQuTTGsg1qXMW/GTey3IuHpNgrP5spxjf++7xomFNAxqYd8sWveJsO5HCNPoThYXQUK
GYlgaDXZl2GHX/GaXnrJO3Kw2o41R1ODQN7bkFPZpUUbHPyGdrCaNO3ERAk5OWelaYAlx/nBVAWw
K/3GdwC7qHEprNHgG9uNp20NJR2dPUUeuZAdgZIb8GbI0SaijNeN3rGWxH7ON3IgOyI2FKTthzze
CgaEnnhNQ+HXsGWRg9lo2qxlFUBI6SSPOWCV2rb1M8WIPLRyKPYbPG8Q/7mcDN5t4TiiUy6Vsp4P
cEA6tSuORAtahdIISIok7RXxHNpBaFBoRoFmOoAzAyLc2lyZYfbzwZGD0GLqRblyMYBYhgthxx0s
8e69zNzlvusQ80UYsEQdhDsOpMKya1/6De0g1AZoxGXYjvkC/MSs7CUwaXuJu1u/4R2ACiBjxIVc
gSrR1ujaVrE900Dkv/Mb3UFoggveVmKAhE7gO+BrvwuSxLOXTRx8rpuheEJyyBtd3NBgfK7ryXds
B551JQO1xGCFcuR3qBmyHk+9n4W7OxjCeaIqoqBQFQBzcM8t79ed7eNk9rQYB52DSZYOc3BcTc1x
iub2dNbC01wceNYBkStSgCGql+dbW5xHA/Va1GbEgacigywrVEKKFOBfxjjJp/lHdcUxUD6SIbmM
o4o0NCj6Eap+uer4JRrMIA4JCcBe2gnNJh2qLX4rZsPEPol7E+0qYCjPfi/mMpKAP0JkItWQ18vw
qWHdlhE2+JGpmMtJCoQYzayPi1yG11nXo/NqizwLSZd4lPBg4Xg0Q94O69uOJG8ht3zn5Rlc4pEg
2LZzD60prrbw01wvbLeNKvhRw+QI1Mc07gB43vRK9DBBDcJEZkJIfdsjM9hv7k58LXRfDE0HYll1
dTUX/fsqJJ6xGzvgDYFvUXU9GEuS0LMJtoDAvge/DhV2sEuB1jcYWCLJLen2tiovTKKv/STiYNcE
W903WwfiJqKClYZZpvPk2eBx+UbdXEsSjMfUN+wg07Bpq0c/TboEI92XUjQMStU6jN/hmR0aOfmh
3mUX8amTW4AWKDXK6GyOlzZbu8p4ztuJqxI66UCrY5A+4vJqbItnsG3Br0v/eQPevfaOjLRWcw3I
2doZtiJOA+xKQeGvXnaCHFhCHhN127F+51x9kHxoJ9iWEqg18xveAWZk1xg2rUG/xNjiZV3QtFiQ
X/KI8MOcuh4wGtExL40QidJRE5nCKQme6nSQGaGCRjOBiK3JUqQxje9aunm2Y5CDzSEozURgb0mO
WXNdEPus6xs/W3FJRdNmUFcyGBp2euR9Acm6Lq+9VOlSimQyzhTaz33OTfEWW3GNZ+I5tJPyBstK
FlMA6JNJXBaTftsli2f7wqUPWS2bmUyA+ngeP4IPuBzazi+XdulDGjcN4iNg3tj6lAblRZv0fl2A
0IGlqnXCrIEOJt2aPZPt82lRr/z06EDSbtoIgZo+D4X5aEf2vNwiz1gJuyIedHNMYuMa9s8AJvmc
b2XwHFjlfogMHUQGxlTQbwVEom5+yfrqmvPgzE8iDh6TfiV4I+BgyRS+qaLwcqN+eKQud0jxOSTb
3PY5G8I3sFsWdv/h3i/roS53yFi8iOYY0GD3ymEdYXCzYL/1EModTMYx7LkVzQg1i0qC/bQh/i5g
i/ZKNqnLH0IFHAUQjRAX4qg4tQt/UcGKq482KXeq0JYMQDkvhz63Qfl+TsJXXSC9GOjU5Q/NsZ0J
3yDk4FjDTuYusGk5r5UX5uFogIfgiXpLzVxhyE8CLrOpm3jaa+pl49QlEUH+gEgt4j6nU/cqMfy1
qex7P4E7yKzANVW1hrJ/manORNLtVjoWXrCHLVoPhcImLJJyATPst7lOI95MKW3N3mvmLomIBRIO
fjg2nwNb7WEH565NkJ8yXQ6RgH1MazBCQy7Wy5rC4iLswgyBBeU3cQecS2EW08TrkBcN7FmNLb8a
Bu3XaqEuk6jTU6yLEtzhNBGgyMOOUtjm7EfKoS6ZiNa438IJ9Gm1PZSReDOWPzyZAUzizxUmTZyY
OTdNN/MasggaVX2KGX2FytmLFQJHXTw0wxJhSuMJKh6xcDh7YGm3fRSawc/IXTpRLYOqmJXu8xpw
s4TVbbwgv7hJXTrREsLG6K0CXhhEOFSnfVOV7c6URf+jVs5RvI+J3UEot7Bpu+qjPi/gaAa2zq8F
El7LLNQlES1tZSgcgwD4HKo2NdVU7gI7ED8QuSSiSsZsKyBc5NUQX8YhOWfUd2gHn0DbIIGUsN3N
KiLSoa8+1nNb+Xktl0NU2EhTA+d05GyUex3MV2vJ/byWyyHqIjFEJgIO0TziIK1CabJgjb26HZQ5
+NzYbIJEgVBCKS6TbYQN4sKrFqTMgSc0tIO4G/ixRyPWVCp9obDn7kh63AV8f4mypOsEuwTA2U5m
Ejsmh6st5n7LcXAs3MPBx3CL5RrCnnXJCDT11DUOgxuvIMEcYJJ1CshAwY9HEbRoWFCjTMOatx96
XP6Q5N02N9UxdpIIDjQxb2YWv/GauMsfgpKbEEyDPh9q/mru2fmwDG/9hnaBiTHugMY65gXp4OAG
lTVz4gdLl0AkElie3CJYcZItsCmTJUSHbqn8+mIQbB7aCQ96voRy6fMJB3BKjLkzAfvFTyYOLu3Y
UtUG4E+EgeMeujoLhPWUiYNLaQbYvmpK6MsapjJb1SgtzeBpJg4uUagaazDY9xzK96SdLqMy8gv3
1EXlGibFGkDPl5N2x/v2et4Kv/LkeL7afW+CBzFgoNpBAsQq+Sup2niPVd34je6SiFChFw77EKGU
TTZ0aNnwHE6Giv2iQ5w8nDpsQcdRO0OiX+KXHFenkZaeIzuwZNHEkZjBfzdDv5z1Go4/oirGOy8D
d4lEvERrM/ZgKJzC+UXzdmHRcOo3tAPLQi6DGBkYyhaLQ4zDl7zhfiWySyLaupUChRo4JlyoT9Y2
h477tfKoSxdqFZyHR2ZwsEz0/cFsejttxnb2KzVdwlAZ417xDlY1Rhtfoj7Ie1m+9hO3g8uaV0Bv
HICkEVOc0qg+Xanf3iA42u2hcRfhLFipATljFaWSQ9etkn6h0mULQQzu8GbBSEpKz6C7flGEfi4w
chAJ+wHKrofzZvK1Nu9bjvqdrKPSc9oOKDlKlOk7gPtWhZki8jIKf8T9PA7xSM3g8oSgSyhhrx4s
/24Dp9GHFmixH+oY6/EQzk28nfFEh1crHGs4er6Li1Nii6SoQVAJj66GEj9TSPm5XJc4VHEKNMKC
93mnkjYDquIHGffaz3W5xKEikgZvCJrujBZ72cnnhK1eSwU0csNnoadCaZi3hiPSQs2GlJPOj1JB
j4e33o9yzNSTjEeQt5nqT91M3pihrn5QLR919pjxOEgtq4ovSxWpvIeTCWVHx+uZCPpLsS5+Tt3l
DsHGkhZzy3pIbTuSRkbdiFn8qLvyDdM/njh8XzLQR6jXFUGLvGW4g0O5pLnra4W7rCwSU2VwgF5w
VSjl6SGIA+K6GEehZmATEaF/QSt+xibj1w11Ty8yU9eXfIKW4sZ72N3TjjLt6tlviw91yUSqHutC
g1Xm3ULJpyoMJ6D+LJNne5s4SS8iIyx9QH87X+NpfRMWVrwnY1v5wdZlFBE50JEhOHVxW6g6x3Ao
WapasVx5RUHiINcGPZx7OcMiXwxnacLCE2+zGevFr5Y+/l8X9w10a2BXmImg0qhmC/ur4quAzH4u
xyUUcSj84RxO6NDBKrDoUgMHH44prbYfRMPPVJVHPIPLKupiUoqu5ipfJoPgIM6qWZ8b4CbUO2vh
oLk0YZN6Db3Y4XqsUPimE8YGkEa07GMStc1FZQgTh64x/GKMyuANnNs72DSGGPuyNo163yQSTrAd
6tB+hCNVg/4AQVEXlwhS14s5GGCsuZ+LI4/c+hFqIZI8VEY36D5q0dZB9264GIf+mVD8B+2Y4xCP
CcvxDHrZOgZd+wbOagyLKqvrsry0cGjqxbZgOLGznqW6hm2HRZ1WVEm/YOnyl/DQYrTWI5T2yoh3
Ed1W8IHNIM68kOFymGq7zNEiZ34OeeFdxftMqeDWb2jHYUiuupE3MHSEnwHJftw8JUIeahiOrDJz
PcK4pZVZAudXGln7JT0uc2kuUE01FITnoaiSl8cI/ArKq/aDn0AcP9GpaeUlhdHHQezsWsL5th/9
RnYCPCqbUc4lHGEchW1qi4uk9dvuTl3iUiGWntNC8fNO74NQZmzy235NXd4SrmiIrYaRY9LvV51c
LsBG8xKHy1taSBcPExy7eY64OBC97aCx7BfCj6ci3vf1VV9HsDcIjK+LpzIrS1g9TrZ22ftN3Em6
41XXJcYDP2/KDe3C+f9wdm47dura1n4iJAw2h1tgjAF1riSVZObGSuZMMGAOBmwMT79bLenX3mHN
tef+fREpihQXZbDd3XvrXxtezJA4ptjPwqWW62OIYgxOvTkDyzRKh3+IL99X9N9sjGciUi1kuFg0
vVXxEBYsUdnWfnKbkNPBzY45YBJ06Ip0bQ5kSZZubjXYMwepbe2WmGWMqpgymR/r0uZk4I5Cg7Ng
ia7ck3HfxtAW+0uRaCGyQ1jpFnCcNUvQiPPaS+eoahlrgCxn4jIcqvmHoOA/vM2zbMmy2ItkPEVV
uobdYzBK/kkp6/iJn8FHqfICutiIVcnWZ4aRq2oDt9VzFi61s9zsYQyrgGgvgvFbMx9up+RZt9TA
UGhbyBpV6zxlI/9LHY5R9Vm2RLn2Q+CDMPKaTkVNyYeWAFTstHr800n533D/djPP/0eo/98v+bNu
aQ+PVpGascpXogZBjPfZNkaOV5mzdKkeooayAz4MPQs/vls9zIsbZgGOQ79v4P9t8YDYpPo/+Tv8
/bqBJ9vvI/+3LUZX701JFq3L/28XjP/XVMjO0qU5iFsCgQtMN+JeXGPPX4t17IWT0pedtUvL3oaL
6bF0TIrWzpjdsdVN0IU632laNmgV2aBZNW1pwb00b6jTRgXvld9HrqlqydHsrNpJ0l+SVvuXFGRs
p0ONnaVLE2wWeKcxerKx6SLHJsx9RFmOo5+Wpofk6RJs+MLRrvQw6vbLeFCn04GdhUsrhZXB0sPS
Y9FJ+x1XxnjLt6X1FqddhZ0JSN26KRBQCR59mmDIgYteOa/E8Z2eluchkqjxgaevGmCbWj6sOR0i
N2UrO6uXEmkgMwgw+FgrmhEIuvKNmsjtlZ4FTKmKxpaQhFVb3QKEQhX3IMFo6tatIQSuLb9/7+i3
jFECm2nVH1NhjjkPgtTp4sPOCiY5kkT5o/SrhfOcEF6FW+AUjKNO8vtT79BWb2it8KvGoNES1hMi
SC8u5xs765cmYPzgkFv7lfLUxymQn1TvOQlp2Fm+1A9CdpMwRxX0wWfQOUDJ6zbHDyX4fUai0Exr
fCR7BSC1yY4m/bLF9tVtSk53zK6fzaF6cVQcLZEB8jeN+bR0vRsDgJ35R0PX2iBsY1tFOnqMhv6y
pL5TQA7m/O+zsouJgZ1x2Cod/VIsQb7K3u0TPOuWDu51dOYWT62Altz29BM6lZ1CQ3amHw3HTJKa
aFtZNonL1NXquvJ4vDm9zrNyCW2QKehkra003Cn0Ki+D4G7b+Fm5FME5ZcHBuVXDhEQfKo8d3Ifo
V7fnfo+R/kcHDtyJ6tpv0q1CHzRUQOxx1G7t/vAo/H1oHkyrOBZPV0jUw+RDVF1MHWf7tDA1XGMW
2NeYqlngpUODzGNOCWh2Fi2NYM3ZmHBdtZG9tAm/Gv7TbaZPB2ZL90mMmmp8Idv2IWIxK5MpdOvq
geHD75Mtx7C3ofB1ZYiKCwFIwQX+HW7TfVYtobE/DJrW6EpuDAZT5LF2bHUCf/D3545aaptkrE01
hfpp0WMBJZrbyXBWLZlQ1ZSp0VSqX2CZ1nWVJ5NfTi/zrFlSm1VyB7m6Eiyuttkr6jlyOxjOyKMk
NQmA0vgCLQXoQA77cBX+6rnFnNFpUTLbEnj/EA3hWWguXpqyrE5XUrhNy2ld9gqWQKgh6KoZvA9H
u12bLvrhNvTpvIwBO7DMb3VFvK7iwfCaHPKz29CnlblTtDs1bNUV8FgvPEg/w/fKLfA5i5ZA8DQa
VwhdTZ28yW0vY0dQCztLlpZW7Hbz8NQygHPWEAf3tYz/dJoRdlqVRMLGrCOTroLoa+1vFzI0jhMS
/b7eh1WuCGpTjIxO+ANebIr9E5rofYh/T26yf5ka/o+jLBgkhRXHpqsYtkLpJe7nuLkYPgd/1Ch0
R1m80NYtzwR3z99/Dbtuvj+mGpt52NwHoGWuk5e5zf1phbaapgKwg7VKuynnaCXw4WnlNvRpefIj
nPZgpGu1txt/W/ypeeB97AZqYWfeURSpGIeQt1ZhL/wMyOD4PrTj7nYGnUVMsTCtblmDHXd45yak
RVc3bjvuWcQUwsR3C4Fhr7Y1uoXp8gAg5NVpxs8qphG1V6CkvQVWqGkWz7ycujh3G/q0Ro8ORbBw
E2sVfUvMJRwdhz0t0DiybTrJZq2I8XIWt5XV/M3tidnviyaNW+x+SG9U2osBaWlLoH3+STnzH3J6
Z6lSSK3xhcRsNPHK7zesotKL2sXt1DxrlXobTRvciZZqbtlbuCd9NqSLdluVZ7USvKyUD6X8WtUe
itF6bt4mMa9uN6qzWgnaiTAFLmypkrS/tnFctpa5pSLPiCMh4rYxdb9WB5Ef22AumLSOGZSzTsmz
IRweYN1U9Sb4RVrybdTEMV94lilFawLnR7kuVTD+ZLYrurRxC3/OiiQmtQr4isnm45FDonEF0sTt
3DwrkrZ9D6b5/YOu+2UrI93BDzSBN+3/vjLf94y/OTrPiqTUG4iOAWPA0dmGdxsUy9/V1LMaAoZG
0cvqLbBLDBWoym7f/Fmj5O8wdTDLtFSi9o9sSrTKYWLzD/KP/7AXnCVK/aqolxi5VIN3TNcpgrdi
PPSD27XiLFHqvNX20YzPB+5A/oMkMU7p2ZEZzM4SJYE+cAGx6FylBMZ5ou+/slW6kcPYWaTEhgAc
9UDN1ZjGT0P72tTRx//9A/oPU36WJ9VWrRT9OHMVdgYGweFfnRjdMhRnndAqGjsPLYaeR7QoYbOE
Mah2ayGEU/rvR9K22K2dAGmues+bi3mc/SKSbnR5dlYEbZKMzTHRuSIE/BvpP6zL6HYgndVAsAhP
NqPHuUr2pICFdTb0bhVxFry/4v8RRsPdGagk2s9VM/LrMf0MfO62hwWnyNa3CTDbPkCYJAgLAAPy
ZHW8Z531QNHRBMIDgqmauyHTKUygp8EtIDqTjPZ+7NCedKiqH+v6a7LZ5uXw6+CH28I53T3TUSQc
DmeqqsFgYZJnvXUMic6KoGTdxaA7DL0lYi26Xbd5PE3W7Qs8q4JGPXqA2GJ0RdpbN+oS0nC3TO1Z
FQR0X12ntexx1gVrAauXoRQaMmKnGT8Lg6b3frPwgEk2zHJhb9u/JpNjQe+MM2q2njXcty2kKgRq
YT7I7XO/HL0bR5mdhUHYTjhfBMY360YKdXTftCcdM4hnbRAVSQjEvsdKs6R36x5mMYCBblN+uneK
pj9mQ5u4HD1dbIGFa4IE08ht8FNiaAeDRHsTjUq6hNkB5VFE3NbmWRvkrw1VqmlMqRpDr4moj9u6
J8YtWDxrgyCOnOOa1absvOjBE+KSmsktiX0WBo3JQtiKJHYJd80t8+f0MeCNY/X0rAuS27YEkHaa
spn3TzNcSLLJSx3j/rMyKPV6ZCWW90nRNZzj4qQCkdz1yU/3zxCuZXSzqS7TGkDWJNiiHM/vlkQ4
64N6LownbYzBOf8IdM0XvrkFnGdx0NxPw7IPoSk9OeWkFUVsYreFeRYHEaF2T2yBxq1QFCaAXbv6
7rQqz8IgPZPe0Gg3pc/aP6TXX7dudpyP05GJQ3KfxbiZkil7P5nmmh5u9D+YYP8e+0wo4wVCKFOa
tufXtPZIZugYOF2YYVvw++iwLSEtShymnG1cKL9944d6c5luepYFmb5DXkVpU64reQzqGvDegLhp
DuhZGITY28hBG3yATD2laTwi2zw7bVX0LA2KB78ZlehMuS1Hjh90C2Pj9J3Qsy5omf2ONR1e5tH7
XhYH48Vjh1sqlZ6JRp5p+aR8acpxQZlj747oAgr+X25v83RewprCMI1+5HK06nb0UYZJcjp16FkT
5CfriDw5ho5Zl8ulyafazXaFnnlGfCa7ijsMbe1xTc07ZCN1e5VnPdCslQ+wOFYOjFzXbBzat8Sf
W6cAgp7lQAqtXmy2gymH1s9ZqC9D5BZT0bMQqGV+bQj+lOnGf6F4lQsV/XT6Rs5CoIam7TGsWDjh
Qa+jP5osQbbdcUpOJ+XQ78vctsKU/dh+DLofoxc7yfLpWQmkhjENlhGTHfoWZwK71Wp1CuzpWQnk
Awc7thsmu1kAvJHihl4lp8sOPVOMRgoIGEEpGTbsQxbBDiQCX8PtPZ7C15lgpXR9a8q6OYourtZp
dDrc6VkCJAMzBsbzdGkFXNy1yGBU7FTWoGcJkK/mXfkDdr/63XezSdDtfDj6rtCzCCit26gjNZ47
Tecf8mAfjdxbt9k+i4Bi6XvQyWNsET5okuT+cTiOfKqbSCKOyMdFodTTnu3855R8cfpAzvKftRYR
Wy0+EOhpCii5s00qt8PgjC3yp0jMy5DoUlkWAQYCleLaLZ7j6OHv4Y5IuqjW7+H2QoguIE75Qo20
jtN9OiLfL9jxNuPRl3C/TXa/baMbgY6eJUAkDgIbw1etRIVXZeM7OiatHRflmVy0NDFHciPU5Uy7
NNf9oV5tui3/EE39KxPw74l8epYBpeuB69LoL6WPjKxf+ruYvScxpZrnjBjJP8qWtAmqkPMmbmA2
zDDrYZuZb3Nqx/Ym/b6hmb+ntnsSh1VbA0NMSd1Si/SsI+KGRdhA7VISGd6z1hYgW7ltdmcdUWL8
ZG7TBUOnW5BtzKs6tM+7fclnJVHT18w03raUna8vtsUPAGjWDZNFz1KiqA616Pm8lPUw9AUze3+B
Y3rodt6e1UScx34Pzc97EBwrhE493Wr0+a7cLTI764nathcd8Qc8Pd5s1bRKPKTrFjnGZtFpmet0
q+EV2iylMm/gOD12unW7jJ05SEwidjKbXMqJcGAPCfkFX78fTlv2GYRkOo/xHkab5TH1f1BWtyiJ
uNm00bOiyIwhFXHQLWWyNGUjkyYjyk2iSM+SouPoVZegJ6G0ZgoypcyeAayauG3ZZ1HR6NeNPQje
JeTgXRbH4XsD+uFGoqFnEpI2alxWhTnXOBeymvAxXxP2y+mFnqVFuuUGsHQ8Omfiq79uVTh7/1B6
pTgN/2bHPiuJTNAcwlCO5w7qgtqwTGO37kN6ZiGt/dpv0YJPJSAjzeEvRfKjc6ui0zMKyd8myRps
sSVfxz9GW79gD/uH5fN+y/i7KTmFxGaLgjpJJLJSKR3uQRca7nQa7j76Spf4m9sbPSWRCBrh/NVn
WEZDnGTbsPzJzeSWkqb/Jihq4CcrpwDnBWtvwfKHHRK3k+isJ8Lp7qGBFCP76V7nbejnPpxN3BYo
PRVD63Ui03BgcBGrR64kSi/KqSRPz1SkyHbjyNA1XUZ08oo+6p69mjsmHs7maT0AQLO/hUsp32u3
6Pv+1jedYxR7Fhat4XbMzUSXcm+bRzr3+bxKtyPorCriCrycOCT4BuumQaJU8BwoNzfjRIjgT+H3
HI7HSDArybSWgwgL3OmdCnT0LCqKRq/tPYiKyrSRNx4NedJHTnolehYV+aNtoh3YNhiDeeijMJlo
3GoL9KwpYnZJJIAj+EwsySAHSSKnXDc9C4qCaFbd7GFgA+enR69Om2xpIzdkEz2LitpUJ34Y6KWM
eb/VxTqpoc4mMaFBxmkrPEuLAtA9E3AJ39/mlE9Mv4WhWw8v/TddEZvU3igE/NL2QREIW246FW7b
1VlDpOZ4gm80Qv5e0tu2pplIfbcP/Kwg8ohE35fE0KGM75BCKcTk5q9Jz/IhDrjIYUKDD9xLxWPH
e8y5RGnU7V2ejs532Tbwnv5Q0rAmd8LT4tona+K2OM/6oaOn6UyUwuiNaPxslMvY57avlRufgp5l
RMzbh5bJaSj50MtMIYab9trtxD/riPo1mBXv1FLq+cggDLvvGvHmNOtnFZFol3RRpFclzC/1dRPs
yD0fhgFuo58ySzvyg+ssU1s2KRLgbHyJ2tXtWD7LiI7QY3M3HbY01msK0Lbmix19x2vzWUkEre8i
onm35SiTzzXSvtnArNvZedYS8Q5+BiRQewkjvwVgKxPclrRzI7DQs5xoDuiMiiu3ZR/va59B0xH2
ear27afbKz0tUzGMYFBZvFIPj6y39hKpf9KIvAdrfxM8B6fAduyIbqzBK0Xh1fxK8XrppR62+c9R
UQlaGIDi7WfviPvFLfNylhkd1p/2OPVtGa0fvMUD6MnxLZwlRsfQ1xQ6UVsyWGOsWmYrc7MloGeJ
kbdT0MkTzJLYluc2Jjfi6ItDz/qieD+8fm2ILXHFAMRxPGTWzI4X0bPCqKYc9PdltiWnTfeG+7qn
s30Own+61RH/X2Wvv/mAziKjtlfowO3SqRzQ/Ew/wZpY3JnIeOxBrGig/QBcG5k+LXXXwIt3P7pl
/G6jLdzBWeOTNH3WoOo1KPgv0/G4g1sNkDr2qMX8kfQRU/dklrq5m43a16dlr5v00vnoga5WoLzm
YpAB09W+RlvySOFSRi4DD2HrYFgNykPGWVp/pR4Lklwe2AIKydU4FwuLtMnC1JNbuTZIALzQQHvs
2q0+rW+RhW7qZZsSmh9st/aCSuWd6QP6GUGU/kH9cX1kn6fX4SI+4Iovljq5LlA7/6nx0/acwSwk
KsH1A90oTPzkl4d6JJA4uOXUgB40cX0N95GOH0kbmF+HBU4NXLlehbBFgX1ENdqQ9X+R4UDVi3my
H0vRxu3xuZ2EtNc1ibz9GqPtdK7QwiSTe29JjXpkPRvCb8Ci77oMYbXQ5Em0tm9LvbM65wySxFyT
cZJVX2/1/NSDGrp/iuA42hTdiAa/vKvTIcrhTMD4dSUHX+7erdRF4Q/dTp9RYW62LOWBl/7YMelz
BUathiWmTMP2S9Na7lfeBrRBYSOx9tck6oM6T0PUBy5RbL3njR2CXsBn2JOcUs2j571phg9b0Lbj
pRZ6oK8jkBN4mnUY3nFkY+Lnql5kktm1Hbqr3808fO5EMMtcgSuP+tRhQGkVQ4/2m7jbIPjfqK69
PB3icS0OCxV67m8rAWld8QjIJkLH8ZakENhliqbH522BXCtrw2Ty8s3vapodu467K4DTfnrpF123
eWJn/UVLScD1FP6mbyGLvPjnAYJVWIZ8IvUtJPBtz/QUwu/HA75J51x5213s8xjwbkhm6vxQU/Ad
P2YBTTCW5g4X/SnKwH+clq+6TZYuQyotTsuGLb4BiChAJt1SrKJsHcJIv+iU7lxkS1CbI2v7MdwL
Zrk3XHWX7E2+1OAIw/zmOHg+DiP6prcwTpbLPAWQzVLp8yYPEtHVV8kXagsCEfP3ra2tyTx/HOHL
MbSaF4nfpeaT0jT+gsQBF8W0sXTOer7x7bbgn2Wpk3A9skYqmjyjdBAtGbDI23jjfYK/K2FjJjIv
UnKVWQfAjy1mrcX+leypgI4P7Pt2/Bk36ZwWftPr8EEChfkzOBrr37zEs3/OsFD5ttdd8IkkQxch
Z9F48wded4cPwEy0HfdMbAAy5i2dJ3JZeRDRl63fmX/VdS+Hatc8GG9iizuVLUybZ2W0HK5YW6HO
RzZPf20NReacA6GtS/gHee3N2039JY3Qwj1pnyogLOc+ftvY6N11Bv+SNaC6xF/WKenldAErU47d
ZVsMla9NxOXwC9U8El2AlQkSDS0xD6M7u4ZASGaDqZkY8g5loSnMIj9s9hy/7D4/TZFPzU15NEge
pm16/wa8uMa2VE81Xhfuhfwj2tga8rHTXjPAtHThRGWTqpFFi9p+ehuI7zd/JSrs678WuFCowp85
QuymkVF/3wDfbashIod8PuY2+ixt54V555uNXedR6OUJu6lnc9roMbqichoHGfCLXf+G9pEwfatH
wu+SCXV9tETzpb6bIhv9kjrood6l8bA9DsOAcCHozfIlYqmG65rQ7a9VmvVlFJbHWT9hRXn5cgRd
/7HVh8cLciDGyEBo28KiQbykbv6Eb8L3IpE82ZTX/q3ztKovLUI1L1dJXIeXGF1mdbEkjTdmIl6Y
d2k9b/seDcmgqrE7ivDA3pFtqHe+T++HIDU4axIEkILTTPAdeOH5+aiXy9Qsr503p8cFW0KMJ6w7
jt15SDj1r6vkPqk8CDNGUoTocPmsdoZ8GYmW9PtMwvg+CcftMZq9drxL46YPbwweF8GVYhGsjzgA
7/p9yhVQkNo2j+kWNWhZaenxmESDekBaC6d7CN1IkO/xwNvr2MWbyHaKikuGBZp+A7Fzf0oFlXEO
tPMfQavSv1iq6h/B5E/D6xQ3B76EhgiSR36TFFaRDgciYJlAr+0czMIALlidbH5Qk1wN7fTdMPjq
ggKUKAD3GS7jym+NtSX127FgAun6JQ5vc0j8LCX7M+/tnIX86LMUcLhMAPGE77J9RRihM4lO3Fxb
b8sOMAm6ND4KHkc642M8PrRB8GhJV7B4/so3z1wDv20KDUOkAi7lD0c870jldYlXrHB1K3hv0lyM
nkkzAo7ezdbgX2F3lvFjmshPep819nP7I+Z8vQLOSovIdNun2NRjoVogu0EWmFWewvtP47NNamw/
zNo7EO2CDCZMnzqKG4SHHR5H2/C2Jx72w1qlGcXLzaGhIBkl+yPZ+Y209jE1s38B9t7CP7UX+Rp3
Tb4v/pOM9B+YxuiiQG4skcj6ISg/LmG4FZC18qLf21/wI2kunkZFOYHRGQIAK6/Citvec5XXqb/m
/qRxrGjy4vfJs97ju3CCVrBhkPiwOBmyuNa3nqr0YaLysRZ2K6Jof5XDPHXXxnp/UIsDoau7+9Uc
j6TmY8bJ8jZuXXK3RMl8qbfoV9eYJ96hXJwPmEMmxxUrYbS58pMHXDmP9xMAWHZrRmxBg7fCAivg
M6KtkIXLVYRRlyVWmDyQwsvppD7UMY/LYOVgoo/+K/JYITAoMg9FMGWdnrN28vF/4gFdCAadSRfJ
aFchWRHVGdnQY9Ih6ZzNg2Qv8KuPcdLUBX4hPhQHPD1FNsXH8hJwEv3aonqti9Q0wadmDPVeKCNR
6CFB27UPhBGG3IHRZH+C21BcbP7AxY0nUnQ5fj8S5Mzra3KNkZmyd/4YksfI98SYUY5e1MzOY/Ln
uLOhmNrQS6pE1tGXqe+ZzcJ9tV/hExn513RW9ZdNym1BzIe+0Ls0oInFlzmDy8yn5nhLKapPlwRg
0Lzfh+AL7GHGOZvbZv4ST4r/mjkqp/d9rzE7usOawnJSMQynm/bAAYJE2VPkWbl/mIeUD3cx95Pg
Ogfch+K691Z6mcjc0yKRA4faadjqp4XVi77JkHbf+mPt3hXrgg4QIgt8VsG07Bvqs3uqC75KPCtF
u4x8DdOG/LnEMJd7E6MvdRZMSLYiR7qpr77slUZQlTSybOpp+DyuO53+GNd4+7VGUC1lcxRCyT8j
IkbtdxsILQAFD5IXI/pxvARaglPXDbvsyhgOTR99QuvuMo0CH6TSCdo5ebPCQlXoeH5et40fCE3m
tYMPldXDy6Qm3ua9HkKCjaX11wwZVrZc02U4SDZ3fFc5mp7JswLqv/uogJtYnufF99V18vUiri2p
ERumIbqO880G6AbGbzGsVzOFbUFH3y8RNAfpXuAq+ADM2wL9MyF3wHos8T0I7QHiMXYc80Vin/ni
B+Fh/2J7DbnnaJS33uYJXO4CfcEtf+3gThpWKkxojaloozAzhgiR+3HQY1+JuM02vE9ZMnC2wSq2
HTr7GG/b6dUb7NA+ExINTcEQ8pJsHYGFesG9BS7hdDlockFs/QLWYoOuJj/BUXqYfT8KHYvovrWU
ibuE8BX6mijWAjLAJakz0x7qo9XJ/J0qQPFuEjp6L49a2KbntBPbr9FLRJAJ9Aa/DbsHDOegIslL
MPwRlUQWTRSFWRG7Z96YzPdrO3qXDgf5d6pD9mlRXncH4zlcKNrB3mErJOKJhSs1WdcZS+9SwVuK
K4ABEpwex6/OsOUzbnVJnMlprsN8DvwyqLm4eN3Wr4XxEkVvIfWszUdDiX1dSbvueThKU2CvS74e
uqtBCocr8YA1Ng1fPT9O7KWXiAUeFHbe47lDuJppmC5e62gY/R/+uoRHjstOO9xWb+/Gy5ES/gHC
wbS5HJ5nyF1sUWG755PeP8F5UvxCbd3wfFHj0NwUwq0W9aRNkeKg8mE1/RY8y+49MBp0DccdsBLH
v9KgpdFLzOlxmfZhiXNU/0oLpKfNFnhujlnt0Uc2HyluiDCOGWBlUu8LEm00pIWOKPdz0XQd4rE4
ZK+qmbwP3WwETqK1i1+TLRb6+WDLNL9sZO9/DNtgA/QVj8LLdhHgeFqWcAZxdzqCJzYI89Is3QT/
9635Ktrdqq81iUaThzXazMI08bwCCwCkAC6X9x1+V3OK3T5Z59we29zctu4I7kyyNi3odQe1+TLi
LuyD3SS/IqiTUTbQoIWZOh7k45Gm7U8mxPaKdHn41sRsGy/iWEW1wAAXQdIa7RILMvL8uwbKn6K1
xFzqeBWlQKUuE/YI2qs/aFvfd2ax/KmZff6mDHuGVzbNxgBNk4FYxSWGB32Ybw0kfJcotE13v0zh
BnKaDFdw9viOLhc+peKyWsrbJ92Gh3eDLYr/ECTz9qXeQu9x8GK6FmEkR6QQ0JIUl8eMe8WFqDCc
H+slED9sO4gu8xHJbpeZEZ3cR6SPyz3tJNRUgVGoc5NITJeJKe/z3hGaIYkQ50PC5E2HvXqXNvw5
Gf+J6gk+Hl4SHYgpZOwVQ0xCfuO1WtrM8CN9TTd5fB/ZyO/Ixs1TJ3ATzFLbk/YxwRm+/4D77G4u
x44z8LYOZiotOepv06D38aK2eMBpI+xkrkNN/OkZOTlcyk2A8BDuo/wv3KHlx25ZobRtjqhUiTEf
Z2yWVbCHdXTv27XpXpDG73/ypE9VPol9LQJl+7uQ1Yhvunl+WlMOABtgwNjGppSGXxV0WzQLQE08
Lsoe49M6tSu/1GyLnwlcVdey5iuupf3usz+xst+TNX68ex9mZaXGhTadHgZpp5IFmn5doMfsEV+l
Zrv0ZJzxVeFQbLNuadIqGgdGs72NRy+3qTLBPe8YTwsVD+9Hgmw+kmZ86gwNi6477tpjV1nLJv8D
7BiPh8m3Rj8GYWI/HTgr1EXyDS3mM0AIF0XGOKombW1wN3AdfxILbMsw6aLvcjjrkG+YNRreNWE3
HD6k/SoYFuw6y26LelPmJaIx9tGGeMurEEkNx2HRp/ej3H5C9Bkd3xf0t/8cAgOaL8qQXdaJfc+t
J4W8bXzf/Wz30X04xOu9f9gLo5I0l74X9rEO2tLW/cveL3RDciKIKxz+kPmAEOgPLPfQD/Vf1H3Z
cuRGluWvyOodargDvqCtqx4ABGJlMLgn8wXGZJJYHXBsjuXr54SkaiUpTnLU8zJjJStTKsnwcMCX
e88599zvcyzJxsxLd5MROhQBKo7QRISUpGu2rpLwlZedu1xbSzUQfyhd+gTtfPFo6OC4G1vhTgqM
w6YmymcUQhUlej7EMx0vusG0CL+K2loPDHhHMLbjku5seEsP+7kDKRu4LaX6YBW2xMMfU/u2SGzT
HT2GspGIoiyluYFMuu4CNc5quO2zOnsFydDXIa5gAximTjQ+ZUH1DiwgB5YfrAnPnzoTP7Fa1WVU
Nwv6/bpDO7MNg4KU+rEH13J/zIh7mUtas8DgYL+w63h8SrNSibUoNEQ/OIVyuGzDsJGEeZLVOoJv
UffophNYXjS9w2nTw2ejCGqX4OZDfzfsZT2klG+0qEyxzWbs8S1qUfSNKDzC9rrNSixqt85CU7lV
7itcaKmPUF57u9kZaO2D5xkQ4NpqSB/kuRttiDsDbV3YjPZjkVsotwvbVnllJJyqy451UsfIeqjh
ejX0qfnWw47LDoih4BlNKgcZkCaTNzBDy+OgsTjLDrYDROMWSYA3b53BmcktTdC3+LtIodI/jrLo
hx2DmI2uG5OU7UkqpZ2XJamKdA2Dv/jV9GhhuyfI1hfs3KJllyQDQBCmbZZZp4QusAjxSQoiAju9
ky0uUYLy3nCYFdLpKUV7hXs0aBJwgukpOzpAN6nyLZw67omyyt7ZVS5MOIpGOf5g42HscxTHOOuc
ek0RuQpP8H5URUdXUzLNbmgE+o0Exdir6svQzzjdQHE10yUBHvgEJqSZ/VgWdhLAPL2PQ7jAmhvl
oNNVWMcVh2JnRDrt4xJJH/iQo/3VEFtADoZ+0Ah2eUf0sUDbNxrGoxDZzVTZlg5QXmmPgW6XqT+J
IW9WqhqQNiIFUUUUy4x4r0CR2LiqRMkasFYItP0OeJS+hrrVaNho4he2pbQ5LfykHlITxQI45peG
JKlLfMAXKO7AJnOsy6a2cNCqLpXw0LEqL5t94arOHAoEWenkc0Np/JQ4npf6nu0Wrd+jF9ZTWuDf
ESHlbPSVWjAP2Oq3TwC9OVrVgwvtgyRv8YJUJZZ2M2KAMqwnG0V7OWJp/mTX6G2zKTXr2LU3qjFe
8QRr3KezqE92affFs2wtmD7pMk/yMJ/tVEBRQFHy0YXKrSb3a8cWy3t2TK0BPJhmyFdQ/lpIn1TR
u4GoO9vzJ4Ti8/9MRfq+Nrh30iLP4lpvOvTT3FReKy+Blbn/UzbmnVSlJZrUtmr1Rvb2FJZVUftL
lf7RGeM/nqf/TF7q0+/cRfev/8Kfn+Hw1WZJ2r/7479ua4V//uv8O//9M29/41/rl/r4pF669z/0
5nfwuX+MGz71T2/+sKr6rJ+vhpd2vn7phrL/7fPxDc8/+X/6l7+8/PYpt7N++ec/nr6rrAqzrm+z
5/4ff/zV9vs//0FseGm752qo//hxkD9+4jyLf/4jfPrl+FQlvwT4Uh//7stT158/S/7qwN3Slvz8
qeJcZjq+/P434ldJOCeeFPDC4memqKrbPsUv8V8pgUmmRyk6ZFL3rKLtahyK+Cv2K9roYXNIYguP
2ODB/v0d37yqP1/dL9WgTnVW9d0///G7nd2fdJSEyEhiHJviM9l5tLNY8AdbitjFoTdq7Wxx8ja2
2ffeDpC/P+PsMSLB1hVVYFXFPs7IqVb2C1USl914M/IyrBJo+GFoI5CbTQeeLxfDWG5ijBJwTU+4
C79iL+HYQPRD4EGpcelPejhO6F+DpjXesXNsoIDUQZAzie8EmN1GQLMZglfNQ7TgvOxxE2hqLhPd
X2HrfkNn7wNyklM/DDtHeJFk8KUo9Bg5FbKrsvSH1vb7hIdNRr7nnjhBtbrKivK+08sOGN3RTeZn
3bPBX4R4Qri6Kz03UpMdDrXrJwXqUmPtJ12MHiEEMloHQeGIyKMMx7wIGBSwspwDuxK3Xn1dcrk1
5X0CuyCOXp5W6QbQzAVVUq8hJ/a7xhQAo9PGb5fqtljUwSaIPhagJXm25/F4JVAY0hoe0LORpnaG
q7g5Wpn0Ww9IcutETN3GNhcA0NCFHQd45ugk4Nby4hXZC75okCwycJruysMRbDzrQJoVooxwXK4o
aaNRvObCCRyZr3oAny6hO97pUylsfGy9quAvUSXAMgqIqLPElIeh6Neq8Z64tNdyLK07AyYtAPey
svqyQv2CqA4GEBFCTdGHKYMqEEL1R2EccBlKBkMq1hlUWhA4g8dLvqTZEIJpispkXhWpjACGrrrC
+poLZXw31S8D0YcYYKplyrXnODdlm3wparPqm/wa3Zx9hCnfeyKeU8KOgtWbscgbX4BiYubcHy1L
E5/DKHn04gu91GFX31Qi+2LFyX28jMA5SxkOuI6AWsjnNGEPHuyme0Feu9a9mzLzovrla4eiYbg/
rKZmeGxdfJhrol6pqyKpE2x+MGda9oe2roOWcOAibbXKHAsbw1O+tAgL55HsoVuObICwpZ5eSSlX
eDb7zJo1FkEcCK++94YXGG5sWebBS4EGSzYemhbofNz6Gv3wOreJpja5Eyh/KKcOGAbgak6sAxK6
KNXxFQD3qK1cTBXcd94Gwpp6P05i7JfmSBA3AWmOT6oWL4Oyn3kbh3mR+rWD8tm096FYfoBL0WUD
3MVXubVCJBWNfXIH5fj3ac793KT1uo/NevTyo9tyBGjmlktg7l11W6KJGCbkc4n2AtG05L5DA7Sm
c8iWNJ3l6znfT9T93rtJyG2zKpcuKEeyqpX0y4xdjUl8my/ZhsEyO5XTfWrKzYx+iWsHnYFDDUgG
HReovZJ6jC9rF4cAjEJ9l8+RJ70gsdfgxMIW6EiTlV+RIiLz5siO5y6Y4umisay7ySbBHJPT1DIf
RW4hdZw1LfSxgvLOVWNQAx4GanHd1Oyl5TH2pkf21lweZBLf1HO54U4Roac1OCWkb3l6Ae24Hzvp
NQqrA8sl2zybn1JhXVK0F7c9AzZDXkAVvykl8D+RBUhTsP/ni1wUB1lkPoKJa3RMAF2QXlI0LNOt
CQAj3Dv2Fy0b5GxXufxGqxvoR/dK8K+A6UGMJgFdvHvh8ioskecGbXfqYecH7BefmDQhgIrjIAu/
KYYb2GacgDNEpmVfQJ19h8+IX08uXu8ski1wYyy5Zpd21vXI3dHvjP5C7Hlv8xzOo9MuR58v37VJ
6GX9Be+GGzdu7nVnlX4puyBOxvu5WrYcPBqb8eq9cfaRVGK5jQYuKd4WYOMGpDraQiyPNRsvBWER
nB883ynzKG3hXpFa9Rox9JYu/eSjD3ns1zCbCed62qfcDbMGKAYxXZCV6aVdSisovPlkBALUKfNw
1MYAW9LxxV3ELoO6PvGmPcIlPCIobJbOjsE/JBvUmJyE66wWOgUyN2ua2dcNcgJgdDc6Tu5kDgLY
VDdmHnxLz9tBj7cWqb9V6QP6B1xMTEW0ww7XGcMRiEhvlg5M45fpC02K62awrxUAesOrR87Ars4N
cq1q3hZetTUTR9NZ4CwJqIBl3GR9E0y2G9ZzdSIs3yk5f6lIf6vRqRsAZossDioBKBw2IHBa37Tk
q8iAbwsb5/0AHoMcLS5wNHXrFh9TZM4GteDfgHSu+35ZLWivglSuPJTznYV17Oc2D5wluayrGUw4
FKx05tcWVH5+SlLfVPlDw/V+ks2xsxsc2x5Yx7zc50ZEnnI631us146pQBG6rwwOtH5EP+oFOZvh
x4nER51DlCLsVdssqd86Fb8UrbuaByeCLwzAFtbnq7yy5x1f9C3lC1LM+du5LWnZqJXF+QW4+Mhq
ObYf89YT7Q5ZMj6xXK1spFA4ffbYmnhc+Crdsip6KyitKaKCfYMU4KktyQ6ccYzzWj628ZckA6KW
e5ezS0Jmd1jRM9O4SYtQA9NC9CKeZA6+zRoeuDUcijJhAdQDl3yoE98tlijt+suY95shI4ehJuKp
HoHueAXIMwGslfyu5fxbUfFF9tzWXf3av49534TJH8fO/w+GxZbwhAs+h5yLaX4WGRe/HJ6KH4Pi
N7/5Z1wMF2yGT2SECHKOfv+Mi4FDg853bSY4jv4/42LnVwi/0LdEONwDo3CuM/53XEx/JRywt4e4
HSekDVuKvxEXA65/o/MTCIoZcTCSLRFHeux9Ad4sYV5LMlptnTh9KlT8LIu0C+tEmgBdTsYQNIYK
UofMwL8WvU6y9lXTrATnvByaua5AvKUPtvPkAckf4CLvD3FDI5IVG57OUIws1UERrtdVy4tALfmz
Scnotzp9QeX6A5+Le93iEgKIegC8cVVno47Q9zTzMzsZcF+i3DAB1t1NQ7FTgCT9ptaP6IrUBqwf
vrAhfm2MUStoxTxsIbq1WXyZ2u5lZrwdJFs7gjTanxxyTIpiFy8WOtzHl8mSO35s3JvGNN9aZzjZ
8xjFoI7OMPEEgNKJUlnSkI/kukhJFKMbg58o8jTBx96H4iENaspf46E/WnHzLSdQMBTNsgPJcuo5
sOpm75owQ0NtWqmjk7AClV+AV1EQ8x0I6NqR4GHdWtbwZ6/JKmOEhkmT72S8nDIsl2AovEtaW9xv
lTjRybmIe3VMDXttHQsGdRV9mZP5Om34tuj1de7m2zmrVUhpj3Y3zrJ2NL2VBZ6i0fOh8eo4tPsh
LEacZ7Gb1sE85yyAmWMaFGDsgF1W9dGq0xdIv6wNrNJXSwmayR6TU4Yv5zcjLVdCyDuRWc2aNcOm
r1UJCG7+WtQI/D27uobuTvvZgnhVCVAPuun3kHWBlEilAema7bPScsD8nzUcvOsBB+Us7IAB7kdE
DWDoCuuQaNLdomshpJqpvhnhxbstKLvUCIeDDsg7dFOpQA+/Ob9giN+dMf+O2lHclaW4HQkaW9RL
B4wtWfa5qr6pjBwFCpJ8arMQMgArcErybJYRSchSeWtwX4/L4FwLj+nAOddpd4gjQqvM07vFyuoo
GXCdWQ1wLHyT0zSnyBXzcbyAXEqHbUNKf6pVsRo42UN/c5PZWDvQ3ux1v5za0r2pxVREpLTiA1Pw
WPfgvRqVjmr3lZ3eF4vGXa1AicvKGy5aWj4Ct8ZcRtwUE8WykXEOf+3kHqj5vIH/HjxOrfYyB6N7
6GJ4OcWtq9BnIrkxHcRGcukM1A/qPq7tg2Ulr0PhJMDQgba1OhqUs9VQ1a1iCCw2qhBToBxrgWpM
fLcBp67UnHqrBPW3oRihFaphy0vVJnX661LRqzHLL0tAVXJaIEsUxXWfjPuh1y+Nw/aD8MIRJVN+
6oK89jyrj5J4uWpTNMh1Ie266tvloSj0ZYJltIGMeNosRrs+/JNaYOdyjoql1eGsrHTDEgbBRLo0
K3DDQHPj5cItUw9hcPJSenkSzEqtm657zvtzqIESi7pHYIO+PhvJ+i1cHDdllViRRzNwAE4Cvh/i
KnTfRouICuEyMhIxr7jOnxZWWP6UMAu9ykBXM6wGWJ3lzGcK+4YNzhrsPzDtVOJVJ4dyme442lWf
0xakO13L8VUwnapG26fJHe5TGyUHPbW/WxkoTy+pLtxGv4q8Rx0c2n+5ECT5ubdctBOJiOucjUJH
tDOH0jLt8txv2+UWHhyXiUHkhi0FPVW5Mc5yFI0lth5NXKTmsYVU1mQg17vGOTDGL8EdP9PCfWod
x4XWyKC1hnKDcwn/HUvm0K26CtahXPmEAuc1KS0CfiadYygYfYaGMJE9ohLQmvizrWCAZxXdzZnC
qGAOijPwrECmBU5W5iPcr9aY7AKhm65vgFNeQ4CGymQ7WEo6Hc5QMYKVagY+P26gOTwNiaPX8Vg0
AFYsIJB8kkGc22ojCcXrTufDwHMP0q9kbzM7gEyOw/YdnwmWVPm8L8KxK0covsZrqFvuk3p+mmLa
BfkgtwsHDzw79Y5bL11pfVEFjTRiLjB1iAphRfwskxZyyLMLnGfP9zxlUNtVSQjBPO299NRq8Tqn
hReWTf8Yp0Aj8sk51FBJhiWYbN+dIIdylx5VZIlTBYOrTaAadW/VIGpqNYR96t1DgLbm1byRk4Yh
nGdr38FrHOaHChK0uCj9UaFNLwyvcuw+ehy4xH8q6arr5gjZz0VCROja1bxKnOZRlxbgkAXE2lB7
1houZceiENU6sfd0uGSqPcRZCVDFygPTnVISC+SUIPUXpaK6nLjfxWqnxbieNUjYSffIh9sBe/0A
98tQoC+fdq7RniLCw74n/YQrNk0xRxtYM0h5XFqkWDeOvWBNC6iLzTcxxZDuNFA+quSliO19n+bP
hTZHNYrvoMdeyDL2KLFBK6fY+qrrZscLZ4YEmMmVWyrIK5NJbbGz4sjuSzxTthQhan+8K3Bn3soY
+4G1yP/cmfSbclywu+MEEcSctHiFCDlo02vgOSkWxyjdsBfJDoKKa8Ggeq2m6VAv4s5WTg5+XCKj
FlfIMU9xgzzQotmxRaCONzCTEKTPV6uRD4qOtyPIg6DpyyRgdqEBwemtlOaqGL0xyDPnsYBpY9BX
2YBdLRCvj+VjqWtIDjPvCglM4buQU/t5OyWBI+wX0laXjYzr0JuGS4PQzR9ZVYlomOJM+7/zN3Fr
VY+jjXQxANyWhkui9xTUZMAr54S68FfXJBA1qA7CZC0DM3pP0F2LkHgxmFNVsADadZylMT8Bn3il
bbVGP9H7WLU7PPTrNsfPDmn9tV/owZ2dfc/T677ODk7bfK0IaJRxzIF/oRDIF1Bm+JaA7C1vm0M/
zk/CpYjX3HSODLqJQQRSIw/U2rdkXMHOZZ6CPOHSnyn2VdWreNU543YQ8xgUkj7WctpZcjlB7Vv7
nky+nFUUxLANKlTuXRcnF0Nph56cpzEZs81s6guTRKAnsFxdI9ZTB55XO2kY53CfkmOkBbnrirbb
GWiTDsKjRxtRqKjq0zR5usL9CjmE22kvyJumhEcYsR5MQopLR6CWoeyXiLXewSPtvZ1b3+FL3q6M
zoMxrbywA7yK0vvKYLQcly9+cKmwNrNhtbhpf6FiKYIa5q6+6W0HtS6NCdhcQeVW9ce6tXb9AqER
620fWvBAS28P7ir14V+EkXNdR+Bq4wgU0iovk+QGMCtoevDKaGBew7w0sR+VRw7dgL1KuTy4UP36
sLPCR8XTgy4ICVQ6nAFVLIKC85deL4elJ2zF80dTKx/M+FcIJLOITu3BYrMTQbVVIkyrZQBVGx6O
i8buEgRQ3Ma7pTRVNGmIsFpbPUJ3k92MkGsIBH1e6+Yra2aAqcSpdKjj2/F45I2BCT+fjl6f6BtD
xhogRPsiwSAiPOsThOTjLp4Al5pxXUkzgORVgMLAf7WcvFJgeb5oIJ7NXIj6W54SH6JsZ20VDVsZ
nnYBHaqjthuETO38VNjHVjQ+YJc7oH5fOtYD+R3Vpgeb4Xvu8IAWkYUPsQY6ew/btseSKZsZBi1W
EaYuZJxWAe9QM5uwNKKEGZ24R+0BkDxJVsBxXnlSA32H+Leqxx06CF6mcSoiyxSIMLEdEqLdTa5x
aSvZdb5dScsnxpFwTrdwyzsCDYDzJcRrd0+m2SAyQOvRyRmA0tFhhdAWSgQXe9jBBQBVF7vu9Oit
m5ljQeQILVIJrYIqDCTFsxx3Lur5gxjiL9idFvkOBoCvcFit/HwBCDKUQ4Iu4Mjgcy1SKGBSZ93x
2QsrMnmnGjLd7chhE0jMM+ceNpoDRBgI8/nyvnNyayNt9i234z6g9vDcDN3W6rIOosxqD8XFRTd2
yOMgl8z69ZiKVxkPe8pQlkoRNk0CmRs4zkvHSBlUGYvq3r0nE3QFQOvU7zYVfwsu+P8PCDhnxf97
IOBqOBNkx6xKP8QCzr/8JxZgg/8SNnNdF2XQYN7+jQXwXyGYFR6H/6UN8gxE2B8cGSW/cg73SXAb
ghCXnl1V/sACqP2rOMMEZ5zA80BuOX8HCzgzYH8yZEJyBtULcQg+iCECe29Sh8KKASY8SbtjzZXX
31SwqIPE5JMqv48GAf0GiS6ltmf/pVg8qQYBu4JmN5/Lijy2k2V9UONw98ML+IP/e8P3/XUumA2G
gJEXY/b7ondHZygmIdrs4F0FrgyNEI6dd/t/N8YZWfmBUSxx/4i5BrU2QzQzj3bgTidoRH/fMG9I
5x9n8rYO87e3gjoLl2NVSIHOp+9KPfuhgr/kAOpk8aA5mazpeubtlWWSdZ6ma4oY5pMy/t/I+Hfr
4M2I79j0OmuzuOtEs0O9EoLueMvEJO/62ooWOECAn0gjeFlcGsEPEqqBoJ49czANexRl/Zm5NTlP
792XAcblEfzPQavQ9/5TkM9btYktvYM+ZmUtAxLE5IvMRKAKN5AMXnl5C2eA2JyAXSHO7j8zM/mt
rvv9NyAuKEqkU4Dw3hdnqxqdbh2Db9DyegORX6DK5Rto1khP9r0Xu1fI5TbT4B3tmCNhAIuJsqpc
yHuyWFupi9se2aMNnTMvyi2k6uvRJOFMbegGu0NSNyuPQb1XIRRY3Ho7z3yVZu1nPosfrCKOPQc3
EIZzB6jj27VKm7xBv5QR77TMDdSrIixHgDhcRMWcrSC8O5K62mp3WInUOc1cRnkNDVNbbwWEoSw2
l90MhDxPvqNgI2xL4bt0PCiP3eEsswJotKNsaDZqqgKbmL2WxWPByMGqmlO8mG+UjGvaOHCLddXR
0oQiyU7RRWy4yJNkxazlGOf9EDUCkVGfo4hGeJclFtzM+3WZD9fzskRIe48/38DnSb9/sy7siDmh
/DcY9O1DicuxyVuBrGUBq82ofeUV3pefD4ED/a9DMMf2sIVtT753rCNxN3oAV5sdOqasem/oonEq
1n0i1rrkr94w7fqEbJb6s3asv9U2/2VuaE3PIaKQHJVjb+eWw5QDwt6i2bmL3IGP2ua9fTFU4pBl
iLkWblaVQeESdfcuFsLAY3B3XXPTyPTYEvtKIIuw6LjuJQXxY1fhzx/Lh8uRE9vxXO5KwCZvv52H
dutUN6rZ9RPKsyrovM4qCyWgOoA3SX7/89E+uHM4ngK6s1B09WPOuwNtIglPxxYvYZwsqKq+oajX
/7wb+NlG4f0Tx5V2hm48Cbj/XeH8lIM3HVXZILRDZRXKaNtxDJR9RMOfzc/n89G6xXKyOZccZVjs
3XywZKdyynAiLXFz1ST0Ao6Cnzl0fDQbRwh2DgU4mh2/G4NyeAvNhDc7h7TX0OPtXVnuTKNQyFTm
pZ9X7UM5t99QcbVTuf5qjLgio7hrHf199tQTDCeiWS0rU8nI9SwLFCyKGco2sCkARnRa8ylDG845
iRLZBHNWfI1z0MfFmEOh7kKp2C5fGWhaPxGoCJiHOYsA+D5ybT1UEN8hVk0eQFiw4wCwUrrsi7Al
20EtsQSxZyhKgYdLWoCdbVE/+omPxkeLF6wNKBjESqBmzsvth3t/mrpKzB6ODYcZIGrVKhf7tHJW
g+H+8Kkf3UeL98fRzi/qh9HQv9p2JAHFrbzkq6OGQ946B6/57Ib4eJg/z8J3O7KrSZGyAauXZXce
hbfnBH3y32uZ8lssw388cN8tKoU+XVlbYy5112wqs+zHYor+/t5AYxMP0IKwbbB4bx8X6IsW5bVp
sxMpuyDa2omWXP98iI8eFbTODrQONuKx91uj7JulKvsE73+oLozTf53SDCXlfXP383E+2oIMob+E
Z5PgNnk3FRSdcyB5BAdKqgHsN6dSVesJjAJkr59M6Ryqvj+7AJFjsHOkiZPy7VMT7oCWbcbDUEP7
3LtdEkHedD029nWXzoGiwGVnWf7tS0BSRHUUgicIA6FeeDtoCed4byCd2ckOddEqnmsf182l20Lr
5XXfAap8sjb++uLeDvjuTtT5BKAftVi7PheoWW/INdpgHZrB+Sxm/Gygd3u276Cd7Yp83AENjUoy
OKhLVJcoLyk+mdFfw4vzjDiCUwdBjP2+ZWqSwc5eOsrsmF2mwE1J7mdU7SuiNhYqvEHICjvSlnhY
UEXv/3x5/nXNSORXDhamA/MPSc8P4YeDaY5nyBYWPuwKqXEzQJYYP6K7SNBDMNjei7/Z0uV8eLwd
791DTaiRMGefht2c9IHF+1soeD+J1j6eEiJWlIbSsyr17ZR0MUiGaG3YKeFdjGN2Lqt3UBq/XMQi
QeUmK0zYgUb8+YP863WOiTlwwDzH5y6CorejukNuGBD3doeyJOGPJrb9IhefbLbfXsfbLY5RQKZh
vwFLoO+tsTKkahwFUv3OLBp0oNf0a2o0yB6o27cQYtaR5VaRgu+M4Wj+blsK3I6AgZ5iy5qgyM9q
IMxp2PLalOqiyaxH3TLYGaC6M+6QJCZiRmjQnYxVb8ck/a6L6ZND6vyCfzKD9+5hI7qcddLVw842
yTad0tcYtZmF64x+Q8Uni/vDsdCCGEE74S4OxrfvxJ47jJUDC3Hd2h9QnppBrY/yN4he9Sdv5qPD
AnHpfw91Djd+2EdQeOV9SiW4Ew+o4tfORhGx+cSf67Mxzgv/hzHAU1hN12I69ZKE0lxkEH+xzzq5
fTbI+bD6YRA094S+mLB2Z+bpgnX0qyOzverI9ufb5eNhEGFzEGoI6d9tF5Tfigxdo7qdmOkaItfV
PFX7ZTGf7MqPhgHwDTW7gzgPGdTb2UxxYxRHA7ZdJvX1IHToFMWzMOPp57P57RZ/v6pBdNvgQQDk
4f/ejkMGgqyMCEj52rl7yLJZR44sH6mb4iw39j2Kyrfwp7/NrbMELDsLUzuwM4RmLz//Jh8dQz9+
kXdLHjQ6GlO02F5cZ/vOpqC/+O3Ph/D+GjpLFIj9Odl3a32EJcEUF7PZTTU6k6MIxpOX6AAcKG8J
2tT1UO+jbsW5ZLEazQocQNCZc00XLI1ZLvtIWsMc8NZ+ErOAIjrPg0rpDA1jYthQxHKBi0YfoR4q
oA2H0Dre0qy/I24R1qVYQ2z77CTVPoOFLJjFdgu5+y3sUKDK5am4t5LZfZmSzDz0g1ttJ5icr+rG
O46ivcozl4UiEz4arjFUGAPx0JAiSa8OGqh4Ikc0ZzMME8RT2UBYoQ65sVFPoPj9ZLVRT71X0GcB
comHkdTfOerMGq94QX4HasxedblzjcoqBvko9NsWe8ml+4TSW1w5MjmwfIYwtTOgj200HUQslqYb
8MxfBl2vC8/RUEm4UQoRBtdFSDQ00igablaZmXeAJNyVirN7xVg40f7bkC4hwtULgcQephgbFPue
Spnf2FZ+UfXepQBbDXuWlnxyoH60uphrO0BacAmhnuPtMh9nGY/Q0va7qmvpakAtGXqFDc8/X18f
ndrAtwTH5S3RZuHd0eBQO3Hijra7Ru1BqPP8vrMUbDI+cyD/6GxgLgIEyT0c3e+bILUZTaoeDd93
pRz3qLe+bRzx3cDb9+fT+XAYZnPH5YjM4Z3w9pnxAqe2rJd2lxmUpimb3/a6X7sy/yTs+Wyc89//
cHCzVBdzzAjejZoPKs1QfjAfKByrfj6djzY/YH8GyALLQL4HSBpFHNRmpsMO7RwvUlQ627x1fAUT
NK+vm7VztjT5+Yi/GWW/P1xxpCJCBlrCyPsmR5QqXXbKGXbtwuKQCzavIa2499x8x01zjXbbUQJF
9KSgiCvie5kY2LUpGx5g0wgNQZo8D3H+0o50k+d8CAnaXSARCwSipGxcLrwc/dBNukFlkQimwZ1W
RTefJezLcYLeMixieZVVVr5KTLu2/xdp57XjuLWs4SciwBxulaXOOdwQE9rMOfPpz8fetkfi8Ihw
D2D4wm2ouHKtWn9ARSZhQzAiwAFmvzd9Xr2NAhkX0qa1a1fALJtYeYJtD4HchVhSlQjRc0UGgeJZ
A1vH3HuxDBkgrl78oNvOdBaj/FtfDXhSXpjQWxybuXRNm/uVkuQHuW0BMkXVhy2pMzP6U8r49yAs
UVMD8KqO7alTiCQtL/wlRBAZ9IzwLjtVs3BlLA5cpyJ51PRF02I3pCsHuDh7r+huigwishPcmFqM
Ik1tb1oL0qsTXulm2q0arbpXmvai1mWPcpNxWzYMio85imjzOqAoYbKS1ZYn/y7yqTMm+ZpL5wvS
KebKy2vIBHBm96YtAmCSw2WdWWARW4VqfJ7+db6HP+WKf2s9yhNUJ8ShPjFa0GKtQPJsG1KXWvqR
2LyD15ICTSFO95kUt3dY9XwUXfWRFlBnOj/OlnnbSdeubl5b0GEfkPfqhtf1gLPN0OSFkloZUiru
a8iL2w75vXDtyqoA2oiao6/H3w0X4X5UfpJL0ByHvIzbtR632lIO2r8AsGwao7uVPH/X5L23bevm
ruddaabRw87+W6OZVqJsITRNwfJ0d3ENvCtSnqYPNSRvGK/ICUROsQeK+UKJX91yNAerugdiAsAz
uk9F/VVPY3Ohh/qh8tCDkFtxiZzidaCq15XqvtVoHDqC8pGKynWCipUYcHnBhWilag1cdRV6V0UF
MK2TdaC36ipLmoFaPtewyV3zqF3yabsCHSWSOKddPM+iOqHc1LKC3Lg/Z0gxeahJHGnc2ujA8aHm
dOFQC3abA3eva0sKsd1rjXWsCS9+7u3OD9bE2x8X+aNgoxkKiidM8orKRYmqLG4PKYiOsr1tq2xt
d+pf4DpuscpBHEB5SVBWq5BNC/V+pQrK0/kvmWy1IorU7UFlgsA97V1TC8VKr8gX7Axcs+a0wqZN
kEDRbV5YBSGaafhcuOHvR0egE6qlKwpJdZCRClABs6kJCIxYdxAI7e/ON+0z1/ltRSjD9cUwKN+P
nXsLgUJAlWXVAaqWD4U7kReRlEPWEDaN0N9ESfnINR76k1vwtmz8zWP+f1+UP2fMmfjjXCxNe0fv
HeL7VSDdukF814IaO9iGtoKxYiyRF7wRkNbb1I17JaOTslBhnoRtEx8CF7G4JHsIC32XWCgkSOWm
5OEvDGCL2uA7Q7/77ofeJXeq4Nv5fptccFzG/zk7RgtOkxGJCQsJfILGa2ATATwqbqzaePlKGJ41
MTyBRjwuS5ZWDQkuYF2DLr+OYu0DNyWASbxkno8zVbvTKLb+E2c05agsa66gFuUhSSw8xO3vhtE+
NKn1UDb2T7RBdk3T/JAK4Fvn407eOOFcU25i6qmyOErFuSgkNXtneXAs/znz5QDR3BxeUgQwsAK6
LHK3VsXoWXekF69Ri2XcG/bS7L2ZosRn/vrbPITDwh2E+QxF5nTRIVdlBJUYlQBO/OCy8dBc8tC0
W4hut24U7k9cz79JnnOdN1W6cq14KwFLWjqmfZeG7X3WBt/Pd83kDGNEKJRpBpWf0aYjWlzM8tSh
pKnjjpCU6Q0yYOg6Iax2PtDkdnMUaDT2lWSHbek7xSENE9Rd3wUdaqW9kZNgJuEauvC3LjaBwDCP
xeHJ4rSLaxNhpCgO8kMlOvdgIVe4bagLW9UR4RV+otf41/mGTfbgUbxRDzalJ+g+hdNDm79qYOkT
5QcMx5lGTfbev2mU/pufsBC4ggkV4oBK4LryTICRTr0W5OI27rT/5vT4v7Izvfd3zqZ/ljSOTgZF
cpIcNZD8EGvmu9sld3Cm1+c7bQLkwql7FGNUnnNEpNGgJWUH1BqvBCASXMCv8rC9TIVoaRsbDzvm
2NxHGjRCw384H/18b1L8Pp0ilhPwylSw5otU7xZWCghRsrSbUE/uvTyYkdufnh//9CY4uNNgXVC7
vufG+aGL83fMWlYtrtYoQfYzjZqOM0x6jgud1PM0julUWhalZX7IC+mHHMGngHj9ivbsTJxhZH5f
X//GGdekTa/KNYgMTMXMxuTDXwGAXxR6vhChELjVU+vPLLDJgGA6dB0ZC5XawmnDsLeHa2DxUtdn
PiLCz7L7TUNgWsmf5LDjyjjn4Ds5O/6NR6J5Gg8dBQkIR0jluBFv61x/lS3vFQ/oreroM/WByWWg
A2QEA2kOt8PRoKGaI4WdTVmlyoC+FiWQAQScd40k3yq5+NBqyqMSmW8+tPpaiy6btlydXwqTR6Ou
KYi0mWxipGenrU0xm4CClbJ9uaqxTggcmu42F4A6he2BtOlHHgWrztD4byhNiFp2ATHn+fxXDHvy
eE4df8RoiHujRO84ZA+VAP4jUoMO0dxr0EyIsbWvhbdlYyQmuUffXPpivbfyfHu+FVMr8KgV5uja
51mijYgeK90xkm+WVN53dbCtNfX9fJip+XkcZnTAddAOjNRgAXr+S1s7ux4WV98/JTBg/izQaOeK
JUOR3ZhDB+3QrSrICz2NDog6P6GcONN1k21CRcfkxdMivx+tOcTmKR5kbF6GmF3DBzq4WbpuS/u1
94PHL7TqKNRolLqurNXMbvODrTarDPVM1av3XMfWndDNvNtMt8ogswLNAMRg+PvRQVoiNMkTLu9c
RrbzciCQ1d6X3kuMCc43aSrl0aky/xNntIb7NrKEjH9Q1A0XahVt/PopyHaBHi/CbuYqN9em0VIl
7aA827EbxyZvomqwUxBKKGDatpE3M/8m19NRs0abY+11nmmXPOGF3QZOxFo2d7n+lcI2tVKQTcw6
nRL66RgVdYBkkUEQK8IkwvkgJJWTzRcGiCQbSScD9MLY1D7liu1mLftbJb/JeIBI6odB6TeM+2Xl
y7v/HmzADRjozVuajIrUyazjIb1kmye1Ugb6SQOfBPoMQsKbXNqpUT8T7RNXPt67j8ONJoTRFm7v
VFxpVK9dU3y7KEFnLGwp2FXIJHGloLSaBf7ODfKfkoiWRJQDGrOKa5TvIAXF/g8cQq5DW7iD4q5i
D+DXi1Bzyy3vXEhyFKp2FQjZ995wzXWuJk91Upe7TOm1FXpF204nmSo7tHY0D5P5LIFG29eqv6EY
8VY2nnhRCEgYcfP010nSfGGGHrd9NEOdXu5gYIJXcpQ7wUj3OlJKkIS+MHuOosijzTHQkMaGvI3k
i3Boivc0spdSCEcYJUY1nBnOqTV3HGu0O2aVJOi56bGVeOVGQzQL4c19mKszt8EJsC73sF+TdFzi
M4OoMnyHl3N01YpFYjWXospEKfRYvHdCSdmrDhAEzVJfJEj6i9SrYV0aApKmxZ2aRuhOwYRy8QCp
tYx1a3SfuOov7N/HHzk6ADspyn0RUZ9DnAkrJAiXqfMuWdddlM50hzqR/xwHGi/ZGmGbNiyyQyYN
UkjoplfVTIjhJ84s0zGmP6iaIimjNDuYsWMtpbRdyfBEJExQBCWZOc3nJtFoS2gTU9WrguYIVYXa
pef8DGzvvlTsmfT5EzR9plFjmLPnN7i26ApAkpjLR2qirWqXl6XGGMnROgZeorjg9V19X1rllVrp
B9De2BtI3o2RqpeIAq9CsT94qQ6zDVZuQB6lWfJBSpGxOb8rT/c/oBdZM6AjjCuQdpUiHWH5GWxC
ZVuHV3a+t9CZpzC6Ph9ostZKcQkNFTZ/nlBH20UIJgUKvgH2O6mWpvwgSzHbLHhk5NtyHxebFFxy
XK5yZ+7AnmwjyioyKFSV567RdhijD4wMesnJk8cvUW8gNWuh1Oa+5VFyO9PKSXQXwob/BDNGzXSV
AOvQNM8PmDYjMCahLOJVqVEvBRtqZOmF4havkcuyKlAPscqdbWfxpeMVK/yANmGUL4umXPko1y6c
vniIfP+7IOvQjdzKwqog2rYuFA1VPSAf/IgP7EbmoJY467ZKVcGct1V09KSdAsOjCiX7u15qG62q
PjBi7Zlg0YPoSu8xQgwAISVzkQYpwA0LJepc2hRYWSFZsa9Uf+m34vfcCH9quXIrlvllnxZ/sTqv
gWbs8iq/7EIbcqq2ilOsHVEZvjAjzKIS+akwcVmI0+TWkHVxVecGjHEKbAtPgtvbqv6HkPrVda/2
mPFAcMZjY8VHI74cPRkF6h9qF78hzgC7Pui/i0UYrH0o3xmoPAQF9K0HL30diYBUQiQ+SDCvtFq9
VbGP0au0HbC/O7ntf4QwJjzN9VbQf8NtHVu4EnhZuRCzYh1jXZFkUEKNCjPDKEIq3d6aPq6pUmOt
JCW/9/z0KoV7p6nmIbW8G5VH7aUPiVZ2kXs2BB2tN8ffcqqjKyxi0xL37oUm6NvINOoNRGQE7YLL
IGAR+ZqO00pQ1Zsm8RGqclC6FFLlQkSGdWYpT+7WqgwQApS6JiNHdJJg5YMpWBUPVA5dWlEt/m5L
XMHOz+/PmvtvW9tRkNHZQ8oYyOAW8wNeIsmNqGCqErnih53XJZra0mvT1ggsm92LVVnbqtOH56tq
Ba6u4JNa4PLSqhOFK0WS95nK0WVU5EjkYcGl6jm3vZoOCubeCkudfZf3D4lVfFidtO1zeeepgrvG
/OqqFBA38WR168nlRYZ+ttvzZpMH17GcIxwuA6wRO01CJq/eJT1af1ni72OYy52DZvX5DpnYWyiY
o5yqAOeUxN+SoL4QUgSHswOza1UE8spLccOKrpx0Zv+cOLyGyrw41I4Z2/FG7VVtCpVNI6ezXoEP
LVCvR51z5g4/EQSi8a/Na5RmCb6fl/UnbMfQ0A1Cnz1Opb3bq3Nlj89s/7d5dBRJPp2sviK32J1z
N3Qbd5WZZrfCRQTYFfoMW09x3uIG5xcf/okby4xmc9mYMRKAyn1fNK88GtQHVQ8e2TedmUvrXBco
px+mmmjWRxYJSRJJu8pMX6SaTdezf5yfN1N3Y/NoHQ3z6ugOnsla68Sf91VE9bTyI816xErzJTku
pk6P54NNvu8cRxvdxL0c3TPBgoPGc+PPtGw3gq+jg9OA0KvvfB2VZgHYw4Jq15VdtdeeLqzMzr/F
C/ApCOyvpGFHTR+lYQ52g0qPiOjBTN1brRDWUm48tnLylSwZHWNE3cCo6OOViVcQVXqflRmGHGeI
heE6tbPNfNEip3i+fyc2AdnUuD8D7oAaPqZSowMUKkLek++h56M1z1n8JngHWZ15ppvOLRCiAxYA
Mx1t59NJo2lJFvkBRK8wbC8cV7sReFVcxFH7qtQp2Jp620e9g9BKs+uVWl4gb76UkvoHqhPv6Jw9
O3UkLZG+ulKtzliGbrEepI3UKsCETfT3dRY/FlVw6VfNNZCfmZ1yOgE8+vrRlEdlvCu1AiIbvnoL
oX7t0SL2QbJbqDjZgb+sdIylELBFg31mTQ8n32+bzVHk0fSPUr0vK0DrB10xHo3UvdfLcHN+CsyF
GE1qEAsOjikQqhRBfXJV8VLK3Znhnw7BuKOcTWFobM8bYnilo2+THqzSfsav5V6ulfvzrZgs/Jto
fSO5yIymKHQ6wyLfk8y0Z9EorvetS+prFG42WRF/9+t8gyLUBdaMay1s14peDzD86iuEnQGOYaGs
qMvKGNDptJnjqR4k+7aWHzrTuSlKnF6a+PV8QydXLIsDICpHqjHIPxxvv53jpEJas5Js1/QXclvt
TMFbx5J+L5jWzMSf2uqHFhFF1QYlhNNYqmTraq0w++xKMyE7mRtN1z5ER931jfNYWf7MbjR1glky
+5AFshO+6GiXyL3KL60MAqGvCt/cNrv0cT/Vazi95/twCqIELgh8IvueBZ9gtKCVrhKUTGfOZzBg
tQxnTPSfJLG6c6R8T7Z7h/3RbdN5F66obXxTv4/T6qloDHlmeU9/CIr3KtIAQAbGGhMOrHJdq9h/
Izd/J1u7lTHCMOMEySDjPgytNYtqXajpO86W93XWPSdozcXguM93yCcXZbTP8Mz573eMr7gNBJKw
RzPg0Mf5c2C2IOqSH1rhrHH2+2bpbrRT3YA6robiY1y/IzVgLFIRi1avXoOvOzQYbS5Qqt9mqoK5
ioOMJe4I3Becm1zTHn2uPpjpvBouWma1qN6LrXPtxtkjenD4AmaBtg4LYWdb+F+IlnOD9wTo9+Jd
M7xL28q3VSBeqJ5JORLTz0Vs8b+SaRV5co3CtgNdrLrjGQK7pAiHDKNy0DvTMCJs/wpy5dXtglvG
OYbVa4bbMJMu6l7eARu5sboMRbzMBiBWKuum7n82tr0KIuXV0/pHPSzhsKPgnYbKzESfWMQKpE9N
1ciJ4a6PJrodK6KHlAE5ZG7uXCHciT0NzBFW4g39/NBOrKmTUKOpnqJmL1kJZxdtF3wug8WDiWPn
+SATGzxByCNwR+BKOS4+Fq6eIrtBe3wcj7n/otaHs87Mqp3utF9Bho84SjyBNbZIEpIKxsaOubOy
dGcj8qwpJeLMvjeVdZ60ZzQ+rSDlsoMbyKHRinCJ7JG79hLZuo8xiV7WKQUDvZYufU14SwanUPaa
JU52Syf3l67mXDStNYN5GA7h8fqEpyRxePJv+VNg5KjtXoZHAU4In4WgZY3/tRkJWz01riUF+fe8
UEJ8Y6yZDp+aOqIqWbDUAXqRu512eKeHlN4rjprUB+Ou+k9NrtxRq5mZPFNH90CExirbRKQelP1p
HA+mCR4mVDcVWd7KGu6HsnBTCu0t/ue3pYtnXWW9Ckm3jwR8amx5pm8nTjmsPEgZqJ+LgKpH88r1
M0GLMwvaeiQ8aC3SjGFSXOBGeIE4wLIt57jf05s+jI8BIw9ZekzKdvSuytO0o72Kee/zMJPI7lWu
IfYbYa7jVojJYbuXFzeYxSHLL3ONDBI2rHZmfKcWFAIQojIoHCE6Mcr8VA0pyTZROQERp0TyYmN0
9WOGprrWepfnN4jJPoZiLELasGj6KI9N/FLCIp26spDtYwxETZjgmEQhA2tsReMLWTPXGVVSAHqi
Rj0GnPS5TbPwxDjUpv5Qp8Y+ztun8w0a0qzxgjzeweXTOYu/c5clXQPToU7e7M7MOBvl+1QyH21N
fbPV6A11Emw/vWxmtUwN2nHg0S3fZ6EWeKOyKHEqdaMbtcD9sEUBVZ3D+E5VOk6OjtHCiNWmSQqP
ipnE/pcCTMdgZYUjLchJ5UOIo9sqc342SlAsarR6HDGLlsB81sWg/SvV3weVZiwC5gyapnYl6v3Q
AAxRksyxzkCiynbZIvp3gASxVUOKLtmNnc1tSsrQj78P8K/TZrQpiXWFea3OEeBUFKXzqt+Guljd
W5m4jgRvE+b5bdg493hEWNTK26e+TB86W1gDY8cEOuhj7LBg9fVtXG1qlMk37SDoL/n+NTg+f62W
zpXiR7CE+uamRrlYlXycZhDN0APzWqqMeCUOih06d419g7PgVVS3L2hMtTPz6f8Z5V8NHS1NoHS+
ZocdHpRtXy7rTn5LFROjoaSiGfVVIvgU55P8A1dhqtRB7C70vtq1Ef8Z15crzcveFe5c+6rHlO78
Ihsm2G9jwLOmRmZKbjyGe6ADQpokch8A9/hDF9CyRQ/+C5ugdBRj1Hwn1wrwUdSem1S7kDtxZyTS
te+jVNlm4h+2Z7ThBnUQYSKdsfH72Q8/d19RZixm2jOVKQDtkzlKAbPDEDvdmKADKHhIoSzjNdlf
AO0OmVc7mHCHr0Veb7Is/5ZE/fYr44Q+lWZyq8Kk4DRmkTohTrFUeD1Re5UxzQjCauaQnlr1ZD//
hhgNk1XFYY+zK8PE7RNet4osprDrYgx7/qQtXLFP2xIErL1Wcwc4TrruNXGj2MLMU9vwrb9P63/a
oomjUoXadprRxLyCR/17qajXWbZv2ufWbxd2M8d0/1wj54KNDiqyWDXuh3It/ObL4b4TYx+5ztM8
gZzdLwLLR8rNl3adUqL6XDv2GhzSpuH0XNYias2CtKqM+q3HsgpH42yRDGbAIirEtV3fpVm3DSJv
VyqIYjnxxhjEG3pnZos6P/YoMZ4OiVV4jZzm4pD4+zsPeLOttFde3/z3KpXya4qB3DwNYxcpbLqY
x9aucG9xDHtzRSTEz8+uuaaMdgAdjwRdT1idchTtKzt+wuD7ym2NmY1mLsyoSCT5hZ1kLWplGZri
ga3f21iWLSRnjlc2udkM0gaSYQB3HfPyxA47XBka0CEXS3iG1tKr0z2itWjr4tammQedl8PzPTh5
JhyFHE2GLhZrV4l59s8s6aaP7H3hiF+4MqNKo8IKsLShPnQ6EVoPxkaqM9/yAoVjmP+4CNza3EfO
t2RqkI7DjNIr9JHJjkS2NLnxt12Oi6iCjYETeo/n40zer2RRR5IVYV+KTKNUJlSLIqmRVjygi79q
Btd1p14pjoPxn/skeO1DaVgHh2TGrjKclSXx+/kPmNrvoMOgnsZBznVn1J+4dgZ5oHLfcXLnpQ3c
jYYgcaEBbrNCnPWS3flwUxmyjPURrpCfLJyh34/uykLTKU1pcxqZFd4XVfGcVO2r44gIw3vr86Em
h/Ao1KhnfYlnXzEd0jShXpaYH+B4ij09pgzn40z2ICwEnk8hMvJ4f9qkQERWyG4p4li4A6rJixHf
KVK1xvt2iUfC+ViT3cco6UgtUNIZ3/pbgAu1UjEttTr/ybl7KRb5Oq+tGywgZm6FU2tZVk1JwbEe
MO8gcnw8UqZuS7jUDgehlu3axqLuZ3yh0nYcYrTIGqtT8aiTyRtc50lomzWY38cqBpLSZvXMxJva
DXniglOhwnbgIeC0OSkOiWmTU8fofbFfIMmEXYuq39aVsS507y6o4FhgqXl+uKamhkLVZCgKgYQa
V24tP0yUMkE+q3NEbBJxUCykZSkd8jRbm83cnXAymoXgGngBFvS4VmJ5icAGxdrqgODUPuKIXa3x
+qDuZUN/sDzh+XzrphYYnOVBEtMyBqLjaZfGWLSrpQoDoM5lYeF1BTqycouSnDZz+E+NHcISMEeG
Uog5FrcFY6EVtsNK9jV8BzJ37+GfaNgVviv9qyX0+kJU5tBdU9Ofaa+yTSGBhg/XaeNQ9zbsHLe7
A/6El1GW3Je28Ha+/z4VF8bpHw+8zAudCwEFkdMYMmr3aeMYBYJX4PTqHnYyRs/bDFckRfNv+6B4
xHt9bSHdiFufeSh6Zysb/cZu2sfMdy942rzpk5BXEA95pMbHX86q3gw/XUlaWi5wMbWXPToXrHKY
Q+tIyTdJg7dNnj/1uYYqcL9NYuvWsup7V0d40sJk3Qtkf4EoYbDoDKPEcBL/otZFghkzUnmRYLSK
GRRuszhPYwCmYBHgZw9uXG6RwrsNu2YVtuE1qO+VYMXsuHW/dJN+hSf3ZeiJ67LTXvsas0BVejd5
ODda4R7fI6w90CkoxXcsBSizZ5dp632PHOHOrE0cd2t7i5PCNgA7EFqAR7CfKSzMlc4Px8TeSnl8
UC8a7mbol5yORs4zg4ATJG+EieIvmkTYy8DExCC48urInTmcPufPaOzRiOferIIiQDhhFA392BCy
CYC+QAAiIfqK/SNq5XrTK+qFT76/0LBJ35d4E14hpYywheiExaJouvKttlwUgAw8y9EIqSJzp8hc
T4Icn0q43I+64NznpustoRX9AIe7B6Iu476QXkth6h/8zOLlygKwEVkoTOi2toIVhcFhmt7i4Uad
sbeWWYNNQsW063M/XQqZ8mY1crEwBKxubF2KHhvNLRZNpsuoAgq3CrNwkbviHsMEUtmyvQjb6ClL
++e0TDA+rtSDhy0Svm3W3quoZOhKvKpFaVeK+iLrjW8KwhWBNqcxMLFBDXLAuqHhfIe2+mgNA6MW
y7ghocfwiCxA2vjld82bufxOARAoUA8JFHq91IxHUUD2UfECP3FoW0rERYaYk9Ozx/M6iwOJd622
xUec4IkaqHG6VvLIXZ2fuFM160GkCMEiHAgtygunM1dxgkZMsZ4/8ARDzpG/pJpzmXv5Re/L70Wa
Pyoi1mdWd+Mm6QV6uVf8yqUjmZvz3zGxZfIZeHkawGHp8dERm+OMJgAO5bSTm3UYh9ddbMycBBNr
VNN5lMPS0KSIPGaUY7qVtWJroIzsY36rlsk3IWaDNJK9I+RzS5ReG69QXv+4OPHAAgxvOG6PUlWj
qQXLLqm9waffKWK0BYVJtVW+aqz0K83iGZ97rWxQ9R8NICrilZ2wpR2KIl+VcXeLYPjWUTEMi4SZ
yTI1SPpRqNHt0yi9KtRyyu9l5f0V18pTyUVjZif9hNf/6joyjwEhAPln0H7FkVIdZQYWIvQNuRj3
QFfail70GtrqUxVg9tp0QDHTwvzmZN19a73Ftb/vo+pRxQfXEHgtFuRnIas2afpNkfDgE529FD73
org3PHtdiuIiieMtVq8bqYjeuw7fbLd/Oj+PTyfZ59dDv4VgBh6GV63xJAsMzI/liismIgH5tknr
hyxz7ns7cVcW8lYznTURDWnAIbmhfsarzqiv+gBZxVJt0oNbtwe3THZVIyJD9+HK+cwsOx36oV3k
MigqSgA4ZJbRKFLbZHjXhwl+TkUCx/VbYlrb8z13uuH+HQHSMpU5ROnF8UtSbJWllCtlewARu5aQ
yvaWdubN4CEmg6DMDOQF/J2hjbImqh2OgFoHdF28v3XvNs3AoSj9zLCcJtN/N+UoytCZR6u/SOUC
f8S8PcjeS6Y770GLw4GSXPZJ/uDEM5ng73OAkTkKNjT5KBgw4FrFpr3lReEaJPoSzXwHbhX+8OfH
Zy7O8PejOCHzXcgzuq6ARua9a+oFAoXnQ0z2m4FIPm4mFpvmaHQCJfMtEOPt4VXBnVLFEBD4XXlp
zHFoR1TuvwfoKNBogFBp0HWsC9tDih8nkH/delDee2mrGK+qdKvoX+m6o3CjIUoxvBdNJBsO5Q63
Mc/HZXttmR/nO2+US/zeqNEAmXhse70T0ag62ytOdWVRf9ZUe8Xms6F8sWw6lVef4sYWrf9UWvgn
NEWt4W0Cj6LRGUQZwI6Kzm8PCDdeVBerOduZkSrR7wFGJ0/pkMzG0CYPPdbaovKo5hvcwnok3lL/
orCeZblZlOW13++r7KoRrhCuWJ7v3skN0Pi3iWOwewz/GZC/0x461XnvoYjUsndzPsT09P8VYrTH
SnizNUFOCLXey4KziP2bVL5QSx188B+2Rh4tZt4L/M52WWnq4vl8K+Y6arSIKbULpikyVM1afIZq
9Ge/Plq5vtIUTR/y6+lrsy7z//7rFKy4vg2GIBaIxdNucZsy1/qKeRxuoLjNDO9Ex5z8+KjPa7kL
MIWgz2UxwdrNSF5aUu7z3TOxSZ/EGHU+DsWF0GR0j/ik50+lWqLZsjGrOVXyiWMUwyUygUFIVTL0
UT/ZlQiN1CZMlF6CQVvGHW8rfxpk1F9uJqY82TIYRbJskg2SmQqOo1/or6OGjPur6ZIAj832kLv5
lY0tsuZfeaK/UBxz9WeRRhPXqqMitBUihXm5toOtpOCJ8sZtfGYGTM6yoxaNzpquMQr4KcyysF/h
aW2szzdjYo86GfnRIZMif1bjXtAeKumtdZ/sYiUACmkfvhBlsP8BqqRxKx1v92mIu7yKyOzg6L6M
6r2qLTV/JUtP5+MMv3N618De/lecMTMyNt0+riI6CyXgXtnxYmGvLB7V/aVV75O5UuRctNGqgSso
+9hHNgc9umg0fVs5VBX6atU4+bJM1+h3L5tUnNl1pnKdkzaOlpECRLnh+Zc2puvE/zHoYooXYnRp
hN+82lsIOE+f79TJPYiqFLaSvLHxrHG6iUay6dt6z0wv1A1pnBFuVbyIZ5bTdF/+CjLKOGKw373Z
0iqSUnRZXzv1NVqI0k/Q31z8tu3b+TZNbXhUchGJwJEKt73RPmHrrS8Zw9Fc3SF+Ub442v58gKll
O9waUfKUUHMe76imUVRVTSnuoLzI6grnzT/7+dEkiIBpstD4+cH2Y5nP6d9Mdc/x14+6p5WQ2fnc
qlsEdbtFABmwKGZqZVMjztsf+k8D2wjEyOm0cvBhVsCqt9R/t1F1JekrKV16CWrAe6+cyWcn23MU
azS7+rTtvSghViFtsmZpr8mcvzAgRxGG1h7dpiwjjeIKG4wDBte3ws/zP37+8wHenv64T33kf5t0
hPFLl+2Kuce3qVMAACabJz6ltGL4gKOvz1SjFot+mE6ZsjH1asH1hhpus9WTK8P9wmBQSAMlxqsl
gz+aXGZQFmo5XC66J6HexO3Pvpmj+EytvuMQw9+P2hNBcArwdG8P2WIzl1NO9dXxb4/6qiwBkrYx
22G9UeV2WS+Nbq05r0G5Pj/o02341OdlzwWSe9oGC5xd1lt2c4j0paosSmcGPDESIvm8gykwcQcB
4CHAWM4urDMuKB7Hl1TwJCSEPAs1oBzDA2ZwK0dyVr6lPrt6sPNCbY8U68Jx5bUouRvw7yiiZ0vJ
usiVa0P/s4aPsSp5A66jGRpeXDnr/ON8r07tOiYoRZiUsL+wahz1qmhXcJf48c4pFj3l9+gJOT1b
u1H7S7mdCTZ1ch4HG207dZDoSZ0QTFHWtr72vGfdX9bxf3qc/3sc0eagBD74B4xlFivdESul1GlS
f1VkK1lZnu+yyYl49PujFFHCSb7zJX6/jW6aK0O8+7OfH41IbBSOLbWYZgfZokaZdiZ7mfv60Rik
vYrHk8fPO+uls/rCp4PLR9PW4po/Lm1nYShIESCWg7y8nilsflItx6ns4OX5z2+PTnhTTGstd/jt
nhfdVSGuvSDAIWQtr6IfDepm7UJploK2RCKo/bCD5aykyUTHDRwL3suAfeAgOhqXuk7brOJ59dBW
Cy1YzCzyiXV48uujYXELbNn1ImoO0FluqszE1bfFEN0KF42AqGYefeB8A+6pnjl8Ru9jn6vlJPBo
W/V9uTSVgmZlVfhohlfeoITs/4jrq0BOrho/ubQLbWmU6pIX1eum2pf+TOKDtiSbzGhsKb8DXEMp
RgYBNToBLaPNg67nmmJVRrQ0a5xetGapZfnPqFBeGsWiIgscYCEXwZNk2c+pKtFBlf9TKvxXcNDl
ykzNbl2k6qsplKT+dRUsLEHxFpWoPTWp8mE4vkRdLX7O2iz1FkaXxthim0+5beqrKFKuELbahlaH
iqgSWWu9z78nkvsT4PxNGcThgorAX9QA7zpMMOxG37lWcOto3qG060dTDflFRTwU6HV2fJ6oKvki
cZb4CTSQBr9VgvkNQuBfVVk8S3l8E8vxrZtHmBB0F4Ui3BYuBMUw2TYJAgy1/o6bQwQ1232SevMB
Rb83VXM3vawLS0qEV3giIUGv/+yR6N7Udr6hhsGjiN09xK61de10r1DBs20jW8p5+BZ05k4NFG8X
deGl1Zg0jhcXCg6Y44VSICxL3RMuWj9scAKSn1JBUXmkBkca1+ZSa1NzoVayvfKsiPVWOp638WPt
OoPKtYC9aJMLI6EgpoK4h17GUzxM6YUe5N5WS3JzJYQNzgT4dxhZ8Ii21YPS5hC1E3Uw2lgnA+TH
EZpbTzKe4GmgodJl92SNe6mWpAsEGg5ZKsFJlm59S97Hdf6Kws9VKbmPhYxotimCjsr2USVE/0fa
lzXHrSNZ/5WO+84eLuA2Md0P3GovlTZb8gtDtmSAK0gCXMBf/x26lyuVK1Rfz0R03GiHpMrClkhk
5jknsoi2Kgx7AF37SmRxkzKQkPTZNvWaPgbC46nOIMtakvZH1aWQROiqI+PkFiJMQ+D0ZbK8kp0h
q75Qv7LD1lX+lRN+IU76sMkX//I+BiswPohLwjmCc4MnbmgcQdszy2vv4QuX7Ac79kc7KhXQn9W8
YTsjfoFkAPiriq7aqcIUod3lJ1QlSTDl9mNLxVfbyi1s1WxbmrpCmaDeeXNVgw+Am2h3Ucq8+49v
CHw5JNUW+nUE7mfepmcAoavKH3BWQEOAzba2pHYlkLvkSt/ZOM9kOz2KH7xLhy0okW64P2XBxFFg
Pbjt17G/bd25CtBCeyXouGgUcsGLWi1aV84zqzjaftVUCopplhekcAi8HQMutlWRNP6umK6Yu3QZ
AYb3b3Nnt6EswJnnqXmEoKF1Y7JjY5dXvPKyTX7zye8snPlkVzQI7FtYaPWV5A8ZyQP72+eb4VLq
BkQhGIeOtMMCsPu4VVvbLNHTpo9bX51Sceezu0Lz165Hwsy1knIeV5X76FgybqE7JGaSfG7/4hDh
7eDXkOXVz2vZme+MdQ4Jnq2oojm90ejh6qNlubZ/m8V3Js6udQCuTEagg76t9yoDMyW0bFlYkTBl
UX0lQro2mrPJTJVdgUtTIvt2yPBGAZfT+vPpurjn/hzLeddfauWaZg7DCBKZ0Lh1r4S9Z83e/whE
oLb9r9U4zxAJt0bvDMFqWMU3IQo45S4MWwb5qJUmktpcZQVgeteC+UtVRezBP82enSSlnD5T1Thu
Na19nDrttnD7YB4eqvkJFywQihCXy258+xoO8+J1gHgHHanITP2WYuhRiaGd3uG1qaNPA23l7ZOf
7i21ESr6fN1+KTf8tgnfmTp7sEhjpkPatuOW7a3+aSJ77oNqSqzbMsn1m7T81rBby9oWVTJfeSpd
3JPvLJ/FzBk6tVubNgjaQTmFfFM06V5UWcYVMxd35jszZ6fMJEVFDBTOtpN/aN3Iqt4+n8Frwzg7
WmXmDLZVYq3MMlLbdA1lnP+TgfM8fYc+IdZzDKAvo9rc6+7GvwqXXBz22S5AdzAkKDFRkPQ8f5zZ
0pqH1pmhOP2MrJn/fUSA2mxLP3HAsm6JkMxp0Exe0FnB54O74AM/GD47YVmfiq70Ybhd+f2RmLuK
bRs9kKD/vZYjunSaP9g6u7VK082Ba4UtMFEFg5EGtXNTlqem+uH5WdjYV9bt2tCWjfkupqt7Zc9E
GAg1oFIYQeBMBUwYIvQKwYNRMpnUI+AxTn0VKX5hS34Y6PLzd5bRwVTVgIbA8pP24j24r5+v2YUg
EiVi+KUlTluyYR8/3ik13SbthHnUg5klmRbURuKPq8+tLNPz25Z8Z+Xs3JaCaimroIiqXpqjeWXb
XcoYfBjD2allaH9tyhpjQG7S7pO5Wen9WoEHpj8M0DSsVla+lXrYWDe9tRnmMaj7W4K+LAW3/38a
53mvrU/Goa/VMGyL2X3Iib8yGuPKO34ZzG9TiaZCfdH8AILobMHmeezK0WuHbbPJrFtr2hlblF4N
vnPrK4u2fNJnls4WzTJrrzQYLNHiVaDRHF8pQkvvLExohl1j8ri4D98N62wNXe6bskmbYdtpOwqR
u7Vh3btXDvHFo/Snjd96lEsyEKgAgN6wRXQWiyqU14rjV+bs/HWQ1bV0QNcxbJGFkPYh3Rcbd3ho
xiv34LWRnHlakBQx5jgYSZWFnanvHC2ZS3nleXXNyJmL9UsGYHuJscw3MiAP7Mr2urLi5plLLc0K
TGEGPt5gkByNLBuKFvHnx/HyWUHj4CIjA0LMZYTvfKfVGTXI8Hs8QlWAPnzICzkBmav9lI4Rq1WQ
gTY3BbTjc6uXMm2eh/Thv8yehWFYGZAUE4ELOEX/53EsNoXxTRy5iIBiNrsI7HWsjhW4OTefW768
YuAuQc+xA/misxWTjrmoD/Nha91rRuA70ZVtd3nJ/vz8syUzwI08S7BrbUH0guLu5D2UHsg0Xj8f
xYXGacCb3D/NnC2baUDfuqXwBcB7sqdJTzS5EizsaJBCJmZvbOu7fF0k3UptXC90s1DShCf06fOv
cfko//ktzlYR2t1TzjgmkxmRdUc2bWSv6itb5WJY8W6ky3d4t0EnAeF4acFGA7ZmKKCLNblPb7i1
l/8ZUcWvRxdobYgLFkbUStAA8NEShNml47RYOmTe7VAHPzqSMiB0/nzOLm2Qd1Z+5X/fjacwHeFq
XbFEgKb11ZHRlIeOwa9sw2WbnV9M762ctZ+kPTENzcqxDQ91+L+5JN5/+JlrlRygCxB0Dtu0WsFt
MIgEX+3avTZNZ+e0sd3OzgFi3Wpjc0hZl5DMjKxmApdelJFXmj5UoKqVQg9qZMctP5BFG1sERcrD
mNpXnOQvRORn03l2qgf2Lz8/Do+6j/AIIohgnk57AJ/SoohBADAvoiLRaKVzmM2qBq25GONpHmNb
q9IdZE52ra7oBjTDdZKJrPjZ2c0QuUs0TPMWuZCxAPdoYeytIt2An+HkFwps0sAjhzIV1W7oM77K
siLgHGSy0GZ5ED2gf27OgyrXvlgNsVezPdRBikdm4Eg1BDWHzInPuBE6RS9iIJKr0Of2s2iKK/fg
te125o5ApV0ws8dqgQKnDvm1Ot2viO33+QcxHbAPCzzhzAlAR6X3VV7hnk3sH6UdF+W6HsKyQVYR
0MHA2oO/P5xR6DD9Ff9fwCHgF/40fhbkQeWC1aD6gJe7yaJr7JwXX2nvP/3M66hMtEYOjp5tBTy/
3jS7htJQ6FUg+qe53bfIz0Nsd11M1+j+Ljnvd4bP4zDR5cM4jjDsBij12DfdU94BChp97u4upbLe
z5555iyKsiRs4jBTZ0H6KLMgscBmIQIrmSLPXav5SurvqsEzz+G06T/deD6d/CYSdsTsTV6ELXlx
nWPxn3Ha/OvW+PfuOI/R0hFIpGbG7sgeqzyyT/KaFt3Fu/79Qp0drqGwU691sPl10MVC9DSyzKh3
EnDJQ6ZRmkH+rA7F2yAD+g11nqYOHhz9hz4nBZ0DCPF+vp6X4kUfORMLOhZoYDuPF3skPlEywsUS
wHE55pFU+x/zSfSv5JoS8+WT8c7UWXRhTb2bSgZTvIx4PDhrSxwpiFYewTx6ZdNcPAvvTJ35l2Jh
m0D5B88e3CA9bhKoEwLDzCNNH8LWupYFWlbsN3eGPKv7S/jKOA9Ca9RdkLTI8Navu4ilD4LMSVtc
6Tq7YMQ3QKMMdjXAlf3ztMUMgROLmwicuD0chWuEWXnoy/8MJvhr+3+wcuYc+8LvPKPB9qdmHxXG
1xml6c933KUD/cHEmYdsW9fEnYbF8YYcDZ/ICUKGWA/azKdoSJ6SwRenfDJIVAlccEUNknF5NWO4
BExnS/b+S5ynLVyNW3q5zGYS0eAqDvJC0f/Dp5+Fa8LyxkwsrwY5hB69D3KyeRbetXbxS8nvD2bO
fDFxIBSS6jDjFcCAd8ZEYtKlVVhJX4+6RYQMijDtUN4re/pZzcU9N1AAR1UoGWf2tfP6U4r5/nx5
r2zTc6ozXwFk2Pf4Tk3bhqXr0XCQhAa9tLMrG+myJSB1oQCERB5Zfv4u8rb8RlYo4iN/kiYQrdJj
9/nzoVyIgjC9fxo4c1gNQM1TVcNABTIlSkmQs+bKbF1wVB9MnDkqb6SGpA5MDN4m66DlMu5kWceV
Y6A3pnr4fDyXjFmQjIbaxy8ipbNdyXzCm7JU/bYcyLPRe1FXfsVVt9EIWzMInHxubZmd8xNGkIEA
+ZznouH07JgzTgcrY26/FXRe5eWkYmZRK5ozFjpZtvrc2KWlemfsvMggDCVBSpj2W9f6oksoUV65
Jq99/tnUuY6sXRwyTF1r1wG8Pag7NHLFCJz5cmLPJ+39ljtzv6oxVQ66c771R01fNz1d+nMszTnp
WlnFmSnGYG7LZ8uBejtLobNgdWi5YSuwg2+aTNy6ebrLdZRimYH25MrwQ1P1FTTlpoPp9RvbaG5E
Lx9tWpxK19gXI6o+biM19LtUCspJSA93eIGoUoKNxPjpG5BuhE770IDbb/babG0CwBVr0/QyUfFS
N40bgCxLhI6mQPwnnNcmL+/nInsmdJ5DPSfJwMFQaTIQNpM6DxzCt6WRb/rG0wPQa1FodoErWYBY
95Ab1t2YN7uxBYjT1pq1XvsbbeAgqxiyn66YRNjjXRLW2vgMH/Not/NtW5hzxDvhh9BWCQ3SoNEz
Y81ODRlu4m7cOEObWCP5qgMDHWgONH6l/R3sRrHJwWYPTrGQU/sFXR03We9/oxCP1IsuMicDz7DJ
uDUIepyUTBPk0g6VRYpAk70MSq0B+bRC+iJFC0ZXirvZ93eiIhG6Dz3MKGIAqu1VqkdmC1AKdfWf
Jsqlge6MkaXQCNY6aQEeDchGgREuoV0R5paNXHMfOV33LXfd0MYmdho9kQJ+m5Ms0azGDJnEK6n2
5JHW7Kenmp3RQ7nW8JtNM+ZmWNt+WNeTFRQ1fy00feWx7k2O7Y0BCauQ8AWJb4iXfiwfCrO59ZCL
CWg3bTrVYRP57U+hFz/l4G9nT78xe/WVDUMXlAxyWZrDTo1UNOZVJZOuK2M/k13YU/2kgIuKbHCH
oeFFHqyshPSeX3sg5TYfNJNta66zWEMOL7KZjYYH/kMnfO1ZY0TRpGVl/hZqZafB0AObgry0sR/9
kW6dzH9BqrKK6toNM6K+dSzbQ9wPXIjZrS/JtqRpOIGzeJROVHZa0g6g4SfeF9pV+2HQQqO11jUF
3y+dj2osDkJlR2fsJVqFZJhC9TC0e+s1XUahiUGPekoO2DjfdYsm4Eg5NqTfpdKIWqm7QcZ5bHvi
zuDa2s/qO7ua7vveiYrS3VZ9tesm6xZv9kTRcW22VrVy0JNEGIccXdWAPGDMBQgktGw3CjeGelmE
VrsRr/k0kiJbMd2IwaI+BDTvkP5oIwfEKDlof6yh+45kRQh2na2myK7OQbbacyDfbeCQdS2SjIde
WX3zR+PF1KZYo3pgcuRNMix+Nz9XCmq5ZTuFee1UqHRl0YiW0qlHcage79LMQ2nA2+EZgI5cpGR8
nj2PSEWGaGmBWqDr6UktkYJsD1Nm1pAeY2U0c+B4OQshp/bVm/FQMYz2ppUNpPjSx0nTQVrkVFgy
EGablXaifHjuSv6qeLurfCcBLgHjLKpvUnO2LC9eLeRR3J5vxhRENzmJFEl3nFawsW+rMdK1HETv
FGhhd82ZCqFFsFOMtyF4UyOWWwfmyD2Ur5O8AXB+nPp7NIbtTYO9gGtuCsq8u+kc50h7ufFnMyCp
v+ZNepQdMpCNcBKZzms4jhj9j9gC9dbL6ROZwUXWz2sKImEOGS53mpLMkCM4idB56eXNW1vmEjpA
hh01FKR5S3WZD/mqENOmtIuNPjdriKbBZ6DpnLsJUZBsk81dpvhuMtIqLtmwhqTbGCg2/rDa6c5x
AFbx8eSsyxPt54NO1Bua/pIMQGk6NhCaKW5Ms9xCdhIphM7ezakRd4YW8zrf22iNZJW1b4VKRkvc
0drmYdtpfRNkpZqAtjW2yHrRldSKp7E22xAis09dU4DHhyChBDWYkz+CC9klAbMniOn56DpM15WG
G3uy4TXnlZbWUdqaIamLMOVyBxL1tTSgLAi1tay5selhznOoE2J+9Cy20RHRm6+Eyt2AyFfTrBtg
KI+kmRNmaZuKlHcFrzaK0aAVFFRGEPHJaSQ1Fun9fkTHXuHgbDD0ZhVwOtQG7YMdqGoOZhDscdeJ
+u6tqhQLi+anqOSqYiWW4RbkBGsQu+DDHm2NwruN33VfhZ1Qh5x+n40WeqqxoyOXTqfXXvZAans2
9mkVT00fuZwnNYOer6VvKrSuqplGQ6kF0B6A3CG6+gwjAqFQVBSv4PW6MVN10ztW0OZG3CKTWUEn
sRAz7sQ59FMvMWtozy2Hafimlz8bvwxT/XYARhUkhVHRfUHLQqBVQ4x47aalgK7ac5jnaWSk31pv
WBOa7jOoDnpoUk2hCU24pgW90YYev3WaCpJbfh0Mpnm0JicUKCN2ziu3jUdofe/yYTDC3OB3pQC9
CLY66yugPFYuy+KODnEKKYjefqnNPBr7IjIh5ah+IHv5VZ8QGBbDajLnhxpdDH7tY1zPvu8FEOOI
fDQsd5lC1bmOMTOxkv4BqvO7VJy82Q18UDrWbIknuIJGh79xkFMVZZNA3GVFa/3Ee2elfH0/GP4D
tNDWkOgBMYwqNwjvtot0I88PCp9Fbww05dKcrHWqDUE3GiM2zl2PiEQ1Fm6T/Jh2e7f+bognsBKB
5uhYqSakOlQe3UDz7ibxzUtPEHI/ZOi4mpxD4eDP7DvRWejf9daVZ8WNhm3m97vRgnyjbINOR4oW
6FGoY1ephZjCixSEaDz92yBEMs3VG+lkourvPnu1WLuqRi/moOjtzQzHoQb/k74iuRsJh4XZ+HXS
FnKb50avE468r9FuTK/bMYmW5qFdO+J1VnmQZiLAggQKjGegog2rSQ+8dgp6QKcbcwjYLIADA+nR
qKJyzNclbZMOIHQjayCzdpvnz6VD1qaOiGEYYxMasRDgcMJJyHAyqqjy/c2siTglamvWDtR7qheV
5aum7lToTMOqBYtkCUgoGke7OJvzn43u3Ba83oqare3emUNrKhPUFFflqKHtePrW1BK9y6wIwBa3
wfMFT9uBhSyfb4uc30pNWIGeyhsy6qEp3HXrj5vc1A6u1fwAr9LRYs2K1dlKFarACHusun1bGfOT
S73nNtUCfRjxbC7FbVq6kF5wHgdC26B3u7Uxjq8geY+nsnpLLR2MyfWu0ofXShtWDrLqoSnbdm2Q
6hEODx+B+9l2U5p4Y/siSYVsQ+nGbCQP2gzbmOEjvsQJPI7oYxHyizf2z2gbQbwJNcRaqsDqvDrM
epEwczpQf7qllnboRbGxWu/YmNqbhlT9WOq7ai6TTvno1TdQ9MxWYwqMlc70VdOn8C6shMIo9CZD
S8+wqjnzUUpwtkSbXkZYD0a9uB9sqq0opFcRbpUqclyF/G0x+Ecz1161zMOKD8YdgvC73JGQDKdm
qIgKea+tHQe6t8SBFp2mx6iKv+iT8YzG+BfdqCASC1UdqLOp+6zNN7vCKVEnBQQsUgMxIzzOwh6h
HQjfHrju7VyC3uWh8B6otIbQqrpXNs1FkOfus5/6D53509L8HaRPwMnYxdCPwEtjEdkEw1zQEB6b
Aj3ypoc+6x78k70yQheRVemzTc3opus52NLQpuJj308FCTxBqqDU7dUOAVuM8IuT02g3X+3CP1kj
36EFHiIKXcxme7dw/Uhqbng3nkox7/tR3pGyRB0me8rqCrp/w1rzGjPwMjeWxZRYYBEMer99aZt8
r1lgteOZOI4pCcYanNsSbBQhWFzfBPSUojofN3NZPjakEwBjGICE3MKPxgjNtxIQRrC185uG0S7A
ewd0Bj5imDEDCAAEinyYtR981JCX8wt21HqILsjSgAqhjFKDjjckLUt43jwBMacMGm5uvKn5iSMI
+HMZEzA5mqqCiKu5ykl9yHyOe3KhurLqx156j2Q2t2UN3zTPAM3YbXGTLpJzpWYdDA90mJbHZazl
bh6pznpojfG+LawtKFZLMDqWfZiSLo+0ob/N/T7ErfjUE/pqoKcmMgHpKH2AFGaQsCCORqxvms9g
73qgEF7v3HzTNX4TdgtkIB+8R8+hx7FF1GJS9HWaOJYu8AVzZvWBKpgf1Av+gOX8B18QCbqfP2FF
+lil+bZdUAsFj3m2KhcsQ56zdb2gGybAHHhvbj2E7Y2bP9SAQcyefCoAi5gBj+gAkwBvDUQ9gJto
AaCYAKSApKYRZcJ+pHQ4NQvWwgLowgT4giwoDLfs7j3AMsBb10AoYYikWXqRUxbZatCaFI9ohCpC
M/VN0YkuZG2bIlACtaEFlCMSvWgL840cp2zBhzgLUqTOnJhrCG4sPqah6TtVkukt3YC2aSeBB9ih
Yx1PIxQJ86VcOC2FQwsVRE9rFM6AR5LUUw48V+8EAl+zsc1nH5W+IJ/25ag2mA4wwBHQzS8FvrnG
EbcyB1yLDty0AEOaKSEIjFJtmCpah54zWQffwbd262Jb112+mip35VCcPEv51h2CvfHYQ3QlsYci
scQwx6WyE0I8RE8NUuBoa3j2RHtokCcP/ZYi9kd6xsrcJtY1Ejej2EpfewRDHVwgFFKjoUgj8Mjj
WT/nL9lU2sACABAw0PbWpy5Ujadiq0/Mi9Bd3wYpaihBIas06HrUMCgRd96ICA4yKXY0ZEhBMouF
o0P6dVlQG6op7OtkDz9FO//sOcQ4nCxV6JE3H6rWrcOC6hnij2ZLZ/+7O4pH1ymPvTmg9tTpd+UM
99TU7Y625nddm8zAnxneyQvUqq26l6ICiWWWGqeBz/dpOaKLMcXUZx17qSryzCsPcZWTH+Ymw2af
8jZEtwkLyzrPo5QAsiw78r1x7Be8P1Z6OzfR6HMtYhLic5XwV4NP44w4HGJeqGB7SJdEKq2RG5nV
nmjiyc7s7MQqqSUNwJuxSP1vhTfu8bCUi5B0EegTrucCMiMh2D9RA4Vnj317ECvPB3XkjA/1TTdb
0blBQzWSbYGP3AukX4x7kQIU5jS9EaLkaaJanJ66dnQjNpCwgnMINZadvCn72tDivkCv3lowkgHL
Zd50fjPhiTr8mGWeuA6DHDICo1A3hpvlCgqaZn6xJXuobHGfzgzoNackW3Cuo4lcFG+j/KoxCNx0
BsRVzKKESmjt3I199wXKPj8H3zBviJcPUdW3Ztw5eAQgS/WEfICIOFJXUjpPtVKLC0XMWLiyRvg1
TyF48r0EN5CDyw9NrS5kwjcFn6sVI64LBJRbBe6MSSwrt7zlU3GyAAlCg7c9JiC2Q0FNm75WGi6Y
CcQPiRrlfT0he9XoXbMaLfliN4h83d5g61xaAP1RgXu0BR7RqG7qDPLdhL15NMN9ld67Wl9ue2e4
G/TxRTAnR2dEQVfcRfBTyOyZTmkXUat1VrzyN6LD+lnI6CL33twyS0cQaFlrBypSJ33WwMfbmvup
n/rQzS0LCZ6sTNyeuIjTxNYwcd6QM0hSawaB+IAen9ZFC8E0Ez3sDaPE+K0TSv1T0PTs1PLxRWf9
wcQjkBUj+leLL66jPRhyCFyR7xthtgkEXm9dC4KJrna0Oi0QtdOEPdF+SKv9iZyNCtFEVodz20Ad
0KRg7PVxegXSR+ZkfyVaOgXCnlbEK/N9Po5+yLB999Lle22sywQdqDd0IscqxVODtdoN3hbfbTy4
+QN0PmVYOAPEaWYHLDC4o/F0BudTCnE4BPA48BJ6oD+g1I0hCg8vaCZ/pHkKIGRLp8RomiG0IfYG
qASFasE4PlNSQadwxvW8mtBNcmeMk1oNAto7TPZt4BEnPfjF/CLwxD4xqBdCMxJ5HlvZZlLk4Bw2
ZOXG4JqkG4pWsm2PFOtJo6KGzCMH4+48QTTaw8Pg88z0hQLrhwz/WRpcqJEN6YwMv1aFSVAh9nD+
F7lviAQD5I7uOx+8tx/rICCnH4cFfL7tARO1QnWlRHGpbuu///wlN/6uzuIoOphujs7L4ssAbHVp
pR7wpeNxBhMrCMP2bt/tRS6qgGrelT6UiyWed0M7K/F0rev1VYbJ87IiKsw3pEE+X51rBs5KPKbT
mzwDHHQrF0xgx8NJQUZQuzaFyxL8ltYnAB8uis6LDNDZFGrMKoqZDVvBXMhKkjH0IIps+GTDinkO
FJluutq/qWccmIJ2W2tK94iRQU3f2lem9OJyQlsesn5QJHKMX62c75YzRYcolyY4xz2koacZWYce
rsmZTLzFpoS47U7O1tEr3O+lvDIPl6ooUEuAcKGBfjywj3+cBuF4dWOCKnrp4R3N4MrIrn36WTWU
ziXPCHK2W80hjzOqHdy8BsZZtsP5Or4fwNlR6xoyzl2LJ+vM9RjF9BPSbMcxJ2DMuVYmv7Qz35s6
O3VW7+UoNdn9dgJGvtaL0BZ3gyziz/f/Je/0riR4vjE1Ac/aUWwGPtJ4oMfSLZKq6uswx9uoacoV
yAb3zNfuPzf7SxvjfCLf2fWXAvr7TWhZwLqnKEXajVh19TCCVhM050UpDp2DdKSR3RHqAr4rmBFW
iFvzwZih71kkKS1VYsh2POZjQ+6yEsHlYBd6oub6HkS061L2j3JxRxpp9h3805z3AJP3bsjRO1SC
mR4XqLUp9P7o5fqIaNaOTPuOk3xcN8J9Lm0iEtGrI+j4eVg3+hubBGJ22zzhSKVhPeNCKhXC5DzV
j7Mvbvua3A3pvWBm+Q8o7H/9mP6bvvHTP2ZE/P1/8O8fHNq7EDWTZ//8+wOv8L//Wf7m37/z94//
xJ/88yOjF/ny4R9xLTOpbvu3Tt29QbBT/jIG48tv/v/+8C9vvz7lQTVvf/vj5bXKajytZJf9kH/8
80eb17/9AZQpukgXFeP/em/kn79xfKnwx/jvX6KsZpf/7u1FyOVznL9ChdPwDChMQIl3UdMe3/7x
E/uv4MJBMspF7dTXHRzxmneS/e0PU/8r8XH5+QR4WwdcXH/8BTXA5SeG/1cPvwvBOgiALFItzh//
+nofFuDPBfkLeONOPKulwOcuFdg/d64Lig7LNaBxSPBRBKH22ZWEnAFYTMq2gKza4MeAeTWxtqR9
mSzA0sooQP9m/hVF0SMZ6nKV134bmDaf495GREaK8mdBvDmGqEoT+H4/JLgXODIuyCDbuTnsldYg
i8fwMpVtB9yVPz8Cfr3zIFDnV1aMF9e9X9tXO1asC+PCNBm4GTzEEb/5ZgQReJVrJt0OKaqknQtW
gUkwUISjWFEibtF4XFsVwLfgkI3x6AbHs+d5K9vABdIqvANLRdODmas9FA52ONb0lIO6e5VBj+Q4
TJCcqlK2ZM41rdK/uFxH86tlrD1aT0jJ++3an9DZTnK0Erppa9yNPLNCakz60UfDSjSD1wWeiaUV
mlqmMlATH1bj6G1dsyvuSGqtXWb74LIweJxKt1khnVatALZAvkb6/l0xWnYXaawAYbDswUXRpipp
q9pb5dCZjjS3cLe1bhc7EOPRsC8U+9orrt0Z0u9OlQb16loYSIR7SkalM+dfkP++mUpjCMGQkSUN
tx5omuPhL4SD361tN5zdAlzOCgJcelH5Eclc5EecibfBzFMkmIHMDcxBtyJUnqtwbGc7YYPDdsIh
9b50mkUwG+UK3aD2t5RZPBZgocDjErQ5eESwmI8VXoQ+FFAADfS2RpHSSEAQOWZi3jG7Ukgrdl6Y
qWKpxPaPXYGaGmXptpa5HRYS5cBes4FFnwbQ73nl66SXWaIMrVoZSpHAsZHCaaHZhP9XH5y5fqWj
vjIQLYeeRtKkKZAvcFVqxoOHIrEBmqgA1AoCQjDOY0MzuqjEO6Guo2LJRvW90sVGs/0nI7d+KHfm
QVsjwz+P+BrgE0A5dAqZo6IZ6ZkCfpl6eJNNc4A98IxiPSjYobJkuwfPm+/qTluXkBchphnq4Eak
lrcainnlMO3FFWj163gTNLPZh3U6AVmgXtHtlegUoucDcRBvWSeQ4OT7zmxedYV0NW3um87cQjcz
FAZvI5TOwBTB0QVu570ZTJnYTHRAE/gB6iZIf2poJuiaZ5+zb7mavtS908YDs/WAZdpG15UZGB7b
GS2EqvGCGiFXzxORjjwuBpQddKGhaqbEAVcJOi4yS69fap+mqAWw6VT2jXHbqxyJcYlqMEjdqwTP
JoiwEOeF4Z4MFJJqkekBXO15qBJ0dUZ3bjP4kaGlPNLl1B5Q1bL2nlO4AXflqaL0nqnpFm9v9oJB
rwGkUTeu4ujOUdahytJTSqscVXv5/9g7j+XIkWxNv0q/AMqgxXKA0CSTMkkmNzAmkwnl0BpPfz9k
V90KgmyGZfVmxmysF20tKpwAXBw/v4p2RqZ6tZpG02q00+ZADzy5KoIq+1FFDkyPhPmtDGY4Y56W
l0zpsI9L8iV8No4D97npqmugdAPOOxtDoifYl6H8aMg4G02BFIOKKq+/jpDfOiUvopcqr/OfzduT
8e3R+v/aWWpxiv3ns/Qsz/5116bvj9L5H/vrKLX/gC0K5Wu2pVS0+TT76yi1/tD4zwTf2Bon6iyR
+PMoVYw/cA3g9JVxiyWDez7R/zpLNc5fqnfHxOoMMaaj/M5ZikL7zWHKoArqb45mYpbgtXKgvi0D
66jsohj5zD6oIo/ApM7t22JYxVGQMg3NdgUVHSA+akBW8oKzyE5uQzrUZ0MTIydz0oNCKxvoBwKb
HNFATbIvmin8tQ16Qd+3FytBM8yNCut1yCAi5VH60MoWLKqA86T0p2pt2Y25Gckd3PLkuiuy7KYI
ptl2aTbcodFE73NaW9iW4VtEV0abeSxS5qyjtnd2TV4/AMVilZoU5h0nT+5hkN97xBSJldEblUtW
lvCMXqgrfdTGcz/swXyLSPWaKTC2UlTpGwkYxI3VCHi4jxz0HzrogqY7d7Ki4f0lyyhygunJLicS
5YNcrIsOXFepd1ynVC/oDB/wWi88rehlN00LzgIZTI+AH7xJVwKGgasU+lPJ/3RdpuWdOdjFRoYH
AWYd05xR/PWEjaI7DWV1Ts+zuYtSI/W6KNDhtXA40R5HqaOnxo2fZtlKiSrLi8cu96J0KFD1TxgG
6sUDVMDbuA9pXyVJch7I401u2YMX0IEN+lqcSdl0GUmDfJERsDnkloJZKoE0k37b2/W5BmdiFYTl
Dijmzir9MzECeUh+X6w0SXmIrUzZx4ElXFuEX4wxO6sHIBonv5BG1aK/l+ubIRTlti19MKAggNvY
bqewCeD6JI84IBbcrQHcSzij6CCn53Ic9kZC0koFbEv7d2sYPl03m3pHIdHSLRvjpTTIQVKm4Yda
OPu0Up+kYfpZhTNlaGovKocGa65KsGqz5q6qSP6J2kFHhzhEmxZnKlcYcgkg3l4IXfpmA8+4bdTd
NRX+UVOE1eowciiPkzx4fU/Ck9/SXreVdFOMcyg7wIOXT/5zJqVf9Ay25qCUjcchQUteEvneDnNj
3Tr2pdIgxzDtMIXaEMMjywP7yiodetGpD/WnpkFnRHp0ZkFHygb4GuZ4E9FL5mD4mqTdD5N4pKZX
7ou4OB9Vydr01RRdthTB60nCt8ZMBMCb2kznIZTEQ6bDRvBHKjQ5JsldC/uJqr8+dCOgspqN8pde
11OsMs0Xq7SCi8IOftDqbeB6jfeJk5wFVvDdyOkBkI3JLQ8Hb0J9ghWBZzhSdrprlV2+Q/Ndu0Xl
YCNiSje1Yp5ninqtqna2gcD4JRURr5siDcJQc0kE7XainQmlaopXliafVU2fYNiZ79BpNTujUHdd
lGOumWgQ1eJkG45tsEpkzBSwLnW2kU2ImZVGrRer+TmNEaLA0OmIQX7Gnu5Hlg6Sp4J8NY1lHbBs
W4/98ELo8YOCZgQnl9Ffc1Ox1yEFA7haexiJ5V6FUn3RRkNzUQbWvm6dcypI2NB03ZFu+bvWAo0t
/O45TE3hJnoL83H0d5PeaKsGdoEX1WhoFbgYXm5YsSss9dD76oWkmJte+Gd91f1M9XBN4uVtMgpn
FadB75mxBKA7kxmjgow8NqZa7lq3Mq0nZQj2FP/fbAIrI9k8lE6heVLbRJ6q5zcUobcAel87UxtX
eR7/iIr4Pm6wb4udWxiN8qYLKURURyDeJC80V8fnyA7O6H5nF0lH7znlzuTWlUPkm9QMu1pRAq/M
IFDV7Bvsk7zsYDhPnGmLK5y14hg614psgEM0KGjvxmTDrYlVH4UX6CpZ64UfX1qWM55NvVmswqnL
eQnxbZUNgLxSqa6myRa7wRC1J7fDsFITWd2kmSS/FEpoPaRtcBMp5ro3csOT+PJ91bpqrH0fovGr
XIXnrNmHyXJuFQUIOSh1zqHBNO8gPsCfqJgNMLeezIxWRaKOB0du4CMWyrnZTuTj9fSrHdYxRtnl
Vi/MZp8HsEf9SN2XQL6uDfvDjMMvmlSAzQE67LU4onQMaE+EnUJjx2mcn/4o85Xs9tEY82il1iBX
YxlfSk6krAiWqDeG0txj6xd6E3EykHhSz7cClg29xnVkPeDrHm/CzE+xRWBJ6pNmATba6DcgLK57
qdQvkyr7yWUuXZkt3igWF7NDFk/OCvZm5imYwmX1cD5mxbUUR5u0hJQ1uyKyXKAylBjqODYsPz/d
94G4cfJh5YfF11hn/+Sel3j12ClulWjXaq8cSqEGl2NPllMCrm9bzK9Y5T3FQXqFTytAmYN4RYXk
ZZgd1BudctOXe8GLTMVKJ0Vj75f5c9YmL7mvJW6owBOV9PK578D1jKCUXENkmyboXgNZrH3FIUWv
xdstP7ebO7lxXI2NrWzQRvpXufk62MQSUszbxnqM5XUguYoeQjKN3XBM1hz7FVDXqPTPk3WVh2Tv
+tKO1tNK+Oq+L9MHswo463aDJJ0pg7LNy3pTyBQs0q2si+u0MEnn7frXlJkgX3SjcpZF9rVTxvel
TWpjR1tNyby2CIAeoq1qXKrRjR3KB9oFOgFmQQTdRbrE3OoH3OdylWsSOOdg30iAe55pdhAxSq/Q
B86B6L7R7LXeA+tbpXHFDcvLAvuO4OUDLcgMjX2qFeuB3A4uA5UnGqaVOp4n6TqZ/Jcs1e6AVK8B
vL7iPFCkh8CXdWbLz7BVdjXcSS8wI1dPIXnlPHsVSiur0+8gDl3JZXXnRMY13hyXsVVftYF1Wxjh
fa1Nztr+jnwYDoLBrmpspPIOonJ9VUwa3nQCmD8lUjjaF6WQ13lHgmEqHNfsaN3ZJBHx90uZdtdI
RrSyhP3VzCogoK6xAYTFYyIPq7BnoWctW4S2RQLlWgaZmQY3dK5xVbSOSzjuNh6HzoDzT1nAT5G4
eCa3scVxRrK3p0riSxrCb6hG5sRgFV5hI7hQ00tbCikAyis16l+gLwbSLvObHYi+24LPFYWyDwpt
m/U/7CneyeE2LqYvNQSHLi82dT7HGcYbBVNWSJ4FVYkXWs7aSZTXIKsbvDaky9Tqmk0h0bsxK3oh
xhQmq8j091ITEcxnGs516DgPutrVxD4m6jppNX55SoERbQAJNTGfC6X9zmlNmFLbrNLMvxY++Jxu
qeNqaKthkyidflHFOl7kTpi6qh2Oq3SKYq+1jGxn6NUTrEHVrftE2ovQgTTRd6U7FkKGwVO+OGZ9
F5LRYN+ppbQJDS11my65GFB/SVFxUcrt1za9Bj/+Wqflt3rmnBrawUHq7EzyKm9Th3dl48jWF9ZD
MMChU+UsZnX6j5YYyWLwS1KTKsXayDppPxZLM/C1e6vRnhAZgwQn0aOTQibWQ/qxk4PmuWpcWfjW
CpJbBKt8NLdDiyhcxEMA2TGeMJPgqi9U5Ydut4EH/XY2g+l1TxVqtGKNTxvZKDNPcK+YNO2lEfoO
A3osOtPHzleeFPw23QGXuiYM7hsnReDsg0wOBvyUVhtymjQwPXMdai3vCxK0iTtLacG7NwPDwAUC
3hIRBi0fULqBsbvrcorXTgEJh4u5SvP5PAg4zoYi+TkEsbqXbafy4KdyROn1Ixygb5WSv4ZF/2TF
/dxIoRNkjk3shV3c3ZAZvC7TwHZtWCZremG918WYW4Q2R8eQTWe2lEAZaQqPJLbSs8LhLof1t05H
6ueEgBxwXnZKyxK7Igu+DiKoKFyIBobqYLty4jf0HgLFjbs8gntrjV+dsQK9i6GuUT9vlLnjUQ70
NIMpLjd15eee31W621jiizWJYCMXMjKAuk3WmGPsbUm97KMKzgToi6uoAWyzQJh72u7QFyrS09Up
2uKce24FmQ2HkRWrhdGjXfXKKrWUDiqKwRZGxo5H1wThfY7GRk39h1JP1A0oyJmIOJFa3Ycbn4Uw
VhzTy0caO2jAkImLxwrOrpea+VWcWijm5e7gVJK2TmLn2szNa2UMbvNQGhArzIUL5AZW4ZisnKi4
byTtR4IjpFu2Ch0zJjR0TxB4jUTeld40xiZw9HSjDKG+r80Y44JYx9rb4S7Z4XVjRyELgnYQqAmx
Z3nGJkeouhKxyEC75O3UZBnhhX33UOZ/phL9VuPjY3jgDViwfc3n7nu9bI28gRT+r8IQUK79577H
eZ4F//o/2fu+h8k/9lffw/xjBlttg349QY4z0vhX38P4w5BxW5Tl2Znwl2HMX30P5Q/iPudARkUD
RphTmf9qe8h/8N8ArtP3mB2Hrd/pemgL9wnLtlV0vBZIMAHACt4kCzQ4S4sSNKnSdxYNgDyshTsJ
NklIqAnaNR1OsWNUIZxzGYpVqWw0Y3wc1fKuCRPcYfp8SwbzVoyiXU0gyHKs0BiBF1mG4aZKzfsS
h0lKMtZi2Rti309AFP2UAO2K+zTuFUq7ap/Fle+Wobpjg50vQMMDjd3s3CQrbacmluzKqX+tCapD
7KAjKqgx91SyZlclAAIm3vkEDwlCpqPhqz+2VQZ7FLi1SVSBwkKqIYFFvudLVn0TTRL1RtOUFn+V
6l+OhAhelo5ParCUCnQy1qPRW/vQiB+JcjhrzPiczAXo2qzVtM9jV6rJC7XU27DMb1XaFzY2e0Py
RYGpjdDkegiy+4RD3nWM9nqQ4lsAmicNCQAKChi3dUMubXKfOf6usJ1vaZtjlldD+GoG9ax0Rs0b
+vZFiShRa6NJoVcWz4ZaD6tyUL+X9lhCIUkeRELdSeP8TK3ktcHJxGWNQIiyfsrH/sahn9IbY+sW
jU8THD3QSkLzhAugcjMWydng14GnhLYrTf3rIPqnfsrvrE6FHj7i527CdW5LLsyiGHwvppfg6kZ8
ZrbKeeuL80xWOyhF4k6uZxabuXbU4qtpoJjjKujGZXjN3vM964r9UEdXSRxxkWBOmG1jric72MSV
8yTCpFmFUXfJOV2tcIYd7iJSITwYrbCmw+k2KjLO6DTWNlmq72rT7zbS1GwjI2lvJhP/nCIKdpIP
U582bk/cd+zAvVMKGCfGEMOmBFG5IrvK8QaAsWEbBnlYrHLVTNGDhGX4Q0Em6ukDx1NfBtjbowIf
3DHgKLcaMN6uu5fbepUWxWXTadtET866nKMEvWEFQUtF9+dnw4VTIHCx4UWWBq6EhgzOwrTsNlXt
7HM/uEAdE619beiuyoqYJkeeLrrUH1dahuqpiG0mq6890vA5NxSJ7r5cVVzEJWgXlmh3eaYDZ5lF
P3jaFCgIHadw1cmheiXk0NipxYimOh6y8zqopee8mpyfIpWbVYDCp9Dk5sEo+mLdWpTkK6cvhutM
qbMSbz6zGdEedObPxAxfjV6NtpEiUDWowb7PHCjhBvWspk4/dK5PgF3ZqslTJGLjY1lU+yapUD0k
EEkNudm2vQZnSmbxGYNR4wMfipZsgDi77DK6bC7EQ5QrQjURfQhW1JMlwyFUVfmxK2YVNvvDzpT6
9BbwFQaPLFmrwumsbdiN5qWhi2BnjczdpE8bSGxKxlk7iZZeqN+mFyksxkPStuW3eCxDV2aT4iIV
phJuPmh39v2Y9erarDp7o2GKio+PIbWT4uat7dyVRd/tKiGqwzQ4yOOmapymTaBwKSzirnoIuL2F
t00w9OcjuMQ1xBw9X/n8TbjX0j+mSymjTrU6Q4DElewPEx/Y7Q15bwvrrJDqrTJV9HwHFlp4NtIl
9ooh3OVcgxs/qdZ52NJbmstN05GomENKOaOJY8SpXYsaRPbSSMLFNTauKXYcL+eGN6iF4QWD3G8z
VX4CRTTRuzmPtdV/iXqqKiUpPMNE6ZFxLSAVXS9/3XcMqX9S227yzIBqRI8i2qmwOEo/3miqNfu/
TQdNRfsxNP3jaLXaqiv9i9rxSZ03nq2Ya3MrgvMhryRPsGFmRVttSoQ+7ACotmCvvYiwXGd0iUWF
wOXXifr/KwsQiE8qi+f8X95z9EFlwT/2V2Wh/2FydM+4hQM8oh1VFtofhqaAZlgz4vKLtvBnZaGq
f4B1YE83H/aWacy8hT9LC1X5g/+/o9kOmDvUAuN3Sou3cApVDmp7i38j6kwllXYZI5TYc397csJD
yF3YtxNvjMeNuRv6cmsO0/pUqtdbNtS74bQFiUeOA1PjLYUH+9VKk+04vOY4D6Xd5ugb/EnBOKZc
UMUdMS5s0u1nzoWDgRuBVQoW/m9BolBrqokySBzSztqoGlBPR4yHhlyEFW0N8eofDMfXU6GYqATG
LTheZd92cqTK4jAlzUVgFjtbfJ9dm/DpumuN1vt8tCXN69fDHY22RMCqqcvGhNFQVHKmOa4kcatS
shPv8Ber72/ayr9foi6bBuQVou0pQd++RN0OzGomThyqyN4XRrOGwL6HCEE4BwaNZfbqdw+6KV10
8vjQowWQg28iUx9+/2GP/4gldyaXDF/qe3EoY2MdYZSnJeN2isW/N683pKnjCbMktc3vdEYwdUPW
LbDNxYQJUD4ivYK57SgEabQ+yFW16rLQM3I64vn0OCmXYZT/k4ebFyBThpp/mbKeOqOFgIIvqcu7
QInWufOo9/mJbISPpgvYigZiCp0JW8O3n7G2gn6qR4PcLnAvH3J9USVUEdUJft6Hw8DAUqFY2eCV
izWQtYEUTLQ8Dk92PQEl5LeKPj5/Phm0ecq9m5JHgyymviO1dlAQFn8I0Yq4Vt6bbmYN7WUtg/6G
zhh+K0Ku2aPAwrRxrBvKGAh9ZPq45Pt9sQJHuartUdnDnocXboC9CaBRuUhWXFliatN+r9jTY9BJ
6s4cnOkmLBRALizwIcu314EAj5KyeqQ5W5k3chC2O2IT2q2UjdKJwImPl9/Rsy5mfl7EDcEwpsD1
ErwR74yHEAmSlyazjCwZdhERETHnvatp4ytttDNrfu9DlEIOMk9sOR8tj3mS/jurnaPi7RzyMUpP
NXRhB8hS9LkQ/muyCpRrP5iGQeBw7WWyhBQ0VU4tTGX+pMtPfjz0Yl6ZAl8AFcyLA6o503nUZH7m
oZBQWpXSl5rL0Noes3VoP4SlfMg7CR1eoP7MYuPGLO3fTZ+bNwqL0E7bRM4z9wnevolEouvNVikO
o4m0JAufUImfcu58FwTya5CZQM/5b5jvUuhKSZDmpHfiQDNg2tpycaOH0ouSWfGZXtMuDUdsmax8
XeokkQAXniv1q6yKEx99fpR3b/7or5hLhyPCLbE0oa0Tg3UA9BjcTn7tlJ91JqORKsALEN9+vrg/
/NAYymk2s0y1l8QO2Q6Rz0JHPVQ1GbVOSMs+JJbq9weBgiLLUDGRPywdhnDaiE0u/gn3e+mgGKRe
sVP8kyGwqDQwTZrD0d6+toKWAwwPLQH4y876HP89Z//5CAvi5b9PZtv5e4jFlxlzIfwRdepB1fLv
ad+2G1xaelolkvzgEHbgamnwlDWYPgyyFHt2PZuUmvGXqq0z19HLCyvrvzsIbNx21G/DGIqyOiGz
0ndOVVs4BFl3ei5etGncw7W57s0sBQlObwc7+Vpn4mVwsCXoJdTrgmPTm8bRWMt+BrKmjVeRHJ5n
RFC4lqlObjX00wnS/ofL4/jx593qaGK+fcNSYUyH0ekenX7YQPhI8bCOzyPgu7Yw9iom1iB1kUA+
P5q/aa83L1Ok1rB38KzS3h15qZlEOYw6cVCy6mqohNsK2SvpuH/+ud8tDPqLDEUH0CQAGXrV28cd
WeGGYoj4kNNKocvj5O7JBNy31wBm1K8xuFBw1cAqkDvFm1c6WoDjUZbHhzEf91Mbfm2N/K4duwej
ka9rNaRo7k481odDqjMBG8aDqixLLlGJlOSyJj5E0W1qIwqtcMnqrhp4jgqWIrby5wX1P9Z4Hw6o
wVzDz4xWrr5YmOTKIrUl3vNQVQrkJmj8YeXFzo8RBlSl48WMWu3zL/euJprf6tGIi4mqdWVuNlEf
k3F2VgrAhSxx9Ug/sR7e7dNvRzEWh3M2P3CbDvFhqA4tvNxC32sFSerIesvu5+dP9OFY3K0wrCRP
lF7523lidkB+AVHAsFmuq66/LKjFCoTQjZButGD63d16frKj0Rbvb5CnqbCw7Tj4GQZBVDdCLU4M
8c5a8tfM56ymtU+CCHy9t0+kS20f42kWw0PtXiEqr2WnfzL88gVW/avTJYca/5oqopkG2WzTNEnz
TyYJpkhcH9F8a8sbeDmVPbxqa/585oPUNGejJq2SJjtRO89l/pvTfH6XDpdTGpwqi27eZY42TVGA
ICS6FB20yX6itTS1zvex/iZF339/htBOmJsJEC1JCX87jl8VtdTBGTu0fV6va0e5T6M5EDK1yNuD
KmZkTX7iG360sG1yMlXTxpGWTtrbIZUi1WM5ZUhDV6/hjT0I8qtSFAC97MC1b3A4OZVg4cxl5/J1
0i0hKJjsUzKE6Okcv04tSOWg1XzG1KIHK7cR9xrWnWSL7gLF63MQWvumH7Cwo3O9zU2IhEqXeEOb
7qok2VpSSsme46oBluxqqJldZezRPUMn3NqxblyVvXJDr6/c4rKGqIFa4FmSe4wrCmB9iAibUVP2
vTNt6Djxu34LXbK7humPoWz2qhT5C6c+Lfx83Uz+j0KmsTsgcV7REN/iuDC4k4LLWS2DImfOud8B
spsVLBFFn67sRr8rB/6/tf1lMOtvAhenSXI26KAuUoUWrtLk15h+fLF4WlXQbDSH+yLpZqrE9AiS
BkV/sGENmgVeBZMCS5YOKAdw5iZ1+NrY8B/YGys8RURDaz+5Ft2s9yeiQx7Sbt+EZr4B7DpLCnqk
U973O+xBMR8DT2mt4rnSg0tJLoKV7xRnWY34S9OibKvrOX+BDPmt0iu3MxEHfD61P1pCx998sdHm
Y2cDo1jRYXA6YGzumSUOByZgxrj+fKT3JQ6r9XioxWqVGnKh/ZqhzA47dTpk0siSndQVtqyvsSl7
RtrdmVj/jRYM4Ey+aPk7Pv8b5iGWMxzmtmahXKKQtRcLuTHJwJzKJjmEbX3paNkO/7UTJcCpIRan
SYkhRQDVBTOKAA+I2McBLu+6E8/x6+Lw/kFos8AYR8+1FDvTq2h0M0iSgz/2533Ajp4dpGDb4kRi
E2VO92zbivLG6rKHQsciDk5H2X33s5FqGJWh1taQJWoYJlC9ewUWXlzschFuM+h+Eem5eQHmpBrl
GoeDs0gt935iBdtKw2sSBkDjFQOmj3WZe1Iy9Pi/6Q+ff6iPtj/0sf/7fIu5MvUisiqlTw6I5wGi
ovyAs+qmsOHtDBpiDHi6rV6cmKHz1//spS5mR6xlrSJJLUY3MQ56maUdZGw/3Do4cZx8PEX+frhF
92rMVKuscBs70JTYjnroQqQ+MUHetxhYbBxYqk68F4k0Sxt8AZu07CcnPvSxspnYVwvfZoM1IOHH
0Mm1Kja9qsmehj59SDvxPUujaFcZcu6qxiThwlmd6r1+/Hb//osWO82gqEkaFlFyMBXtm0n5PNvD
+dhsvHw+deaT8f1X/Hsc7e0pFvf62CYT48RKvyOeeUTFB98cuzkvxN7Lbsdr8O1NIPe7zwf+8LPS
QaHuAVafRSFvjs8WaFTKZJEc4OreyI29T7hR/ndDLJaFoktGn055ctDHqV3bqkRyA2v680E+OhKo
2f73ORbTUwKAwIw2TQ70ii+baMIpULrsEvGAV97N50N9VHrTDbJUlDfc/c3FirN6JdONUmXFIUfT
B2kr0hpXkAu4VNeD8e3zwT58rqPBFs9Vtn4X43jBXqlSONBRACRWsicTT7PPB/pw8zoaaH7qo7JU
BYesOl2ey+wfWrmO270TB16PsKwFt6xgg/534y1qRVkvOquIeLAoQ2QpGcjhWmxUsfWc5L2oflbG
iVyB9zOdvj73ClJL6Odp+gLxUujT2FptRodcaX/67ZXcJye+1QdXmHkIkEWbjhO398XHwuyorsKU
YoEldWHWMaJAJ0ORUjPxXbQg2xb9raZIsSuPpMbCWygNBLjpiY71+wn69s9YfEq/MPRQd3jSqZ57
hGI9IZNvYTAC+FGunrK+/vjF/v3U88w6mjkaZ+u/X2w5RufoNTAjtacTs+WjR1LRlKMCV1CBO4tH
0ppax+SGRyo6LIkVWBdTb100ZknnjBQn2mvy9vP5+dFTcXeSAS3p9/Cvt08V9zlVQjiPmEw4zFVJ
6ekoOX5zkBkepf2pKzpNZsR8bwfxjT4SmQ/uhCyl7jfi6+///DFmt3wGWfNHkfTikHhnP/67n178
5VWZWnnU8NOWClWVpA4d9cXnQ7zb+mYo8Aj2nL/Q0bxSA0H3I2KIYnxR7XgtYFrHzn2VR/8EmDvC
HBcbOslRSoVaBGizPNfXnYMd64nJ9K6MmB/laITFxhBP4QjbERwBdra4qC5ycWL3frc+5gGOAMxF
neJ0dl6mJmiIwCBZu4b5FOdnunlTnsoYeWdBM/daj0dafPg+SunB1kzZ8jmxVyWcqsBtLrECy6QT
G/aHL+0IL118lhQ1hWyNOnjpGTfr7LaIfrdmmB/laIDFpjL2VhcGCYAsCiWFbrGRv+b+tjyVSvTu
ZF0Ms9gffYU7c1dpwDfOfsAsoHZTyN1bLVtLyerzJfNu01oMtThUxyQ3kmrglaU3oAHPn//4R+uR
ppVCWgf0GdRdb9djWBs6yQDQEKgQiTNqv5AJkE63nw/y0UQ+HmQxkY0cgLwPR4FH8aM6rdVnZxtW
P2z5xIv6lVL2puDmTR2Ps5jGJLEF9IN5mE3D3DIvMu256qGmGNthOwbnbfjN6r5JuFzmm88fcP4E
7wee1dmcijCVF58IgwA8twweMMdw1Gu71YYYl6Bw2/3n43w0FY7h2sXXyggzw+AI1LpqDw5ivVMJ
Lh/+/gxQyAgzYaUsnmOYui4Ou5kBgFi7/2klL//g7z8CPRe/r/u5M03z7o9vxXA9iVMTYJ5I776D
g2OmqpgfVPEyZRquzfz9hvHU4QCabWprP1uEKj8guDavU7z+/IE+nNlHsOpixvmdMyq+0ogDgL3b
wZleldqXNj2F5nz0XWyYLKhY6LCYy9sJGbHUY0P8q6RAapEk3ueP8e735/Y1JgJ/AVSLx4hyq5Nq
H9kaqq6qXOfBicP43S6z+P15/KNTP4HkTrYUANjMUh+v1fg+H3+o/dU/eIq/MS9rsfUrQzWqQw7m
Fa+UrXPiEd596fkRjn58seEnEVqzIODHp6Z3i8Tr7/J2K+NzeeIh3p/Fi4EWaySlJE7lqIph4Ryi
9quOGa4nirUxXkzRQ+h2/Ykq/N2J/HY8e3GFymKBgq5gvHTkBHgERJtObY/vcrF+wUB/v7zlKTNZ
yiRVXR0fbPuq6G4RLBqzFSde7ifQug8n8tFAy5Nmiqw0tuaX51xqKNxu/qsZZi/WiYOFdxiW/HzW
utyjT5k+nfoUi2XiFw16vflTaNVdJu9E5d1+/vefGmD+34/WYTzJnYVsMT4EzzBNrJuyPrGRnBpg
URNPiP+reAAFLrsVR7AnutXnT/DhTnL0gRfLcBSlrtOaYRnuE6wjyI6RkivyMD4f5dQ0WqxBO4H5
7/MkeOuu2+vI2X3+8yf2kqXZnk1uAVmuPIT/rZ9vWWdV/y05xdI98QzLJmA4+JhtNXwK7nDOGSLU
z5/h/ZfW4VrL5FQqBkqsJddHJ37HQaQQHbK6/tkWz02PKRYJ2Z+P8v4hqKZsR0M24ugoEhcTttRi
GW4+F3YUppdqE537efxP2hDHYyynVD4VPcocGjyWc7CCLw6y1hjX+jGmbjw1fz/AnrgzGhanuA1e
TJbd2yUIFVbKhgqOtqXrHrRCaOBo87cWEverOrmaZNtFZLmTqnRjmqe6tuYH3fi3wy8WqBULPHxl
E4p4QLhpjnaZaA5c0WUf+2tspyKMGRJrlcsR5uzscqJB2qarKX73qlOuQnl4hMPeuyKKr8FYES53
GSbX/qjvYBLfY/Jt4sIQnoUKfjX4m9/JFcpT4fcXZtp+maj/8AnTfqLIuW4nAPLR0NZVJO9wgui9
trHRiSIM93MESVWHoDs3g3rlmDAfq7KN17GtbKQUD/MpQ44dCHjTpQbk3WU2dj6ZuU9wHneRpmA0
hhsOkXf9FtuM+6SuxbqFwkWr3+9QLWdPRkjYqxMUT5YuSjcfynIfWBgFWaOZuUYo7zI5vxnbctfm
lUMAi/MAKfAmTlKvLmJ1GwIc0Let4nUxakhkcqLIeicxVk7ZVrukGMh3DHGR74merrM+2Tl5kW0y
qb228/waAQy5pzbhp/KIfZyCpdcKPMD0yH2CrBOpr5iyNAjXkgI7fieHstBlpD8QZzqkySYcJcsd
EtxYbBRwwkEzNWXyjSJkfauEIGd5jPpZWCJZFUqBPhf7eaIWMKLnIZv8yhGoqqqRqFu1zUoMD3KM
nmwgO1KAAm/KzcvKEj0yeiAhPwwGLxHyF1y9X2IJAlEwmj+rOmD3ddS1JAaYMKgcPAjeYmsXdeti
zeTj9hk526KcmExYxG+UUX2xtape+WlEBoU/YoxQF8LNkFriL0B2EwSLs8mk6eBkUbvvJqSOjpTe
pIZJk7xJHKzcZJlENsxwMkweNn4Hw1AMeXEeDHW91TUI5ZJZbck1yNxaw6lHKxt/LVvtgzGq+TVi
htlNoWoOPWZ3m6Kb7ssuuO7E/5B3Jstxo2l3vpUO71EBfJgjbC+QyJlMzhTFDYKkJMzzjKv3A7W7
lUrlz3S1d3ZHb6pUAhLTN7zvOedB3B9rqVhQ0aPsYQfkf4t8JHkYGjrxec91jyaWxO96mU3gESIA
cC9dpO2sKbmNOt4iQ6nCr2kdKrs8rsKVGXTkZngkTxmE8i+NOL0h05SgGtXfp1USgzZJukOHH3Nb
+4kM+CZ+rItydKKqZyLA07Ya0+yQAuzYkYX1FXRDe1VPUL+mKEYNFDaFU1WYoLRsisn5Dps1ZQ90
enEjlmrCyylqOqtF3qwyS9/3Q8rNtVsTZ+KAfY1fWROM187C6xAFdq165d6Lo+RGoM4eRJiu+j6f
7XENt6Oynst0+lHMyl+RgSHsErnY6ChmW10J1mqrjWuDRreTNuIBUsQLghRntJ+VQCFMoriWCsQH
qh8eILASc4RnTEM+6c06yqmIrQ1b+v46iOtxmXjQZ0Pf85cKtFSDLuso9Gwns5uqCrELcnJ6mga9
g70toT4RqnfDX8h5qFFrmq78qEcAmJoWNhkID2h+djnifLeC+0Db59JNFitbDbBKpZSjW8pwTgqj
us1MjSgzyQaX4aHZaGpBFxvtZqh26aqUui/sXTZGSdBtiRbd9b2mXdAnyhaVGJ7FrC3RVEJr6p5A
FarWFBtISIHv0tT4ZNvmOYzSr4EeH9qBrzio6Hr2g74dqneIU7u8LRZSc9+RzbcK0umbNei4UOEI
DZ71EPrya2uZt2ryM6W9dvVZglFUUr2oSGrPZ2mGHpmlmybZprO8QzRjCciN3Fm9+aWXIiLLcBS6
tsKjT9qm2ZKgQLh0wBVO0k3vYfRHypfeSSUZC1ZAzaxorGUiQ3eAyXEoh65dVKrpL/BVMlp1xBrp
fq8szal9LvUCHoj1nnf1EwWFbRbiFmC86B1qovJCK5LX2s+Jc/HDeJGq8k3Z6gmWyXzbkRMgZxT/
6tHcmSCgQjXLHS3gPKxMZUdKJtnHxwhZyyadF0p0/a0351i1oUHWg7uRj2MziXSdIS4jKDR5a0ty
IWv6oC6C1AkKRkqkUBjsO3nYhq33VQ2IXzIMEraH4qU3rb1dC1RglbWuivY+Y4XjBBqTHRbHFzI3
MUwTe+DkvnJd+MaL16A/0gZ43yg1M0Lv7BKFtpWS6OY9ZLX5bBvj3udhVEmxtZU7UY23BXwQO5JW
uV4eLLBYsEMldDmlaezIiKAdxsvXGPfxIAjlAhCWNoRAdKTor6a6oXoFuIKqYpQNizKvnCwp6NB3
B1MnWq+R90lsLYXAF0vahFIH/JayXhuqJ+2Jy/UXI8s2Nx4sHAPa0oqzO5GE6QYVkgSBCV2LOuHT
lQqCfFJryfysu6lSR0jwVLHMqpT0EpWT+nZar7syI1tjYDIbs0NELunOUMPrOtYHPJCNRaQNqpJy
aJQvUlnJTo3H1okkAlvrIS1dUScU4Ei+kduGnLWSeAu/8VPX0kidSXSfd7NXvKsJsbMbiNZeeG2S
u5NVVyujx7lWG3FF6IasXqM4ZbohExapW7XPlCtoIANTFml8wobVWXX5eKOm4yYPyycrLFeGLox1
BeBjqRpBTAaKra3rKjc2ASlOjkmWnzOGlrFBxwTx0/fnrL2hWo15AWitkbdBXj/bIZOdlk7eq9ok
V1U1Da+aKG8JrGEUzOoPu86sVVvGvpNn8U1CwKtrqEO8Mbjnq0FuX4baK3j5/dzFrZowLAQoqsap
uyFn2XR0tdIXBOlETtZaMjlYAwqPzE8dIxzeCTN+nNTibbDJRuqH4HtphPcKXKilnaI3txMyqbQg
3Whk5q31xJCIhWMm91PrZVBJo7N4kAulmaIDpdd+JZnimQTVcSepZbsJlEFf6+OkbJJRmfMMLeL6
RH5ttOl7p5SyE0+EHoWTmu+sAM5VGVTeVW+FH0U/Xsdyfad0sreO7Bs9ImOuHcsfTODRQguVu1of
QzQ8WbrXU8LEhco1CSNH2eZj4B+T4rsiFc1DadvmjQochx2iCFaZRqU+huXkKmVmuoqZPvZpWvJK
Zr6j9+TdyXXHQGdlxrroxUcwWBIHn2caswxhBUQE6U7R3lT6G/hQH1ERhksZzhk92eJ6CgTY8n7M
3VDG9s91D0svINbo873Kn1vT35fWJ+WnQSWnMWD5sDMtohkYCeWRHnt8Cyz48xOd2XrRdtJlQZ/D
VpEb/b6FoEA0pMJjw5KrPCtSy2TCnjIFWIZ0aW/004b4W0UVaCSieEOTdRW12mlNDTcbmRDz5oh3
8Jbi8KOG8hFvUEjoVt+0axa+EkzW7Fs6stoQ09chBIqbN9bkdjDOaVgDVxFyvSmwgJEdmF1BBbuX
WCcbrbrRxzJbWjCdtmZqvBMmaKyAihKoFn/NNTNfsUL8apW8PaG/G+ThR6vp2ygp3z1dvzN8sWdb
au0lgjMJGw7lWVKJKTzXPwj1nVxv9KyF1DNhSH3zvZunkIy5xJonFTIUJeaJeaZp5knHB4W9COaJ
CJXBsmJmIlUcIB1z1cCcFcq0RxJmMX2ezqp5YlOZ4bR5qkvmSS+dpz9jngeZDyPmxYL50WCe1OYJ
s5inzuznJDpPp8U8sbbMsPE81XKvlkRl4/6ap2FiUtI7QpEuVZDPlBV/f5AnL03be2k8xTxI+Slp
00MYkXWnbUN7lY0dEtqnIvxuji9//0U9enlOS4s9NV9RtXq4S/ppVamjY5vd2mZ+/fw0f5ZTuDRa
FuRwzmG4xklVLinGvseoQpEgHK6hxtwS3wkqUntMh/Q686r/6HQq+3MWqXDuTwqmlVK3RqhzJ1MR
X6c5qzcSozvhxMNBIkr282s7961T+sCobiGdo0v3+7c+qY1fa6INd51yZeo/EhAMFRC8z08yVzj+
+MiPTnJSFIhCRHqTUYfY7uRF01ovfflqWE+d/6XPlUdKtZ+f7kxRB7v+r2s6GSg9AeWM0F3U3XG0
tJVX07Iv3LWzZY7jU5zUdH5d0Wyl6tTH3v9iFM9d+er3V4I1iopkfIiYR+PO9UJwsnCYJPPSm/JT
p/7ZjT356OBCdUmX8vSCQd8Eqbew7PwtEeiuahaWdkz0JXhY3cnq/t5Igu2cDw7KVl57ot+kNXH1
WBMDBwqT6drzqraf17fVvNL1GuN9lIyblGQ7G+zsLpcLFtmkZthp+Uz6CkkfCNedHl8uzCfp1ux9
zFoVG38cBHfhmK46Yy7FG1dtZS8nlW1cA9weam3E8KgfasuMl55ubT3NeBhCWyU4nci1srRfrQr8
YpwS9+HX0bUxXhIfnXvpsWxgUzRN0Aen7dSojnyV1lqwSyv7OinD14KcW2zDF3rfZ7TLLOR/nUc/
+ZLNaExxn3Me25OyldChghssxi0ShyEqjPdFXxpsykOKEZRFamFfERm/bCzvq6LGE4Hz7XWYC6Is
W+1V7s3HUu6eejV7qyyIZtWUXLPPAoZCQDtuqJiQphbMjskyXIXMEJWAKMyixJelRk+1rDYOiA8W
o5a/jbnmz7+5c4uT40s96RwTLu6b+GGDnS69N/NpyNXaFFL+mD58fqLzzw5aCO4UrBs/e/RHLYbW
7nKqWUEIjuNa9Pex+hxFF5o8Z08h5vAJ3ZZZBs1/fnSK0MgsxNgq6z5LeiFTt9fLKy++1Bc7Nyhi
Evj3WU4GxVKkiRqYWriLg2w1GZTz8H+9BBqL/OrR7O8+v23nxsTjs50MWPkQFMDhBUXoSVsG5pvf
5Rfu2tkzkGRjKqzm8OnNf3501yQRekhBJxYAcX5NlYgX1F9/fhE/p77T8c5W7Tmlg+WidRq5EOmJ
nrTIJWGWCHJ7u07f9r3+pnv9DK1n1V03jWNW8TaM6TGLtrjrps5z4XB6TkFA2WIYiB4OdP0m05Pb
AdIz9WfFHfPqkIAI6ho53fqasg1MgsR8ipLuUOirfrQPAXs5aeiVlQcTe6GlFx7PT5X671f2W/vX
Fid3rzdRyhAiS4PAJVwQSHEkPzXv9bonJurKpxYORdZVES0WoLaJYb8z5fLCrPbne//7bzhZ5xQ6
lfuOutIuTJHNr6fYJXv88yf451Lq91OcvCRyzetDnmxEXqJT9AdSqxLXA21x4UqUPz+u389z8gk3
TEGVEDQi0zfN+1LURE+lXy1KgpRXx2Vs3ST1wYRFXi/HetnVq8+v8s9PgbMfOUdPPu2pNiausYt2
L9Kz+vj5sc/ewaNjn3zIWtaonk7AwM7K7jNy2x76FkDvhQ/t7Jvw6ySnExcfWVwOFScRsVsTWObU
m8+v4tIJTqaL1qoCzTM4gQG4HLM51PILz2C+x398UEeXcPIyS2ZEwPrsF+4bejueg7glSh4uqA0v
POhTW2aqEw1fzg8DV/ewYQP6+V06e/iffCaSH/8c7ioYqzG5tRzefGe9nP0nv/7o8CdjTljErRmF
HF78SGsWB8vPf/2ZLSGfwdHxTx5BNpXpKI1xtJOzZzFCyLgzdCe239iBJ+0zVifiLC911s9++DQ+
2a/9NMqenDPBTZUViEB3yuNoHjJ9E8WLGEpq+PD5xZ1/NL/OczLAjDIEICLlQrRAlutdeDBnv46j
izgZP5RewXFPr3RXOo1xx0Lx/+63z0PM0UydVUZJT5HfXnx0jrhwY86OT0e//WR8oluLG7Hl4Jnn
1teCev/SLzYXQ7vO3aJj1/DJaezCzAsl5RbZ7eHe0Ndjc+HbOzd+HHs4T9buNe1g+g5WuKsoGmXt
Xi5eBgDPYXphPD/3Ih2f5+SFJVFw6sMMncNUkM1VflX9CwPhpROcvKmACMLCamZLN6kCT+oloOSl
w5+8q71J5urQcfjt7X8SnQEPxpbJLrKImji5NVFi0oChLLwbh4WXg4i+UOecd8enUwTDk63io8Dg
c7qVgL0SZa034V4aSb/1ySf43q2E8sUk1zW4VOk8910cn+zkhR0lcjVxbWDIVV3yuaucgPxFMmxF
ufz86z477B5bf0+eCIRedvcBpksrP6TGzAfa6bvoIHJwZk71ZrUXFgvn3oDj850MJ41XGGNl4gO2
q631rBT/wWB4fPiTGgddk0ZAksHz9Qw2JTZcghAufOtnyjm/e0jnSzwaERFfimHMIh6OWKzUIVpO
ZLWIekPGfC8t+gtWq3NDy5Ht8FQF3YhOQnWCtzEEWwF3b/TfW/LPh+fPX4Szz+XI3XgygvlymTb0
g+NdXt6G2j5tLzUkzr7SRyc4WT8UFdy7IeMEpvktMlYX9+FnrHE8lqMTnAwANa211Ai5UW39MT6X
9/1Bvq4e6qeSPuNToV3Yg114LPbJQBnQhG9KBad5uzTK7x298ASkcB9e2Cefm7lwQqD1/acT9GQg
EDl7ky7ACWoRi1Ig0QipEhoX3ug/nz1uPhUKHOo2kkZPN8p0KCXdaBk6oznb4eBfUpLOP/L3oXN2
C/7bF6mefJS6iEKERbNp8UWEm0S6816G7qpZC+Pm85f4z7vFieiJYO/WaZoqJ6+AHnoWtXCK4Ugb
ltMeihsbuL89gP1+jpOvX6MlSWoc54gKtw9NMJWX0hjOXcWxE/HkmcuEmGfhyBm2qR8vo+GuaC6N
YeeeuFA0DfLnnFh/KuEXukcAbcIpnqsv5oWJ8tzPBzpHcUfAaRanx26N0dbzWYupBOXK9wFlQU6o
4Lx8/qz/HE80miy/TnMycZF+7jXQCUnoUMwtK8dwGbvRoINGsRafn+nczTo+08mURR6XYiPko8Op
OdKivUQNP3v4X9pV82TklcXYhVLP4b3qNdAP9FQ+//lnn8fR8U92z5oW5R0aUI5fXKErfDKK7obq
64Wz/Lk8QhtLb8QmY4O0xNMxJPapXwufMSRrUJSEt0aFZI3cRgJNPr+cc7fr+ETi99m3x0tpEZUe
7kTiKh9qtPn88Ofu1vHhT4YQ02xbIeB2sCPxr1jlteZSQ8rw+UkuXcP850criLQr1A42EwMig0fV
X4/D3y8G/C5VPvk6bDY80GboQuY1QQX1j/E/eWuPdconH4VFGrpu5rxVxU2OtFVc+LrP3KFjVcHp
RwHtqG9Gnd9P8iZixQuT95mH/NvRTz4JImPbUMzzRE20fwVOoVslwaVHcO4kR/1m82QYjxHqYr7m
JKhpW/1QjNtu+PtzEYlUqqYaYnbMnvYeol4NVVL+uUvDra5PTiYuLD7PPYbjE5y8RpCQpYaIPfab
D0NBmvyF7+DPRRT7qKPff/ISSYFeDcwWfAcQwuLr+3vpUlz32Qs46safjBbh1BDgqvAQxtREVXjV
x49/+1Om3f/v/vtppFvlJ1HWm/MlRIsvFx0s526QRf2G3ET67Yo1v2NHA0XZD4UdIZjbxW/Rl0J3
pC3Stc8v4MwOkL7jUWvp5CEkncoVyLSWjEWGzLrtl16xOkjSc3UxB/L8uY7aPiejK9q9dopJodkl
3yL7VY6+SeNzN3MbAV6bkQux8/OLm3/7ycqTdIVfLaCTx+9pfseStw92lbeq4sfpWsZPmG/N/92e
+1tAhP83GdOsRj4jIqT/cOEt/YlEmAfsfyERrL/YvtCF40mQPjrzov8FWzL/YnnIhsOYG5v86S/I
tPiLt102beyzrOV5O/+NRFCUv8jeF8RmYBBFt0FA9U+Mt/89v/3no4dV9V8HhRq/jxCsfzkzsQbM
VvNyWPkZwHv0iVUE4g9JLcJtaZWNS2TUnVcZ3wHfoIDPCx3SilHS1KUyDILZv4F0lrlDEj2iPEPz
7ltfDY1yIqjP0pFs/6bRoLf0U5kvEao172R11csomtq97hnIxEO9XhA0kj+RpDki1KnF3kgS80pO
CbkmtAoduFFE4QIjw6aZdGQOproesibey7Z80PJKg9qcx86A6KKCJBuqfEyZrtXArc2DTvlukZT1
QQ8wFDh6kYQHbA32T2PCE3mATm8U47JQMxTU9MYdL9begy6tuSLjgWDArZZ5MOFnSXGeNE9dVH0d
NVi33oTUUzb3dmr7LsLbVz3kYHLfwZzVs5mp1nyMBuIQzP0s+AcQAVE+4VpSStaBbTsipTfMRSPE
x2TF8mooMcxIvaetO7kMdj4XtkBPHLoWFD65g2XaxhXp45P2FsPJ3Wi9sQdyh8JSHjZDrL5jnLFc
k1y+vKThFIdVDXZJta5sBdbiGIr71A9fvKE+gHn9EjcTwMjQfir7qP0CN9h3LGxkhFEpey8qHwPk
FVhZU8XxUae7Xa+itzY1kve0MlgJs04WKRShhVqh/hdRjfA2HzeTV91CJf7iJYBbEAYoL8kYo88m
YKgjLGMFFTXaNqLIdoPPBi4Dw7PCxTRdZaJIv+dy0q2QqJcQddHdjUN5EIXKLULAd5DH0XeNPE3d
sZYfJKTei7pn6z/h8i2VElNWXt40avGiEvHTVpO6MhtDXmrAnlxsP2AOx1a7k+Ryp7YK/NTIfApG
i7xTqTZcKdHN5dgl5gIiATxMotzUxGhWajYY130pwhVXtraDOoX/akvLqLMjMulTkMZCgusswnyN
Ga9yZTX6URdyA/iqMBeKXDwMqndnFRWS7OBg8/Z9EUqpu8Cq1nplXw1dnC/DyVwqJvYnA2Ai4d1L
f4hMBz9HudSkaCeNvVhBcl2mOShZxfthRrp91ZX9vd9mkwtiGwkkXW9douSGYtyt5BbHZXZvlsRu
apLhtKJRb4OpmVAdR/1SHrpwmenNax6NshNwm1aUVh81tQZlHj7ZA86wKYhaSEftldoWa9tXXoes
7hwrtK/TzD7UeS1tkEN/k9G1HmLNjhzLaILFaHraIh3sbAGNyljg9XDBCuL1Zn5ztEI8Du249mbe
t+FHqasmyVYus/uwNLZkWN/T+/iejeiZAfr8kJr0oA7qtZrqt2rOVYjUvDFyGVa6N91KBa3Psgce
meXKsg91lJlWDhM80AFpld9Qb/JvfD3eqFl6GG1xO8jcYCw6o9/dytqwIwVrdunk75hADpkwfgw1
moVRhNCZUuXNzkBCxea00nvlPmn5eg1JWQ2mMTheF2RL/F6rTqtvq658F6V4kEYEm4jlbzzP3muM
QChsD3JKxyNXjR0vDHob7UbRvZvWBAxedSBdiW5dNrL5w2jaF1Xu56J28VVX7ckR+aRv81nzhCrM
GYEeO2bAPfTHolgxlNwVuXlVVqRAlEX4LNvdF5WnQaQOixXP/8grI154w1Ss8wlEHbJnN9DCTZtC
h1TTyGaI6H5UY56t+3C6smUG2j7PfwwZNpdYwzJDYCCZKTr5j+zJ8MB5INDi3vyIGulVqtt0LYaW
PW2jPeehvpqYQhaW1N+MZjMu0l5s0gErjum1e/hgP2T8TwpiBatpXJHzKaCy9xvcbqFfbVW5/Yhl
DwOUrL9Pwt7Eef/UxNKKrTJMZYPG8KR0H4PRQ1hvsm1Up/ZtnDW2O4SBuq666tUoEQyLIUB5WZmP
8G3eMLM/EQtGvj1TD6F04OH6MNxarbmdOuO6GBviWU31PZXNb4ovrfHgucqkAcaKuq3daetJapIl
U262po/4vcs0qPKVchMl+p3Wxtdq4V3lMTg+8DNDoe4gd9+2dQFLq/gytsC7R8lbACpv+EWsGKeh
QNVe6JaTd2PAR2p/DQMNdkK+7sYQdrnPq5mpizQS1xkh4ATKr4lABDk8hu8qW85FYZgPw6gpTqg3
u7IZHqMmuW4tddlm2Rs0tudAtm9kkhid0Gr2YT/9KKdpiX7wEA/aPgzMj1DxHnVb+tEk1QMUw3RJ
rCJjPjqp1oKJ5zFMeUG6hnN6D4rxRhoyctQafd0yPYS1gXzccEWmupY3AJbDfYrD7MHKelcOcHCO
8TqJQGuLmm993GXl9JgF003sJ2vRY8MPRiz5Rfi17OS1huNqnpHHRVIPizFcm4zsQiQpUIV8n0r1
fhpkN5q8FMxsvRV9xmdv8rYQVQeK912xywQqmIe5jCpEkyuqG+rFXrTol4VVLqC7Lek0LuJ2uC7S
ma7Y9FsvqOfbsGRCZyJTw9dIL5ZFK68Cn11u541X6uS5kdSw6m6J9S1Np82Vq8rOaft5a6pRxF0q
4Q8Ae7hyocfiNyzuR6VaS6m5Ye+8adLO2E1J9pEUAkB8WLSLKC528FzNRaFWC0WN6nvZG647YM07
ucM7bBv6dxwUxgL+nwEs0WDf7dnec5VVtjPJTbEAVQnBKbXWuRLceIZ01SaroMrlFcn890adP4/j
+GYCaYdJd+slzQ4SL4cLbDDu0XPmBeGiLPE1yV25Tcb2JsltIMl5s9clLrKHh1DXxjarwk3Xl9bK
VveeHy17Wd/YRXMwUh87UWSS2iqVy0HJH1rTyNd+7H10PS6DWtNJlmTxp4uid+xCI1AnwEBX19mD
nAz1Xg1jjEO2VzvNmJsLr48OUHKCVZIwc+cSU8yUSFdyhWaf0f1b3vvf2i5ApmVM4dKyCJAuskne
+xAcFmWjf01a6bvaDMtO6RHmyuj6o8x2e6Pql5FR75GyK7vY9zlaXa6nOn2zZjyJxQW7EgOAYyGe
6OX0KsiV59zXsA7K9lI0Znzgcp+orSpo7tVu5UnJ1y722mXXaBuY2Y/Ubt9B/qJpM6JpURFtg8/J
Z2ZthmtTsDQcuvIlHrKnQWplEv8K7ARK9YMS6uQqdbejn1CszMKGmIlWHPzf8EIQ9nNK7MZ1IeSr
vh+NpTUF+rItTflaLdXHSpW+l77dL7SyLlwpUus9zLvQAbi6nYJ+WRHWGzXhtZeMD9PQJvdxQRpv
OmUkA5mxvsAOy4BUB/4y6k2y4w1J3YUx+doAS528hmaDbZW5RTd7PLupBN8q2EnGeFNGPK8YgSIe
zE5dakp022rIzUIjvS1a1LSKZ2nXImgeQRl2uyy2bVeLk57/nFtMsxFRND66W7onOMaFZCz8CvJk
mWcGSdfRg6wQyx1mODSjTmkW6mj2a8zT4eOUxQ0/Fquz3A64Q76Z7LP2Ue/7UFIJJGp89bnzWOn3
inKwlVzsg2A6jEJrtwFh4ZCesw9TYBsqp6hwJM9/GHr7WU99Vu7oqh2zMz23j+QrNclvO9m+Hszs
ecQYySJynNyp6c1FkMj6Kumabe6X6kJtxdLq0vtaN4ttHSntKrHrj6Hq+RrMHAhilMSbyvRmvWPh
qpJ3mxEO5NTtOLL4kdFuYKFaV3b0JZetjd4FD5aO29aM/DdfqD62lQxOqGYTVjKp/o7i2JVZkTpu
FZMbySqBy7mdbfWGIHelFE/hhGdV6/TSAQJyP1jtg8A5Q7T6dUr33RgN2xFq+KG1LANkD4+rGbJ6
Nn0S/FTFGYf4OajHbVJWwkmH8KAgS99bfao6tgAppoXGbe3H/iqQ1JWVDSVp6bUbFpVjmku9TvYF
0vS0f9eTOsUVz3tmaMp3D9cdj18aNlIWfZFzGNQg5NdhqISrMB63uEti0J1GsoklmgWCAMmolfyV
7Zv2Is4ZAviWtWedyLnvSpAEXzGFJWyGquKjjuJgO+DvgPla/xBVo7n+xPArlGoV5MONHXuYBJv+
JQg90noRxjuKnrv4prsCmy151JtGTyFQCmkTFIm30DT1SbJYJ6RW1y8kNsBOMcTwp9MhWOld8rVO
Dc1VNH/t54r3pDb4sgeTQTmOWfzaQfGNTIb8ppGDb90U1psGEN3KnGErZh1cJ6LBAadO+7HoVadQ
81VFy/ifReD/n6sqpHbAc0Q+Mqf1/NeFlecwC/5xG7Qfx5WV3/7uv4or+l+mTRcPFbUGp2OuAP+r
uKL/hUeOti7UyJ9UyX8XV4BK6ghOTVufLUMIsKmK/eJNEuqlQUg3DPTydHT+TnFFnAiV8fdqcCYJ
F9H4GQLoxkmhHSCKXeoTOey5IZBG9Jr9wMySPuDWbTcNK6lFzv+cHPd5kEoPZd0z5stoDwiMZtNf
vUiSsmm8GhOweo8281Zu4284xnw3M6WvQWSCtZbfqjhkXZ9eh3bB5GsNbiwq1m2VJ61GL6Xv1VVO
kdp345y/l9XlXampSyVgEdrJJhChUbvti9RA6j3T7DwCyHVWLkNOPrE2y0GByA6JLS3Crnsg0PXg
R3XuZLjigNUfKtu4B4N3P2rFO5NS5LayAe5YDx6I0djGfvYqK236k4cR8DQwvWiPqNLDdePJoKaN
gSy4ylj3Qn2AbL/qpPGb4fX3QCYToGsmymcVT6oNig62sB7gwclZL8p7tOpXo6k9VKbujmJMoEnL
bKzwK47ekkU/+9NoPRbJapTsjdS/IBqpzWSf19lNEgYrcwi/eLKewq8sifRqm+xmbBDwDiYx6MnQ
HvLJmiPC2YfFnoad1lTFQvGnlZIFz8KWxKJWS3tBtuze0nOiCNiAsI62cTiLwW1SfHWtFterhPCP
pV9J5lJqkfkbrKXctKsaHODkGvRNN7Dv50qEPOzhL7/mnrSRyqhaJSHpLDUZAfvJJGOfcbZc+51y
AF20TvMqWWhx+90zMgW4X/bWdkm6sie9XPeS8mR79viKfVTZYOUdV+w95HsiMoeFadQ7UVMSQf9/
F5LS7EfRYz7vswWmalIJXrpOvFZdwzRJXdJJ49BfR6rxKhftQY6ML3lC8LAPaJiXIctWqbD9pZXq
7TIRol36FkbO3h/eqnx6HnsGaqWPSHmROs3R7MBfe5mfLPSiuQ2ipFn0o8U7ZIiS4oP6Ws7DfTr6
hdMNhsZLkdYQPxqxKKk+buvUg9dcYUZo0rB0qKZWbu9XbNBFlS+oK67rHi5Y2VvpbSU38k6Ws3yH
DdgmAMW7qhKtXEW5SIGn18FK9uPaFa0nFGZSFUK5SbHAtAnEC6X2FvIFe+5oV0dEKBlGBx87qdK1
nJbXcttJLpMDi+lmKqwrMfg3hRGZO68R9aPpD0a6aCd9WP0c/f7WTPCYp/z/v89/5yMvxirEGvs/
f/9HKr//+5DuW/P22z8sM5JIxrv2ezXefwctx1/9Z5F4/i//T//wH99/HuVxLL7/j//29i0NMzfE
BhV+NMfjNPJrm6BSCs3/9QD/9Xv2D+ccS3j+a7/GdgpgBghCWxY0+SiP/2tsV/+yZioheybc8D8j
9X+xhIU9p1jrZH/CFZkP92tsVwXvBW5++KAGE9HfGdsp0f/WW2Fsn00TQp0r8UwVtj33ro4K5wUV
WOJU8mAXT0Xn+nHm0fFPtAVZCJpTSNZLTlASuROC2mrBKkrqgqtOZbVA/eraLMxyBYU1WihWTSUy
IUIop9a0J99IWutl1cCXx1Aydj7DWxPf45OMN6C5sSeiUKPz6dpD/6ZLeKaV0Zzwu9BDYqv0OJWK
0857SqbFka1KZxFpRZltrLNwqYucRqZhfZmKcs8atyRKIzm0pk9sW0YSSR8nDkU827Gj7C7CDrft
YzKWOmP4QYHxBRI8GS5AdLA0dbgm0x+tn9irqO33AhPHzku976QBP+i+8p6rxX2WMygQ55I7apmV
rtHX5qonI2TVB2ayrgZhOV7Us+sxxH1vaNnCSNN7GKCUDK0RULzx5vFx03e48u182bZB6sYhdJw0
uVLldM36a17eleBJ8lcpkG4sS//ul9RSLC1+zeWK9kFaPJUNI5nBoGPMpJ4gL+l1SOA8u+nB6MVr
T9tDZM2ylath0chY92USYBZ81Ne1ngvyPKwvsYY9NTP80i2ril+nkpZq9CRh+OJlIINGKusrakLb
3gs3/4u9M2mOG8m29F8p6z1kcDjGRS86AMREBskgKVLiBkZSEuZ59l/fH/JVVlZWvXrWtW2rRa4y
xRQjAPd7zz33OzrXtPC6H6qp8U+4BA0lJQQsNyJOlOiNk1yt2zLi2tMHnAMpZzYZhqDjm1gQkuT0
5UF6cMf6YSXFBXkwL2qGFeLRWqfM93LnrHnjtJeTrA7DkkZoaSQj1bMeVBZSNsrTVW/sOSzsBKXH
YAih5fDTplYohHCtf0lVoYerBlxiBExkO6jscEC+sgOidnQwLw4gCyPvmsCyxhc7cy/LCAweh/2n
WzW3c4XWakhn3JsjzZtb0+Y2SHR8h/l0LEuv9dOIogKVbzgkWnnNstYMh3pr9Av9ubQ9e+cNkwhl
rB9iy72XTX5Lf6Q4v+tol2iU+Us+vXTwzMIhHlHXpdLOzkywRTtVjwJ79o57+HHtsrfUTu51TGjB
NLAuvDRIg9NQJly1vJHdlmUy1vGPxlm/Jmls7Q2VWXTD+WO3aHunXmef9/I9pXVYV/aRmUj4gNgg
e8Uai7/O8umazS/NG97GJeaxHDVgaqjfeQOqxrCviauvuzEtGA25zbWc+2yPdKfxya+PLNh9myPg
xsDT0EPFjTul71blnos2e9KkNbIaN6hdIY0O8oscbuz0w+xnuZ8VTJuogZOAOGbtVrn+msy28qt0
+cYREySj8TXvgfInWncQcLvYgH+KZ+3OTJcXnu+Hso6Ng2jR+a2xQqhJW/pDw36uFF9SPU8z05n5
RldEdxuzGwV1o9tctl7otsZzrPJTBEGpjKMb0zWQlCubqrR7SZT8yhG30C9OvAkbRirt5EejI5Vh
pMteVit66LzV27WyzoMBFpmM3HGnLfYvRM1618Iry9v1jioAWs2GMptadKQVuhmJPbE/bcAztaHP
xAZBq2IgUk0FHUbr6weVN6fKUz+00T7WVMI1GLV846lVG1lN3xhrxkZbm3LWhNeq8z1AbGsOka1g
BRNEUb7PkrQDFga3bd4IbjU0mY1sMfAFGuSzO+7O2YhvSSfzQG0UOHrNyTcHfOAOiLgu6q+QD6v9
sNHj8o0jV21EuQK0XNTCmFs22tz4G3iu3RB0G4sutR2ymTc+3cQIzQBYp83a64QxJmi3YCWQdkKs
RxYu2VreaHee1qFLRs3DQCOuWvtbn+nEqpVvnsbeP3LMm5s40y7qeRR7VRYhMZYv1YbV66rGbzfQ
XrYh95AZkasNI2g2HB98jyHUN0QfgQIR0qrYa2udhZZJ1RzrqP1TOqHJb5g/twP4VwJGijYEYGWs
x2iDAg7QAQcogTm0wHXDBq7JfJfDEVQbUJAP7TneEIOlEx3XUjo7T5tfvA1DaFsZB9AMmjBJk+uy
wQpjqIXWbLZBTBbF2Rqs9JBaSAO1mQTwS2yGXGYa9p2ab5Xb5dAPGcO4I9eolqD3qA0Yk23omGKD
yOgbTob34CI2wEy+oWYSmDMu7JkEBs1ooD+r37A0gsGHt3KWMEn6rDZ4DWLddinRH6gNbWO6SevT
ED0zpqKN2AA45YbCsbKZKeiGx2lj5dw3jtejqtdduutFfupkcnUa8zBsYB17Q+wgxp3TDbozbPid
OVFXo9dSPzKrX/aG6KnWe2ND9vSKTmxeL2YVf3Yb1IfQxooQOUA/xYb8mTf4T5s2H8PYXtQcu1TH
AILsDRXE+yv3smPqLBR77xIKi+d5b6qUjBVtllHrNk58I7NfzLU07joDt24SGSXjpfFJTsj8Ufuq
jWge2lIsnKqcjT6Bzy+AGg/TwPvSrhPJc+XbBJwtUKOLwcpA0un7wARpoJkjy/hq+Wws2RwqRq1+
XWnaQa3y69Ct38tkeC3Aw+UF9XLsJTCGmF7nbgcIkXrFV17vnW0LmJqV8+zxQxASm77eF9CJQfLV
7sXlYt54ktuynSg4khh4lAqOSFNXR20DElLnM2CJtrlMVIK4HXg8sL+2gYjtW33wup1Uy7HvFa2j
lX5jPLMG7myjkCU94z1IJWCdhRVo6/I6efMatov1mcgo8ssegTkp7Ge7Mo5I/FXYVohi02zMp9HR
9EdXZi2MEYGrNEee1mfqIUYrjDLM9rjqUcnuU5SFMlnuTdWpYF6Ll6lasoMntCQU2dr4aW4sO2cB
j4ilFLRYTAE368ZPzywQuArVcmzn8KYZWYZO6xm70S7CRFdIor3hBv2ShIaBX0JfLPfouElDmZaY
4bJa57mL6pteyfaoOYvOA4Ey72qOG6J43mqZ+2J0kTy6ubhLiuWaTLAHlzz64IUdgknPqSlW72fJ
sNO1lWJ+CBmStMZnVU8XePHxueh7zc+buDhG0uLXSSa4AhH/jGdDB00Ypd2tYBUhdIj2QpJPn8wq
+87nnfmt3dypeDR8almkcMEF72QyDpsmZ9iblR3WD5P5jhV2tIF89eUOaIx9PwzrL6o6MPve8NKr
1Di1ZKIH42B2J1Ez1rGyKNrNZhzo+rzPkV8ZUuEfmVBOA5rFMcw6ApO13KaGVE0Mjpo2siD1GGCS
luzNSv4ixfrq1B99RQD5vECAqIvMbyJ5zVo33qnOYrLqddF5nW0V6qak6FnszM8t+zFpk2PX1Kcx
Tk5e/KhnHj4XCyl+Vu5Xlpv9gdkPnX464ACY7hez2wuRu4gbK1mhVWacOTkuiOrPRSZf3HRV2zMl
dslcXF1RyN0AtChP5f0iRp5vY5X/0Rr/qw/d/Pf/ug9lmePnX/5P9c/t6/bH/uhDCRxEE8SLhZj4
py6ULF3PhYpiWM4m7v21CxXeF/rBLdjIJoACUt/fmlDhftnOSaEjVaIYsRTy7zSh/7DzQw9qwdtj
B4C0V3jM9j/ahLNsAevU1/apzQEID+anU+2bqn+FoPNj8cpbBZCD2DFu8+pZVFA4/+6z+qub7C/V
WD7UaTX0//t/0Yf/qQmmvaYvpp/e/Jkb9ukfE+BdYkltL8/Nkz3p3xaToYF01XIiAzJ0RvHZLvAg
O5Q8bBxHQku/F0iV+sRdMyrb2btQtgg7RkmsR2aV5rI+Sbt4W2R7WOKRLnQFUR/BBzhWxvxIL+f4
ALIe7UZ+XzKy0NsyBU9qF6fFgg86Z4Pld27xif6yvhTFagbNAG+yNFeMzsl0LqwmC2TCBHXCmxJ2
WafurTEdvuZmwXzI9Jjbz93t0K8D3qd0bJ5yT76Sb/EwNZ7cWSkFecxUcXAwieXSfZDSvMvT8oN2
tvFnb93Xng2mtHF3rW0fisH6yOSo0TMOhJDN8zPGrvNAQMUu72BOooW1u8zU/EhBBe+6Mt1tIwxo
yu3N2JXtPgWT9jLabf0EkGr5GIySmNj5bMTVsO+9Xn9ucss5mGNf4AZJ3OtWFBw4Y1TYGVzIirNv
F7f2h6Ha17IwXwEFfgdUcMpUiYKmx35K1nODvrurEHyNSL2OnjCCPu2/eSXz2FYiZ3bV2aQT9w01
krimVfVRrJQpi96FfQwkoqpn95IgOD9ZSxrvUSbKoIw1gPZV+msxpod+Ky1G1gqguy1ALSHcYvBS
+6SKH2tCQnwmsS/2oO48vb0dGvS/DEMe32N/NMd4wS1Vjdciar4nDeGNKLUBFHRQSnRhsnDbU0fS
MFxK/r6e1exdalcryRp/Mc2bNWJlfmqLI2Sp/lxKDxtY6vkxvoAjkWRI3zXw2VnPj/GwvvYd3gHT
jm7TpIKVOup9UKRziTctorp07+xEM7fZ3ZszqPWURzQsmaqsUK7rua67F34Pz19Uf5evMIGtoa1P
tE0D3X2OBhqz1O/QhpWhsLIE6HLbM/Kram1X6O5JzkW1X83uOw6mt9hdftQmG5UFCvJuVOpaZc0c
MPezD5FbAM2tp+HYzEnM4w7xzxX0j7N7H9fN5ItEf47N5DTa2681NuMRh/YjGNRiJ2VC85ajZj2P
KUN511E/ohzbAOEzdTBEEQNHMd2NnvY0GIwl7F42e12rqRoT/R7o6Lpzl/iucbPDnFV3UlHe5pHw
Wf/UzfncKu8ZIlZg9vK+Wsk8lkn8Opj1Kx/Sj4kpCQMGfY/R5h6vwXdCf49jkt+1pctvsUzHteIt
GbvoeyL7lKvSkT5IayPQzfii8EIFMSda0CvnezT2FycyIO9yOEKG13r8AZbuE8L8WfXaQ+c6b4ly
n63a68NiNh7KgrJZ0w/lANqTV/wjwnTgu42NCNM0qCrdugkD68VYzOtoet1NMhs39NDbjL28mDqf
zBo70BHlbIU9gWw78sUVJWu53BfgCAP8hqNvWRnvpc5KixgfxTg34brm3T6KqQMaEaU7UdvRJV3S
0zotDETpBnY9aUwc2d2Ptewtv6qQi/pY575XEhqg8WGsPdRSS1g+Ts+3uF8/3dgkGyTD6Wp4WNaW
pX/nG4n8eRheJL7dQxotGoXF0IGs5cdVOSq5V1dnpxb9gV1KQGt11R0xHc8nItlPC9zH4zTOW8a1
PAxpQT1dJo/mTGyktbpPXbIavmL9AgXMPM4Thzxin3abWtsIqBi+j8v6GOuAG8s6f66j8pqq7qS7
6eDrs66OmrUg4ukV3d1j7oluZ9jyO8+dRmZ32vtwWG/T1DzIOjnlbjH7aeL9cIrVPlhCxOexxrdo
Zdl8yNKq9R0K7+9mjDJd5Yt929tlV+801aWbhlr5fVrzcQ2tRmq0eq01GUaG9ayixjsxpO1CC3vm
jmxcqlK53HYmzH9v7kI2cxmRkeZ9pvx1+Slbo1nN1k6t2hgmtUT4AEp51AS9xJybDqsmgG4XLJHh
bBQbVnW8tUQsaPfkufQaJNzsZJvNvG9i+ewwDrqv9IxFIS2J91ZVWP4imwWcNhAyMbfefT6Ct82g
iQZ952y2XrRXlRv3BUOmScO6VI/3sdae1tXF6zlck7IPS0K5rdH7BuKSF9b6aXXzQRSKnPN+OYK7
S0LdjSALV/pTtLhiVzAS84Xi6ZrmGTHIYzru6DiUsypfd6Y+P0edWP1V95a9XmklJtgWkvzQPFHt
mDf8xD4YQc37clmwUsetOuuxecqnOMB4IEOmfxeMNG9rP37yEN5ILqyi7hif4DsPeQsmMLXpNzNa
4mO6YHRdivbFzVMmo0A8GRPZJ8Zvt8PW8EuzOjdKoZtakKiEcvQd5ywqlTFoOwtsaSDERCx5R8PN
f48l0TEe3MVWwdAIeZkxbCTWe1NmR4ZJB13fDhLlXpfYDLUuSS9ZEa0BBPmv81iuZ2UmhEXVBd+f
rH6qQb4y9ol20NXzJ9aOtJPXwLEdWbOUFhrXWNdfNdnXYVczVbWwJ7e9M4UrUCp/sGt1m7fyR6p0
7+xKTpy1lTcJSTifllJPqZEcyibJDjlCMAxuYe549x5kAtTMVM+llCNavTDDUXJLt+30Gd1kKFmL
AWMY0yoqrXXyjGXai8F8SLpufOIzn4/Q+bX9bIjbupDdsSA8DJSdQcOpN6925mHzlO34pMczcuCM
H23SLa6PIe8QShHq+LvnB6vsz7VjxL6szYOtKnk7leZHaerYd4fmti+Sjzoeqkdd1M/WaN1LTDa8
Jwu1hpFOt6pWr0vK7C5LFsdnzIjYz2EBtru/3Xw0kOMJfiiTnHOs+zDN9cp0tN2lSf9uCycAm39c
bednPBRu6PbyLCLzm6od/qeYGH3drld+pWLYL647hGLp4U8XMw/RfE6L2yp6YmiwW8fhaXFQKRze
trYNh869d+W3LHp09fm8tO9xUzw2RRkj6zHE6+CicFa675HHyNyKIcyPZb135o77MXNXg2Ye61cs
1jKcZ7ii3KD2vuc71CeD1bw0h5TsNiZn8RbewVLidmtKnIadH8fabW2vJ0cjab2t7qOsIsB+xV1U
txr4Nce6sSSVhqG11iGau3JnwaINxYjbDjmC5GMP4akcUqR2nJpyTO3jjDrIN4lUYOX7ocN+tnjY
x+3qq67h7WHpkZCJiCtjUPmli6XE4UJVlGp6crRYYCgS79vS6fVLkqDUg9yFWS43L7md/pgzZMx2
wUuQzg+rlHhpE9RY6OMecHZcUyGiz96cVgcVhZt/Tu/4wOx9QRgupUpEzaT1U2AkzPW1dnQD8rSf
0B7uY2JcxIHQCHwEaWrvPSDsAadSu9fbefF1yZwhKS4TNcljU46bFdb9MWIPHmO7Dpp0rNBPpoRl
auVxSjRZOCUj0PdBIj5b+o3HERwKtV6cinEHHykZ9UlxHBxOmIkvoOqwJzaLI3y9L8WBBIz6o9P7
H1v6qU/srLETkobaK0V6KKvisaV/ONmlJrE9JM0RWV6eSmMQvq0yVkWgdO7wNXBq1a2+LyQFbyXF
s6bcg5M5rl8mpfQh3uOy6oipr9LhW+9wCtpRhqnb68TORWHDn2H5zZZREMPzL1DLdxMj353FWIaL
dmh3xtSTR24M7i6tmuFmqmeNqHvSRcrafu89zu1yKhkuGpTL2pq86C103SVHMraX5K5p3WIHf49p
jR2R/1xmn5GjKoCmxcNA1UaL0rNNkSzshoFDZ3uZNRY5hBFSctCb/HpDaiDnM8fZWZGaw7oaprAW
cZBN86eXjXfMPmnR6t4kO2U2wpzzB0vBuBswDI/Ryrg+bc9j7t6SKIyLTZjkIdjil6UsYkyGtzx3
DsOgRg6JNgvbQmeZAEuKIbPnsp6uupjZlEDqZp1lsIKsQalZCPPdRfQWmoeOXRPHUsgVjkJrbMZQ
SnUL8+eCGDRbYAG9pfiFLfuFid0QmuZAOW8QqTF5oRanoazGkyg/N2wD0n/k14o8kIRQnS0vYlzd
h7qpn7p4rINukO8GDzyIxm+RxadRUIt2Y9B59dWa1pchr3AApuwSKInG7FaMNa1V2Duhj09KUUQO
7CJD9HpjX3gfs8Gojc5eweKmyXtqI54ptEK4boW3+kbTn0YXcTSa7TRoRwtBTGw4n+RnwthtF098
76sjWGcY1+m20Yr2a9Lm+6jvOvYUGjY9ZZXuFtMeGZ/N1x693IcCvgaxU5+Gflp8e3QeeVNDvRSS
lw8nPDX+ZWjyZ9HNrwU7HMcuLj+8xdzQivNRClrxtla0ifn8Y4ksvA9eQVSElfDn3e7X3DjLHlbD
LZtu9V4p08QsmYubmrKU313vgn/fDfH/5bbhBm3611rV8/v6F+w9yT+LVduf+12ssr9glwArykwP
WQYD299ME9YXV4dbjWXCguKL8vQ3uUp8cahiYKxICNoGd+0fepX+xbP5SdgmtkxKAxPG78aR/4dt
Q1PfYA5/LKSybcgKHyUPeQ9kcuuGgz3j700Ttt6bQ1Eq6yiSJA26nh4qWzMiMAZxSc3YOZSuOz1U
LhOgyuofMVTtBatn+2KMiLZIxRQsLgJ+1KC1sM93QWdhj6dIWZ8TvLeZmd+MNDFF09zn/cDe+YK0
IPwlztUBOwd39NQy5prbmLkh3hKfsE0niCker9O6Z9xX7yNZl0GTo3EUMcBgqUeYoUbe3HZO46DU
xqCwOXajSp+ZSCXvyYzqXdqPazYcpniUMJIz9xGZ+gd6uhnom4vaqFycc9kDA4bMZ67D2HYSxX5g
ZkIhlj9NRfcsi5bhp1GngdQXbBjruPhJUkK4z7MTLtdtj6q+at4M3NRrecXs7ofXWfnBxEsdSqN3
AwaJD046s8NBDaOp0Qyj2bgdXKul3SDlY8HLsjNG7atbRtxj8T1n1bNZWbfN3I58SG11npbuPqd3
6XrI7Yb7mNekjFjd1R27jyqyYNSpbOfg4cBi3GwtAV1h5h3spP3Mex0LSj9/xXUbPRKzlb55Q0He
namzJ5lWwuEOY06fJhGVbclq5DmyUuNTN1Kxb8vS3ss6NciGiC40xdG2RDP7fdvZfPGx8qfIOaRI
6buhwBU40tL5Ri3joI1ZnmSKedDk9FBsFTKij9Flt/0ELyin8TD7c0y8+a7ymKFFBEz1vRUO9hTm
Ex5HE9WCkUFLnBVbiARu9azyLEvxqemKezHCODDp9X2XsGpYPY2iJCKN6VyRDyfd6l8n9tqihpG1
cqJrk8/Grk+zJyxKhPsU+SW2JektNjOVJrKfGnoPNgbEWxGNn4SEHRMjvTjjcOJ5uwhvCfDGFft+
KO5nbVn8bBHkPDFjBptOXMjUkhZmz8K7lJvcVeu9F8Qy/akvs30RcV8cpJk+Y9lgY6HtiFdTRbuE
XSNZz/Ia7YBxPj7UzBWCeaRQah2iHnRizPzKdfVd4dUP6NwFV+1Cj+Hp17Jtqru6jtJ9h8X2pEUp
Uk3F7ZIy7fXHUvB2VPG7qRCxphQFj/15O0yS/s3KyYRy1uHT1D49Tb/1nOYq6mYJ1qrE8LBg+RtE
Lw9u1l6ySVG28zPOqWr0XZrVsIhH7c6ZzY/VcR7QELubPGpUKBk07aquIYKq51sbsujdwQrmZ1b0
HsVR/agsjVFVM5bFdbCW72CXhD+V+VeXdazHWNTZvosS9qryEVMOJJWjXjCYTWgiEnf9Sg9PiWc2
bGR0vzo6ezZqXka3uteFeZldMlKjMmT7ws+XwY8xtNhGF2btfC3t+n4pop95kvssT7Bn0RI2ElXc
32pAV6U9csZf8t5zji7+fM19rGLmVwaVYB5Nbzhhakrs/sDi87GJmHMN9rlshu+54bCIkL+02niW
k0tBplZ/jKyjZeuXbO4vSz9SWBnZlfSVm8rC3U46ASB/k68+JzOqE+8LD0OA9vpD0P2OZnIvnEns
Sgq9RM84ZM2FyfQ4HtuC320qw3qYhW9CbU7q8gbs5d4dZe2z33zXdPJb1aefLB3dw7w9d516MksX
oTfSHlxXe9Yd5zob+qnJ0GniMZs3jcP210E800e/yzn+KlZWdMgBFBhzuveqtFTIqVMe80R/yUWe
HDJ3Ay8qqOzJaHcPQnTGXmhzGXD20dHLKQmbrHjURopbtlqToHGNMhj0IQ1MAY0f5YN2KGe+aKap
Feq199ITA4SXaR0/TG/pL3FjqTdW4a1dZznioGcmxhX2fN8bI86DODElG28lxRz21fopyr3y6OHj
9m09fmH4qZ/HpGMXKIpnjrT0zVpi79UY1XxjoyjvpNOUPlgoHX/LVJMKpVBKWdcQZQXhXxNPbrzc
sEJs+tPalpepj2jzdGp60sCU3yr9donkt/+US79ZTC1KmP+hXEre07/wHfx39RJ/8I96yQaJJuyN
OPan6Z79RVCgYCEF3EBvgr3zd4+pDtDBpSZivucYFhFqfyuXDP2LAWjfZObnkg+ywR7+jXJJOP/k
MaVYsqnkTJIOmPJZ/+AxJQXLWhYKhHPGAjaGA7UWz7zI7TU16puqYXGLp6fFYC4nHatpE+2zskIY
HtP6jeAjnbXRzL7ojCJ8r2qn+0zE3iEaEpL6nPhVW6N239XlxWP13DcjNwtRpoCDqLKy7x3FvtPC
MifuMBMnYxr3JziM2iV3Sdx2TYqEySYuJ0coDQa33QbhyjtgHfBuBtNTezYsMm7Thc3cGZCbraWs
ZiJfLZoGJzaqAuI0MHF4dr8H/5XeZ2PqsRI5XR18az2NY5AWNtQai6VvnSChMBU9PbVe57eNnnMx
trpz27TlKS+xxbBDMV8ih9JgGNU1TXL3Yo0T8Y4K04I5HVa922tR7QaZNbHEnb3aGKzehlRqPlKg
tx/x2hMiIX5qke2GA0sWm4AjCIwc7dd4ZhkgJs+Srj1Z8ZEVd3ljF4wts2WXclyrPkKRzIg/TM2e
SX0EAUxG4mg0udgNUCMOc7demzh+mWWcXyj8rFCRIrlnVJQf2lLaBwyEXP/ydvRG7bw6MU6XDSGR
qfjEdMzyS33C+Zh5xTVt2ciwtCwjgw4j6uAOn+Ws+ofcy/ZWMVQvkpjQQxOn9cmcxfvEHX8BxqBz
8tbi2WxkdmNRBn+WWTMivff5XnNlGlRzCbqDcPvQmTDAdVNT7qISGya+PfNNU7iFc7thxQ2n7m0x
ZunN1Cprn4weDiz+J0GJSr/jyI92zvBb/lkhWW3NS49SgHnH6hChomIKeZgXyQGK4Fr5ImIyMRAo
55tjdZ+jsLwU7joEZS/AdmhjfNiMPA+slGqPQ74mr8oiHKrUrfwmMwfnPBXzEJDt5B6SpOCZy4W+
jxIYFAwiLRx/VXGOObmF6iAA/Odc/e1cxRn/P5yrO6z7z93Pf+5Ctz/2x6nqeDpILmz2An4A5+3v
1n37C6cqfgHpSJ3INEz9v5sm9C+YJZDItyA1zxQmfoq/Wve9rT8Fzck+pTBBHBvy3zpWf4Px/bkL
JQ/DsxyTv8WmwP8DkHMotSSatN44EllsvUkWYXU/xkt6wE8BAqqv2FUfNIz41YzqSYSKeownc7yJ
OpLNaAu7OnAnPT70bITdropZbNdYF7O30g+9Q5b2YsmOfC8z33E7CCCDnSfXoXdLZFm3CROsRwd9
lDoL8Zb3kKXZcExU/jOSv0UvcmrmswCVbiOqFQ3PbYFN6y1mtndk57G72AIcTa/JOfe1xJ0xQdbu
cG66YVtyLb6xFN18txtHP+ExTnxHS0QXVlpdH9HySOX1irEIlVc8GDE1nq4nGaGWyJtXLxm0276q
um4HwGX6VvaLGZiL9RV2jXsn6yw+LUxig2Ht6tlXyIoBzn0WMZPhUOPRww2OXVIAkQ6UE19FR+Oi
ectI8YaTBXV8ia8dg91fzhS/DY7Q/HobG8+C5qOOnaPujZKZTJzSkMBDQdkmGFWbdJbPo4Z9Ug9w
QrWLjW2xyOo0/tsiipJd6SUQAzTDtJ7wUzPJLmZBP5Zo/cp6AB3CNomumfvVCWbTQO8ZzDJeYLTe
O7P36z+Hwn8VW9Qe/7rYuo7vVcyxkP7zsbAVLb8fC84X/Jfs5lBubUuZ/Js/jgW2MXFsUej8Vbb6
/VhwvgiQtuzyOKZBUsHGEfzrsSDsL5ifBD8JJLnJNPjf2ujZDqU/aVMOy0ZwuPC1G4bNTinH2d9r
U53hZKIaPetUJNhLxpNr1qGWfpRcuw3QF0w/flvWF+K4HtAxDoAIAkBX16wcgr4aL2roT+1CorrD
Tl4FR4m09FAMWGV4oP/us/1vfFcspP7p70rPhu3M4kjkMzTZavlHuKJnw3WK2Do/rU5RPraAOkJN
n+NjqXWhJtenOpnsAHmOLHs7WQGixCaFT3bJeu+GTN9mVxJ63ZWMChwSxvRcM8+Wgx2p0uQDKz3m
HhPkW+Ei9/ZFoJO0E9mwHrqlgubY3Mk1tXf6NDJStRNKcPtF6VZ6O63GyWPskTX81naPNDRv3XZa
/zDMbvJTzVoPg+uUG/6F1rOJ3yhvtYuZl9+YT+kwE4DNlGa9H2b6VFtE5ywx+5t1tljzd81s7/Ty
6sw4TpOcv+vYoMAU8bdeRQ+pt2qH0cwAGmH5rScGpmPmzeFkzB/uuOXpishiOcSxcIQqZjRx/MpM
j42XybgO5cjh4DI4d3vdect6cY6Enh10Uyy+aWDtZcysjmKUP4wG5EYzrJzkzjaxqfofJTZ0X6rk
6CpSL83CwHXOJic0mGY8x+160j2ynUhQNx+0pMqOzQKSFIDIcuxSLwm7PosOTT3d1wp0GF7zG602
vmmx1d2IJH4UAw5TLUlD29CBEXlXvcMJatrqmHUOt1bLYtJQoVMyvN5n3QBquK/NUBIrxnyKTXyg
EC9lDqLLrqcnbPvXtTesbJf1i3U/GWuT3Kw9fqEre6dDtLbtrqYmZnt4ZiuFvrWTxN07eXFTeoyp
gGtcFfJe2Dddj3EXv0dPLApLw6gec9qSC7fI98WJunPeJHUCm6Ube4aUzZu78OvFScFlA9yoeSF/
GC8F17P5LZLLe17AiJpslpdKywqRFMkABik0NTg36LTgsFi9vWcx9mvqxD/6ivGS1vU35MDYlyhz
H9y5eskG54VoaIA8WR3aMfs1MxvPgelW6W3GN18zqfGNpWR3KWFTOuqa5LBgrCTlWrZ7Y0XVjdeF
WTQrRnQZSdADI4HXIpW/RNESeJX+mjb/l70z2Y4ay9r2rfw3oFrSUT+NPsLGNsbY4IkW2KC+73X1
/yOyKgnLqtBKavrlJAdAbJ3+nL3fhnRwXGqAF/M83wyR8ULKRAUvAe48h8N1aluVV0cjB/dtjOYY
MkJjKRhDeUo32q7uxTck4JS91rrDFsCHtlIQSFmT8tgmHblGCR4pFHVlXeGwIGq7XLmu132geGpQ
PeViKxfyM/hFI9tUeplvZKWygEYVt6TRKN9qN6TG1r3+A6z91rc4Fx3vQ+lT4+mHe0ykTxGpjch4
kl1vh5QCpAfSwnQGtYG92qC+4er5t9qAZ+jHFoCCjKsPCZ4tJcV1E5Aegsu2wpuhcCAKxfdJEBmr
PMBLuh/BHxoZU1SpP7uJRaGdIj3lwFaPIFRLVxrOUR7coCYDzuxncM8Yl4dORXq2+9wXV7KvAcgG
L9C4PzPJeahD89ayfTRDSLzGKd+jP2DJjuyM7GlgJhUqwIH6AGFvG0c//QbycKn8lCEbCrxUPczF
68FjQWJfVj/HuXNl+/FGZNg+ZvYqyscP1RyQDjmqDvq6jY6mr570tN+aggSp/mWobIzV6yM88DtI
P6SxIYsoVbzvVGAwVbyVI+c1aYKD1jyCj3SNrRvDi+ai9dSGqGIgE7F3IlA9BWXzjd/1X3LPQnDD
geCQ25SCQyGnCGghxZXJ0g6JwVMUQadqAYoocLfWRV08o0XjopwBn08CatanKvBBNxrJpEBZQRok
e88pyo0VdZ98hGZWkRMxnWXq9CUp073ZK0+eQupQjdCeg8V4i4lvsYV1YOwlnQPNziGQ+kVZHwLE
aKgRBkdO202dBSiq2cHPwLBuQivflpH4GSHQZIb3uWt+dWOU5aX4Q91iDl6aB92iDkLitglyeU3e
C96771OADIX6ObCA82hVi0O74mzNyL21na9J1V5FGviCNg9eSySBwtTb16pyXzn5lSRl+QarTG2N
LXlMRZq6yAB/X2s9Mv2uJqOQI288vf2sAszYUij9KA1YDg6qHGzhE7s7Cl1Psa+SLI9hYvT6HQBX
oPxJ9iqr4YtA+nEb2h6EA0t9KkYnCzU96m0Lu1TdqJlrb/WhsVak1QVPfLA6ZorgmgL91OFRDH60
0q8caxhOUtidQBPYuwzw0D3W6842MUhnw7Vo1l4mX+u28lhY+m3hwpMvOXfLLLk2NfcJSMXH/7t5
/rp5Whc1WA/f/t/DbJJv/Gf/uXca/9K5W1KzGP3pJyohiqyahqnaSHP+cs35z73TolxKxs0y+BNj
VEn9fe80/wXHnIsqeTmh8RrV/tFzdKx5nr9GufKyu9ogDUBX22Ksvp7fO/26cVzJLoxjLfVPlWk/
WHF7aKpcBzkcI8zTWq+J2d2GifKBf58DvPP3WoypgKnz+tH0RSc15V3acfwiLIFVmeNXU8VEtqTT
TcmIzMw4Gm77THm2X+Wad1eELfglYdQoYXH3oXQHyjnIr3N2nlVTdPdtSuEoK+q/8td/yQ/M3HZh
WLzvH85xXdNt7DnU8WvPiPaI28lK0hr6UUJav9GVXR22myxY0it/PwwCLj9hyFtw/Z8mBYxUzfRO
roxjBQaf9V66C66vPFQm7dBkjAWgaRhMHpryth1BEbUdsDz9yPMUMGO48dWnPtqZxo2t3heiWXgk
vO82kseojSDMRKqaB9TbcJpTsxQc6JlVZQNY0ZR7w0q0Xeg8XH6MzMwW4ASITPP+AnkAI+RtIBjT
howRpnl0x7uAfgOd7kqpYXYYrnZXd1yya/eqMKtvBegQNSdXiyAtOJ4hXWrxL82F30uJZxEvRZ5E
rEs4OboxZqTOpwrIdV2QJdSOVevHO93xlY2agDuqHOWlTTV0BQeUEezWClcFdSkqgX2617ROPup+
pJ1gmVqHAFDineIkn+uEp0gfWiWPIWBUwIlAOuWlu61Ak66TWo/3YNNyHgGKv4mNLNq0Ptg4A8Dq
VdoaKJU2AIK9rkMrprTCL8jlQezsgYL2MMVT/97NNPitCQpFaCeniTiGuv6Fyim6K0OZInnYf7F8
U93ACj7JmnStaIKXi9yP8FIWP0dWmnFdUqNTF0ckU2y1RrvckxGaHLhVFV+0BmlDBfcO8Grc8/Qi
vCZ/LTRgp1hs7VsELB4KI4ODwwXbzUiAB5HtrMPKhg5s5Po2FP2doKqbcz5L4B5AjCF74QIryL/2
MTuBqzVi44BqoGCMVkLsD9Im5ua2biLAFWU/wDevBjjbW4EcobbhFhvkWMzawWdYezGdmn5qY/Oj
5XrXmalo17Y2YsIHXpCoVnpU/TZ2kGNMaOrVR4p+YFb9QG37Q+p6H9ogvXX78ioNCzjzCYxQT9Vf
ei2Gfegio4bA2Qetht/Ds2G4rUfOjxjZPzpb5sZK9fqkjdygyja/dkqpMRJhD0szeEnLVF9HRRbv
5JFdlEEzsvMWvpEhfy2a6r4amUipaO9juzAPXt5ZdxEO0qse4lJQpOgjy58Q+aPuN3Kb7JHlBLbX
3KEsFqzR1Lmm5vkVOPPBifrxVR19S/T+JYc0FSBCcbR1eO++33+pR+zUCO6H5ACeSh6RVeaIsUoA
W3Uj6koBfgW6V0CVAJGl6GBNiqp6RcxP5t7JJ0UAuLoQvoxUBt/RKlMOulQ91YC95CT5wMtqWFm8
WNDY5FoIMMyzcpJ2RnoMRsxYKVESr4GR9SOeDJY02c8RYyaNaDMf2Fk+4s+QwGuuc7kHaj6i0yoI
W4ikOa+uSHd+oBSo07JCaimwT7WZHxMZAgOaIzHSUmDfSkBwMmA4tzF3riZWGVAbJ3uuR8xco3Q+
cP36U0CvK74Z8pJAiTXRwqMWiJ3coYLYGB1XWKkH42LawcEE6itguOSSuAuUqthIPg/mtNPtXZjr
YGwDkQL1jB5qUG2OJCHYGdqHoCkfLUdGJQFNZWEhYKegQpLieofQVXzdNh2m1hTC/VR9RkD7pkul
csP6ftHkWl6JgYK53SgDGFvQh4qVWtsm1p/Jq9jrJGh4HRXdVmhdQPZy2DVVd6tDmd4kwr6lmsK9
W46B2YXpzgrbT5nqPfoyyOoU3XZ4/tpw9DLf3hlatweaj1u4L4NfIBN8zBFliUuoQ4aB9NMAfvRQ
CscnqYBAFNZvvJx0ibd7FknHDBX1je946zDCr4/CzqZWD7EMhUtWKbipNbi+xHK21cjztz9l+bdG
Lz8HunGVAlrKsmiv9eI2Fekmz21pk8ggp1vglYgWXEce7vO+LBPO/tKoBUqKKc++0MweuN0cmW7f
Scef3Ki46ez6k+5/Gurnuv6iCOurBNAL7cPyx9CXQI54GBWSs/M67UT+C9h3Y9NRhvSzRM6bFAml
JnMHL90OHysvJydSKICEoIAZwDhUEwQv2mMgnXRYsumuhB3lfo1k4Dd6A3tKUo2VUcP9LrdAQba2
+oL6+Ao2xKueK9d28SWxiyfb+DGgdB4NASS1Kjm5anadeeprKJk9JmTOp2ZEZvpwuLLwOCgIQoUk
9v29JCHMFmZwqFPEuBPlUUHjN7JUEFzIf8XVlyxNI5Y4zx47Tu47j78VflQg9ZqfmuJJ6uxTpEl3
vKs5IavPKmrCnfdtAI9rSfaWnH8aai8+GrybrP1YYIcIACLY5Igcp9mN7PZH4HKfW7J9OKT1XblC
tvBkN8G1H0YgI3SezkoEZDPtE7byjl1YIrPVOF+gA32oBeh4K4/Q0un3sfNi5GRuKc2uQkROqrLY
17G3gaFxkmTru+bFX4uYx2umQt8BJ52QWCj8VzP7VmsvRtB+TdISdibULsPMnsr+GekYFvfwo/Gj
L7nm32vpxotrslAIE/neRuvrR6eG2WYG9jdkCI5UCL/5rbtO1QT8a7RRAa2vSgNtI4g195GcPvTh
p/b7mDFEKlq7VhF8AcK/R6H+Q9Y8uwlnaPXA0cv+oHVHJNzXkO5RtPSeRNN8UCoswmUruSq45MbG
M/AjtJbK4M53v6NRv0p654ONhKYRk4AoHeAn+S06q3dlrD+lcOi43uxE2fHW1W8qjQSXpz+VtbJ3
KyyfpE6wy5CP4Kzbeq59TJL8SxP7xaqS7jVnE6VRvtdRYF/3EpoGSg5YFtCati/gcyKmhIpoL1XD
1iyFfTTzqNpYAaFkM3GPRQX4JNb0ZisCS9qSGEbBAbHxrREhGWM4SbGF9u7BJOK9KwVZsgMN9Bl/
peSgpD2laOq225i3cl/UiJim2W2rwf1xdQOoXaZ+FWjaHlpwKF/LwUXUPWqyg+9AEmmHKIUp5h0G
E1JVF+Thurfddh1mCcC6PLxJlbpfezm0E5x/+i2vfnq0EsqxU13yL0NochZEzZ6i0nUnRemqyp3h
SrfDh0rmvqBUzSHI8m2eq4jddVp8UGAN9j6ipq1j+DcQvQAX9hWF/oqsaVchToNkd3ZqWnmX2/ae
HCa3pNY0n+EkUN+K22BLVj5D8JfcCpYSnTOK9oGB39ZicA+e5RwLquCrvPHvE7V/ziHGBUgEc57s
s3zoblE7fW1sBGWpjW3zMCVFYha7/3u0/3q0j6+A/14uuh6rRZ/SOd49/+4/r3aqRTxehKUgQm5D
ZjyvFsk26BqNV5qG3Rp1pP9gc8S/RryOLau68Zci6N+vdqEgCDo+8n/z9f8BNuf9a3FEDFnmr0cp
zN6xmHT2KNW7UATw1esTuNLgpB7PemPmyUsDJk/Ft78+efJy2fdQ7erqk5NGHzLbvDaKz7WDmLTm
ib/SRv/1df22ITyZKCWpvBwMehj1YWPy1s8p0VDLBsOsu9Y6FPem93q5LeOb682bbBJg0lMJ1ip9
ZBLAqJyNmQHqM3+0kXSHO8UelvzlYG877n1rJh0XRj4ozoJh6f324NTdPYyMexUhGr9YiPTOy2ns
OHBZmo4zFT04YvDPZ4DpOUaYmWp9akd6q9of8wjtIUtGePvO1oJjW6gbLTBOLsp3lxs516Pnkcch
PZt7VDZiPPl4vgiISV6qbgyMewZnXRriYB0ux3qbRfirQwFk8J+i0MhpKijMUb4zC7nGD/Bk5yPt
dGUu9OTcDDwPMZkgEWykAuZWfZKT6nttaUe3i/7aZv/rJJ8IZbxvxmSwbIjXZh7QDNJq5IjD7EPe
gE6AWTZwRtatNKoZZRv+0lFJ4AaoqrTQSmVuap43czJqRVK7vShYB2b+oEtfhxp5Oqpw+8JNHgdR
ndTUes064xalXuxCipr8s1J/qqqa7L2aHEoy9esQ3vYfjK8lENOE7gC2ZtIxruNoZqoxl7KjsjNu
g+3ln58d27OfnzS6GaymMwODRQKmrtmF6ufLv6+MyaXp7kLF/u/vH+fv2VooAzcP5YGBheLBnS8v
j0mbb5pxQPuoPcQm2rwomN14CdWlRtTIQcUq3JL4QWTNi+c3hzLoqImbuBskeBpIPfWRLNEXdtnZ
JXv2mePkOPtMx00BExp0c9k2q6ZzKH48j76aULkPnq9tFnplHLVLvTJ+zlk4KfE15AUJV4gegYw7
J8xwCRKrzvyJrvLRKY2rsByFNtobex+56i6VnIVvmB95GF9AaNmHpucKDiENCh8mI4+YpZnv82hp
G5yLoIPc1SGQgCXVJ41MQZo46hihgFEoCewfFwZtbsWeBxgTume9iCKT6MElsWLNn7IHBRsrA+Nz
Ofy4PFr6W1LUX5vTaAM34oxBsUxFdPJEhHgDMFq1Nzw15nDl+uWdJIwd3IuvokH1UapUZyPjvgPu
8S4eZED3ik8JziUhQ8bosy7xMqIIf29WqbGKEvOBMwI9/8q8o3oMGNLDX0LLtgrajwAtizvYig9G
B3E9SbQXRBQ1MqP1eGGH7ekbiFcrwrjTPSSnKyW49WPzmsyNtZXh9a4b23xK0ubg6PpJpwqHkVQN
SFjuboLeRx4tQdvKz+6jyv9aywpgUidcmFtzq+m8wyYDkyLqOPhtU5+CV0j9K5JGYX2QXIgMNwtD
M7OOzgONu8/ZDKhrpahFTiBDxavA3Gm12Ek8yy9HmW+OrekMPugoebKHOXWeZBGK8CfyzD98+1Ez
coRem01bBGv331LS//UonF014Cv/E2yyE8FobZqyZ1JXdXtrZWS4e2l9uT1zIVj4KkUUcvEIQ73t
Nc0yq3G20B5JjPjifWgslFLmesyQQZCBIQVFOq3VtAknWRQRoYDnq2PBZjvRoxxplNnJsUWOtXAf
n2/R3/F+3QXP5kHqykhkomd6Cj+ibeukC/N5HODpdk1TAKNix6hZ0wqg1PdGp9caNyBtV30PAL13
vfwHk+w8xmTN5KqcJWrCdVVfCelGDIh77vvqT/rprCGT9YLlX+gNgp0M/7Ct0z81Qbi9PLd+Paze
9xX0Cs0CRPzOErY3sT4Bg8/TSAcQSj5aHES5rYfjbrMerEdZLFyQZod+pHP8O95kvbRu5JVNSrwP
u4XNZemXJ+eX1QEXiHruvdQ6DrotNu5S5XQpwmTMNb8fUcIKC3EbxCgaLHTN/LT93TWT0RZu1thF
3NYnlHeOnZvsTfNLZ9kLp/BCI+zx9Dxbe1VaYEXmMABl+IRWbYDg9OUptRRgsl1V/KJt5/QS3p79
a3B/+dfF+9NdwHwjhyEUGMbvbtiB35VWmVR8f5ftQq95HgJ3F/rpD6p5aLRU/oMbiqOvZV+qxu+3
HsWtIhKPRv0Eqvs511A4GcizYvCBbRHV142mVofS8neXv3NSxh1vIW+/c+yms372CjVpQouzrt1T
3fT2g/4TuqgjndRH9RFK7UI48W7Pextucuh1AOwUNj0uV5ht+Fl4pZcDmCnrU5KjM2f0H1VleDDi
8ktSAOSr1e5W8e2FCfz+GBGypZAkBUxrKqY5WYFGVmt+WZf1KcakQ6dbOWvArpOOBF72Q+nbr5cb
/X6mEU8zgCuT3jHlKQKAMkTkGl1eYwezSh6jhdbM/roOq57rGpiN6VOuwb3TtRtApz0CLHb5KUz+
+WtO/CUQgPOCaUCheDtF7Nxp1TJMiWBCO9LrVdYsrJb3W8qbCNPFXoOVRsQ24WD3pY3fXDnUPija
XR6GpSCTBR91dobgFc1wYDiFwVXipmv9D4YaUASSoTapIVlMprcfypVr4Fd7AtcT54di4Yo19vTb
U3Dsp98/PzmVPErbKq4OjAQ+DvELYrPiqsarBsE+pJMvd9fcvDqPNVklcQHSwbCJpaA9rIfbPljY
4cePfdcYDeiTzJNtTKa9nVagWOsqlQngJM6N55mbTDvEVHBSNO8vN2V25M8ijU092+MqN8kE+HyO
XBkZSdvZ6FguRr27MDpLYSaDr8uhK7KBMFCbEexfxbf2Irxnbu8CM/Z3p01mgJ/IRojhK4mbLNpm
g9ah8+ZeiTzmNDZPQoO4dLnvlkZpMg1+911ouzDEcbm0Ga4o1neIri90oLrUg9bbgdLzpsyMuuCF
53gwEqr2ORlVR5HURUmiKynisu5WJTVENJjR5nHc+lhE1UfDsH+YffsjKFX/mGZogSX5a+/K+J0i
6ZSVX6UhemoVwMdtkXzJkAppjGaXDt2RV0t/5xTqfWyG2wzVKl81pZUbJ+haOvY+Vw0ECuowwrkR
v8rLXTuTS2Y5G5iEAUQUCpmAt80tgyaNkbkio9uV66q6uwYEC5BArn+KhcU8dty7tXYWaTyWz1ZA
lsVdWQ0x+9JG4Phr4aA87HN/1y6VMObaNBLdVcCTgNB4cL6NpAz/iSS3Ge6ouMBuG3eNbbpVrg3p
qs5O2tKuOLNTvQk5WRMAQONuGBtHykRcNdLCuTH/81wUSIbL6JVORklx+iCxOn6+SUHFwJYuq+of
vwnIlSm/Q0yGpxSNmWRmyET4ORib3FlYVzNr+M3PT3baRHSOojmINxjOo6yS7UQaCquZ2l3oqZlk
99t2TDba2HNkxOWY0FJTxJtOQwrfVEpkzqIr08pe+ybfxwBnwFavhNbc1SO8G6gSQJA6zPFjd/S1
aVAwRxrh+vJam1kAb7pgMi11CT9Y5Ku4g7WathWVDbEg3Fe52OQGhBeUeFaCHMLloDPH9Zugk4mp
hbZwDJOgPtgN/D47VFaCzVrGk+dyoLnWGeTm0CUwECFQJ4+lLMjMwbV9HuAgCZ5AmGzJaWs43LXe
wgVnZocmqQuXT0NQaoTNvl3e6LjCKVM8MHR1v090+TqzdkG5tORmd5HzMNOei5rSckrCKBIndlzg
PFohhxC+jOI8TYV4Jn/K1NHG98PSsM2csdzUR6YdBy38xHFYzzbLPExiHFu4xJmh/62pYX250GWR
IIBpPlTOtao7u8vjNxuRU0BoKm9GeHBvIxaR3OMjwrrpEbvkSQo3TProl+paV/aXI81tZga+lBw7
wOGos7+NlDQYRGV4YJ/A+7Wvw93lX5+b8Oe/PtnHcPXyHJLO1anVdtJhU7ioHVB+WLVL2YHZnWbE
bBuWYNLTa2/bMdRD5CbJ2A4lfUpCl+3DQpgQLakCkSkBqY9sOvlyr3+MbZFsCgNcCw6l+c5Nu09h
Xn3Qje7KbZsvqQpK6HI3iNlePvu6yT1GRDgBKCFHhhP8aIPXgK2G6+aj7Le3TSGMW+FbG9n+gZML
hEnmb8xEbscZbefGLgxfksaAsuN9zsZvM2SEP6T2iPnKZ1sGhjNYtffJ0BBMXtivZqehrgIIEECp
qa287VS7CdVgsOzqhPXuJy+VcoB06rNVD4fGwutcCbrPlztqtp94U5L8xEfgHQdikLwwCwuSD3p8
W9W7vtxe/v3xgyfXHsQDfv/+ZBy4PJpZPlYMRm90tnpkGu1vfxACRCJOERYaMNMXn2MreR/LHUd3
gEzrU5btA+npcoi5HA33jt8xJruh6mWcnNaYcXORyjJ7/dghhLYixQEREIEClNZPVtWhfQnAUUnI
I7c6uQzwx0lYDqfLXzM3ZiY/zRsJGIw63R2By0pBO2Zw8O20X9R+Ycjm5uDZz7/zttCUIhA2eTPN
BM+oifBoy8rnUQgeX/D7odv/T60xJ/thUKeWZDiE60/imC3sAwtdZU62QymCzCZsnjO6K61E2OOW
rf5vo/FLSujsrPIiV+RpTC7r+/bT5Z6ZWzvnAzE27uyXsUlOnHL8ZS8cYqTAlM86+uHrgWZcDrTU
S+OHnAWK5GRAdo0haBlg5No2SZMvtOXXzjXdCM4bM1lBWDggCme4PBH6yIAGbiEkX8qPhR3f9AYm
HhEVMdN191LofnDRp9wpedRsnTi6QXIp2qQWSrHjUsKdE1ZjPLorl9usDANIzl6DoEVzj/PCgJlV
jhydcuXXMOsj6wkdnRiJQNdFWrC7DoF0tRliselQYlJXVs8wxq/6utjDk7y24+Bx6My7Vka5r60b
sCkByO4qSL2rKkR2snNsBw/fJFUOl0dgprqCiOz4utERQHhftYc+I9dY2bGmRfrd87SPZtaQ6nOc
5MZzURQ0bf/YoRa1JV+OT73b3CIzdeX0S6WF2alw9h2TBWMUEhqSKTev52dn4Wxb+mn17SxrtLoO
Qp0mVii9eegyfbzch7P71tmnT5aLUaEg7tX8fimhZG3tXfWjYyeHWPGudavdXA42uzatkXeFZoVM
RfRtY2AnRl6C4PXJ3ZY2xKr8CS+HyyHGFfFuxZCW01RwlWSvJ6sS7mXR+zlJ67i+lt3b1EcOMpX2
bvlwOc5sU8CKjAbsJvNssgELeFPgsMZxqQAxJ8GV44fYB0Af+9/iTKaWPpRG5mOefcJbYQMwvtH+
IIClUMlFexI9o2lxWpiekjsSb7D2Gb+Fl3gJeTjXUWe//+vJdLZNWip2vdrA7yPTtpJ+9uG3haNk
KcBkJJDhVqKi4s0liZdGvVXR6VyqRs++684bMRkFqZAVq9eJ0UcKqH1r36PSmmKwIyHWnZXusc/a
YzkUP3J7YZ7NPU3OI0/Wf5LJtd9HAXeoBIVWpDjCh+GDKnZxfy83r5fn2tza+SUng63t+KKbLE8v
y5WsKYllGh+iXbzxQeCLhVNzdrRGyZp/x5hcba2uCYaoJYba3qVrVGwpM/5vrZg8g1EplyRZEEHe
lmGxsrAmhZ+mLCybGSifUM86a+Rvnx//cBA9f4hZmPUQoGIu7fB4htVY1C/xuAtUlYR5j2J8aXPU
86Uk1NBDVPJ1GQGVxOIV+wbDRIDVCj7hxYD6bulsRsjlHrfUeGHb1Wb2xPNPnayQVAKXoCr0SBjn
1+grnCzoNpc7fS4EgJNf4j4mqZzJ1OHS3YWdoDdk5wli0Qe10BbuQu8mJ1kGyoTstyDo4J5PFkKo
1Rm+XewjQbmFJSSUR61e/fMcyiTK2M6z3QrP0QDvKy5cRv/c1vfwHf2HArs0I93+ww4bA3EICiSc
MH3TJrMUEeBOqlynOvVa/YOpYkrV9/8pwi8c31lTgloLlSoj1WA828qmGBYO2nGhvjloxwaMDGZb
pWpIRfptT+mZSqorGJXcYCY7NirmqXzlud4e3eqPqt2tkWNb/0GLzkJO9o6gLJ3e4OA92Z6/d9Rg
i0LI5QhLjZqMCiIjisQjFHizdEKUe1XI95q0aW/VRx0LvMuxZif079YYkw2kxvUhDWyzOmEmFIor
ls39z8sR3u21b4doCmptuiBCN47W6AEG7r7qXznY+/apsjTTFrrNEG/ngilruRI6bDBRK23UUkcU
uW+dVRGGzipCXXHtSI60zuo2WJGc0YIXv0dnMPSKx0zBxLfWrnPd/VpK8HKF8uJXzufO6G6H0rvD
woRqN3RaPHVuPK0YgJJGaB5UtwWiKpZWfxucBhFtt3wqovTGrtNnPLtPadA8yZ30Oa9wSY+k7iDJ
GFzk3ktRU37rjPa+q6ovntd+1+3kxgK5yOMNKTDF+ZG36UIOf2mgJztXn/Wil/FIOYV41w1X7S5V
10a1sD2+24AnYz3ZuHpEIPU0ZTYZR/1DuVQhGRfzu8Wu41SIMgNX22nNWx5QrU8iYP+K/c0rdrGy
GRFa0MerzR9M2bNAk2b4sSJZmSBQmbi7qELDTjyW5sKb5/27ceyssyjjwjnbGk2vjlUr1KpTEdwH
0reNqTEp0OPWa3WlfMR0xFq6xs+GVDm2RjlRgKbvwCg4cclGQ8OkILYpKoZIBTfSV112j0FbFJuU
K8QKC3kI4vku12AIhC1K5kJfuC3PzROGccRjsCyhUbxtusPuZtrI7p6QLlgrKXP/4fIIzk2V8wCT
y0brVYbXhkmFgZ+0CetrCA4rTav3fTtK6S8Em9vhznp1CsAxstxjF1FIpwfevojyO1IFH9qRB3+5
UUvDZ09alQyGjzU6gRqJFHhfPOvUpeGsg1a3muTjQFgoA3d9rx4DT4dLyBijVHH5K+bG7ry1k21W
FLLINYmPiFGsknHdWjhf3/OOWBfnASY7FV6NGAM1Y3dmIaJ5PwoLJWhV3svYqTnhFd29sormXkfk
X3y73LalkRzbfrYk1UJKx5sSC7/NPg6ddG/prwZJ/YUuXAozWfnCy6AWIbRwyot2J6SSCn95TPV8
YZXNbfnnHTn++VlrsC9UYtljtce47uUWFb9rCF3HMNX+4GxBLEcbdXq4g0035mjoRBxj0ntqwwzS
ML5MWVl9KCXtxh1o3eUxmjvmz4NNxqg2gSbij8ydtbe/+XX0ovWYscFRs1BGaZ+QZFjLob+wWc92
5VkLJyOGObxfKfiZnZJG3dSQFz27u02tb6qTbC83b3ZukJbigBtRLdOUju+IJI8ymS1a+ablYJxd
7rULXTi7hM9iTJZwFHhFJ7XEqL671/VSAW/p1yfrtzQS1KO9gSulro+nJ3bH/p8soLMGTOaAojSF
2Y4bYTwamNXiNkbEUTX6hX5aGovJqCcOGiAIMjMWpb0S6YdMeVi0A2cNTu806llLJmsUJ3JLFG5b
cdJmn1RHvhpGm0VJu5ZCBG2SONpJerUzcnWhafO77Fngycsp61A+AllYnVD5GddOpCPUUaLqihsy
1q2Ii9ykro2HtfA+ogj61Q3UpaTcu6zSuNEb6igIBybiXTGs7DEG6tSMT6hb2CircDylM5TEmiS9
T5r+NjVS8C7U8/9kif0dd1oliwrqD0VbELfybh1cgxCKReoxQBX4cqDZXeN3A6f1sQQWp+9LNFBX
sn3mdD9Q2l0BzUBo21xYEfOLjhsd2WZboNH+dq83etfTUWtiVyRfnoT3EW/hy40Zf+H9TP0dYfLu
ZcsoLAs1dKgXESVnfR8D+6mxXsAuprc3l4PN99zvYJMncOD6hVF5DU/gtj36sX+bkf1elYrLTi/k
58vB5pf538G0yW3U4/nnKgPBjL44qhjGe/rB7v/gMP59IwUE9HaAND81MfLhyqtYewmFLyiH37D6
WljWc005jzLZToAN+qWlhKNoGmZSBXRVY8yJLEyFuYV7HmUy2dIuTm27py0o1Osv6TfvFSMyD83Z
9dd/PjLngSZzLuD+0gs/ZnfMuh/4nSKgX9+iS7XQnrnZdh5mMttCG8WS2qc9ja18d01j3xMmN7Jn
hHLFwgjNLaPfsYQ8OXt/j5AXDPdeLu6QV3kJO4SoQ5z2KhMrqct9OB8QG0O0CDh4f8GGz26Bil+1
loFdwikp3RfZS071GEMPOxAdPspmMKovB5ybHYYOKZN9nVLOlJnX9gCKhvHtlQdgE70WTXCLXbxb
C23YSThpy92PJZbFXCPPY04mStqkeOJ4KXnAuKHcrqL2azRYuSKjaxU1gPKlW+jcfgtPEwlH0sGU
DCdPsXaoezl32dqBsBRQwWvcv6Lu7nJPzraKZiHnYquyqU/2jJQ7mlpimneK43Abeu4Kr42D5d/W
2MOFgbUwUeYu1hRERvFL/gcg8u0OlVt9atgx0QK3VPCH73ZoLPurUgvXuklw9I1TvHKXTq65Les8
7NgJZ/PTcdXa9mKGLhXGMdEeg6HH8HWJXjDflb8bN5kgjds3cZKxkyRl9Kmz9Ac3fnIy/6eDwf2o
XHV54N6X6rjagEjEHgEbLFObJlqCQDHCPC65OUYKanku7AKBpV0Ubooa8UeR8EBXt6bqnjLry+XY
s/35O/Q0G5EOKJxFKqdZnTxp2io2HtWlau3sCqdWC4jVELhSqG+HzBI2evwyl1acoyJnnwS72BJb
YWPKa+HIlke7unq63KpfF5jp9QNJ4b9jTq78aWfGJhqPDKCCOUPEhoma+aF1oSPpSISjp448lgjd
VWpqq67EA7sPr9Le2sdB9DNM3ac4qe4Qkx2w1yofUHs4hYyAG+unGDnOvizWg52jBqc/GbX/Wvsx
hqYNWG+924ZBrcKTRfROCnLMVwcNU6bATl/9znGvbFEhUVhqUFYSsfDsnPhrQDAc59FZqyc7QGAO
Xd7XDKZvqTjOhOjl18VRLnh2BmbxKAZr1+rJRnHiK+GJhyGWrG2SoyzQmfJWaZEbdFQ4y2a0JSmd
rJGwQ3wu6lamH35MXBsLBNp4eaRmd8azT55sI6FSxKba88lRJV4dM3koUDq4HGLuvAbvD+Z3RFFz
2307/9QEZVPXNdipsmRbY0TdJtVRKlqyRer95VBzq+k81GTa+bplur5H9aKPrtowOvSBdzClx8tB
5rrsPMhklOVeEVHZkwkeAnvrdPmmz46XI8ymDs9DTEYFUzyLWzpLtuxStGsxxfREmSD/GW1rT9uL
caoAt1G2dRofyrSpjmEp9rZr+PvLX7LU1sl271llm5qYpp8SC639wd20/5+0M1uOVEfX9q109Dm9
mRERf+8DIOe0nZ7tOiE8lJkEAkkgxNX/L9XDsrNyO/fqHdERHV52IdD46Rvex7z9voVzs+Noqw/t
yRTKxpAx3cYGKa/Atgvk29g17983dPJTbAihe8gkggTJ0afUJvgCoURDrtAJBHGypjrTWSc/xYEV
FeCEnNWkvk50EgD2AhArgjadui0geey7l6nzwsP+7vtPOdfQ/KmfDmHb0h5vKjS0dKvL3o2Iv5qs
5fdtnNzMcDP9JSYHlbrfaoFUnkMMBUNfAn9iDSV0a+W0BK1xW3CJ/FtWiAWYfKCYMHaXtuRa+U0Q
e0668uHZi1ibpwsO4VbWuBe5AXqQqe9Na8R0Hul+lL25VXZ9LvXt9Mr59NZHBrsUWZ6XkOfYCu5c
MNe+JHV7oyFErEw7qam98ez2BVm3ixIoDssFb1CGZ6bByU3o0yscTQOd+TrkDaLcFZoR7k/BnoR3
zg6zTk7nT60czQFJwskuSuyqTn9w6Lh0x2ejF8jqdOLS9iDBqaK2FRBCAhCmBGfIHWLRAKHZjPH3
E+X3lO25KgGoAJRZQF8e9X1fZ2NdCC26CmkJCug4t51iw3MXoklfK9IviKrRz3dDCMxIr55Gli4m
CL+AR/PnT5kvb3HUH72DY7/6lfbaXPn+HVzcEBa+7M74zk+M7ZdWjvZ+e+q9qsmRUdKMS+Eesjt2
TinllDH6pYl58X9a3EMwtjyc64E0vaUeMMheA3tJr7JxVdTiw2TeWlciDvIz15cTE+pLu0f7I7B9
zFMAg21dAMghke6sv58nJ58PwisiwpCt/y1pMOBcAGOHNBlELptpAwrh988/OTR/PP84abAc7Cyr
JzwfLsJoUguUXyqdfN/GCVPamym1//yGX27aT2ODlKXGcXr0ERxrTrAOp81gA91yPQtu92esSWs+
+Y5s6C+NHW1ltUM5xGPxQcwXcWUO+yIY32ATHsLBP6SGyqB1K2niWtC0Jwc426CgF1zwQi1JHqyc
vrtjk/9U+8VTnp1LmXXmG/N3L3e06O2OVl4zYJNDj+dxno4vDdFPU5u9BQW5bvnwkBmgRNVuBUqC
mp56OMp72V6R4api1q4si0MAuGnvAVAWWJFtQSW+WDNRxQXY2qw0loQXBwOF66z1nngPIhrz96E0
aZKFuFKYrGvPDO6ZCfprx/00uAWgXsh8QX/XIyg2U1KZ99/PntNLG6IS0EpBXdpvyZItxoXnKPPb
8mapp/sxXYFPXxErLnf+ThZnfJinF8QfrR1ZVqM7NkIU+B7HusxBblj45wAcZz9oXi+fuswXKkSC
KT5oM0X1tbqQt8NtmC3Du/czPXdyujkecZFyDLrNsWllp8AMuRaqzCgdMugAGI9mOeVxdlPZH6Yk
8WCDyyLdQ9OmC1KD//AftQ9XfYg6UIg4zO/36UMHYAVqZ96Uu/ASwuF27Ln5HsKpLGottWps696t
UxT0BpclG+qYdecSgqyTo+naqOwwHQIf1lFXC4v2gplIUgfdHfLdys02WCGv9QROA80vaWi8lzjf
AUDeiALlzk4BMXkZaCCsg/suGy99FAR+3yu/uDS/bQJ/vNNxumBAB6/rasywDrxSbO6rylJLiU3I
9Js2spHTp4KV1zaHoUddzVgY4OrIa4beYug1r+MyhmgAiA/CWAx5+kxYGJOs3fghX3K88jA5G4hW
2/sm1CYoqOa9yVIQF7S/HUG7m/R1NplvSPFDBTCTZ7xCJzscgCQLrjwkvxwXHuQkV6qw0OFTmd4P
TaBjHuaXzG/Cxffd+MvF+ls3fmrpaKFyu2dFNqD8aHzMrultfV2NF/p+OIx36kUvgOkigM5Ow6IA
z/A/OjU/tX00rTDXU57RWSDIyRau1ElVm8k0tB/ff+PJvXVGQM2FvyESLr+uH3es7VorVNJVY8yu
+tf/29OPTKbKHXruzk9v6mZhVm7il+kZ62h+xO9j9McHHFlHeQ3YXTaiidbYrYur9MY/Z/idPO4/
ddHRLCiyCdmxJVpAvtU15GiwYKSxSF1vzZC1n5f+HmVLN/+3jjsa/UqFWufzVy1/nptYZz7nOGzb
NeBqlhYm1jTxrZx3pMwNLjU+gWVyBeH+IWrAWj5zhs/D8M0w/RbDzUpoY9v4oFLbUbADWrKF+sF+
EGeCkCe3YxC8CRLiSAiQ2NF8CCwQBYMADXGnv1Ta2AaEomKefYCadGsCXpqV9rMzCzemRg4elnuJ
miAAaER9K1TFYzfju+/H8vc6cdzDPr/S8QQK7FoKjQpgw0Q6ovbFW6grA8ilfkq47vKosm4LjYTS
XpYbe341o7CfSW2ta7xzY9KPwa2WWZb+B3bI5/c6mmSpRnoiqnpnaQhAmHLYrYNRbAojPbML/A9j
AmfmTMdy4Ij5usk02Hwcs1PYZByOTRNExcgbRBBzIdmigVpZYkMwDA7yacl8ZznSCt5XECJ7XEZT
JpYG7gvjaJwRPDl5Pwah7N+vdbQ7oQ4oI938/SK/G6S3Z4CBuvLOQIsebZ1o6Ks9r59G5M9BqJ5e
jGV5xRwZnZke9oml4fm+6aFriPOb1AOpHK/1ZhFA8F1gktuXPHVaGN8p4GzCTqyqt1eZ1SJ12oAe
mcmlSLrceAOrhJx5lVNbw6c3Od4aGi0bIvwJt6giXbEGtJEwD7fM6aLCow8TKXZefy6gf+oA+tzm
sQFXjE4gfI0ijXn4LR90D0iSv3zfxycbgQKiDXC1N5fGfZ2Apc76Is3QxUHZRtB6X9qVccYBMS+W
4w0OzjjcoQMLyrDHkcweXTeOLSZTg1zZmFp9uecYJWseLkrsOsokZUA6+5BFPidHPb/+d23PM+yT
Eew2NOhbibZTFet+rZq1b54xtE9Njc+fd3StbBvDDJu5CZ9ZiOQYQJ+Obx7Qy7XZL2t5i44/0+K5
j5rH9NNHOSIYAZWZO1RiD+yXHsDaFTlXYHayFfgNCEGA2Pwt4cdpoYHvpjgNy/xGD96Fk99x/0+r
eeMAAOTo340cHQATapBs1aOR4a3tD/4eNwN++/0MP3W+fm7iaC93Kl5oazYYiNfGU2+DpQWycInI
FOvXAfnTUs5fv+g410e2DlF2j3p5iSiL2pr/iRcVNXNIrIPGjwXUytGKdUrLMpxZ/tpoLAe8bWuR
+nBJ2B1g622DdF+/e+7nYiVvXI+ZtTdpsQRy8sekp3olrMF6+L5/T5mZn9/n6Kxwm8Jjcr500NyN
pGM+h2JcBo1csKL+88pDc+9++vgjGwbC8EUYNpDTtOS4ygf2o+jsNSRK9p02V6JxkPZkBtWqsg8y
BIzo+y89udKJD1btr5q24/ts55OhUHPjGQ1XXqVW/dxGOT4HprGAmzUWpZWfsQ5Pbp5wiLgwswHP
Oc51mYCcywvwEpCnZlLA5NSbmE3QnoY/FB/vWpnfuDOjy+bCO3PmnfLXA7X7R9tHi9MgfRk0JtpG
dIQjCxbNyKG8AVX2LrWNH8EgDcRMptewda7DrNlNeVrftMoc41bQD4d451iiJ503n9/oaC0jiqMs
ksFcor7cIasCwy0QNR81So74PYOAQz2WFwTvMjLr+vvRPzkSYMrAoQM5V6Shf911XR8QCmbhOLYS
jIS6UPRAun0tLrQG9O7MpnVyqn1q7GhRIV9FBhmHveHmFRKQKyBiHfdK1jTKUoOCyBaNEwQtvv9C
pP2cOi4/NXu0vFJRQOOhtPlWSKfeG6Z16/WijTSkZ6OsR70V9J6K1dQoM6qMbuGltlhJM9ULl3EB
vpkPE2UEvTMrwVxroecZEzrseRr+CAF3QzKENJayqMoDk8NT1Zl73+OoEMoGPwkc0DFz12dYVdmi
LqDRIAPAJsO5vmZw26TJ9QqC/C+e4b/WhdXGdQO5tqCaDlnT3wjQz2KzLfCfNehMNTGQ2+w+lzx/
CdPSQL6CKWLFptsytQ7V6ImI1/ylpLALAHlvYXpbwIqn7mvaNt0OLqpn0ds3cJWDVWmidk6JeyDP
Xt20gcyPicTpLmiAfTXvgiIFmy+D+oaAY09O+iOr88c8LL3IMpom8kwBF5fdopSsXNC2fi7ZuMx0
6Seis4HIcMSNo0HcE7xLozTnQJNaHgpQoGqYKOlXW5IFV33WXdtFQFBaBJT8NJUvnNIpVlU6G7wD
cn7SJvbq4gFRvHhwnQE1Es1F20wk1uDVtK0N8Nwwe7xaSXayRCy5I4h4ZgAy5UPaJAOYEGSsdAyp
Q76sgIwwgI7QY+DeIb24gERY8GjNnIl+qsiiGLx9BubfleWxVe64B+0WNPLzTkZd3UlE84B/U/me
mtO4t6HYbEC5eQbKMYkqm8w1Lvis3Ol3prcc/SnKIehJ0nHXiOFRinoz8BIKmP6LHkhzIcM+doaX
ccxXPhfPdLQlgksyYlZuQBqm3vYm9AgJhAndWaFwnLUK4bgR0BAoF1BkbZChhKydEki8MEWdiqtv
BOgFd+as0wXTjWzKru9xpZrWoZD9pYXiIzvOTZwl/SzuUs0yL+Ms+DLO0i9Zb0UuuHYxNKo3iGAO
LW7G4rkwbijrV2PQ/Whn+RjQOa4FGKcUexKnT6Nw9yVqcXyvKlaVYeWQQutoUkDMBQbDFLeu9neC
gHznMYSZWhH8gHIWVtNcQg8+IAEVOXuoULjJ5grOCtKdQ93FICwuSqd/ZVnxQNzXsDD2Yi79tOca
UCid1KgJ5XNxqGDhfYtq0RRVoyOMAYEqUstsH825rDSd4MckORgj4FziFzDHUSQ44JJDiOLb3OMf
VPIrS9sbitKeghhLs08BJuvko6D0ljiqWfhZFVsq2/U6/JnlWRX1JkpZW8dKXNxyY7cKgBsO2wuv
My6njsWo0PMXyCWzQBnEmv/lbW2cIWJOCjN6pNvJCV+94BoKgshIHKKM24nvZeuaTT/zORkqndOi
mqnkO6vNny10Gdi1TDYRAHHQrZxTqmht/GKRggYm1DpQfF9PzMKZkcOjMDVr18Sa03Nc30eA35oj
/Q08tgVC/5VSTyDZ+CsihjZhPQVkdPAwYgjpABq1aIh9p2iTQFH6Bop9yxIhINyMEwdRIRfRobIe
7oqUIw+K7wCqLjZDz550WphbPiLR3Pc6ez9NoOUidpdoB/Rgp7xsQm+ICrPqtnJUeWS0NoCTfXdv
z34YjNJ9SXQTW0Z1BZV6emHiNgh9qXFdQFDMyUABa7VEfA/AbCx7xiMwIsH58EaJWj4Yf1kQrFLe
FwtVZHeBb9hRb2X2qsuBUqVeeOflNnDOgPs6OaNROHXmYqhkvdLCWUEwb4s2nzJPvgD2AMWkrn0L
Ggux8SY8GAwq1DY8WVHgdDLhQQcNb4ehxqS7Z26p4drB7+yxL2KbI7XCu0/TEkBQ9apHAzrMJQ5y
NVx71HFBFSUri3cKi7gNooE2V8gwK2ID0qWosCQ3dW89qBoAY5PnXpxBvQ8XSP0Tgg99RE3z0EIm
ZYf8rSpxKP3ps7ZYY/W9E06eWuzya8utW8DZsjyuhyBYtIG/G40uXwxmmwKrDBljk1GBoyitI1Lf
oEqkUhpKbmYG1it4UZechyxi1Jj7PETgWdTXyLNvlikp/Shoxa5w2dZVzZAUhYfgggm2LUuNIOnY
hFWHoDUArIgtpigGTKD7WsaF70H7OLU25hTIRHelgUVjhQlzGSDXGS/ggurMiIwenB4MMOQ6IOWq
EdJNhibcaDYcqF/5D1NI3qVTPqVOUUXSlY/MzufEhQ7uCT4NSQgUdDxByjCSORm3ocZ6k7Au41aN
G5TEvdWgFfXhtDDM4FL1nXWXiVEvdN3VuDnRAComqVw7XCDtqXfuy7KnMRtVNcNLX5hLZKRJ3iTQ
Dd9LNtzxwttWLn+wlN1hqpXiKq+rZtnq/LFUMl8OvpNFYJuDnoBcyngy6i2YrT5QKCGLlbYNpGEU
bVKAKLogmUZ2JGgyKyeseTwirXyBFCwUuZfb3s6bGIsJdGUGp63bONeZkwa4AYEPVTPrAUY0icoe
7sOpC+8njpMPmdtLFLTYIBPTVxC9MXKdtets82Aq5wOYrDHBgD/ZArhcNsk+BvutiDo1Wz525i1S
K3uzHTDj6dhdQZ/r4HeiWMAXPka0dR+BT65j2ntbPTZ37mQ8D5O1dnEbmwp5GTaaYe60y9yE08+t
6EZYpLmqgbSdDL0O+jH2S/sRdgeDRWDCDe2bL61TXXnD+C6rCWlADr9GnSx8xU0OyuqYP7A0e0wD
JFlQE8wlZRc/MkMvRkL7VU6ISFhd34tiVAsyuDVQ5WyI61zSCG69S0f0u6JCqyaKtjd97+9q8IgS
aHIhzBsYdWzKakM6q14URjVFylNrN0C5REur9eRX9+PEVeRK7J5KFB91PVlRU1bixtYUdLzQ2QpN
35VX7S2eXmZm/jqh6Cae+9lyey9BGEQmdsbcBEmxL9qy5L6aDECL3fQidYWZ8MJ6pJl+DwnAuqbR
4th1h0UH3xGsfnEfuCUkWY01AZ3er0kAom/gRaTDxYSyx8BBITqMgjCx8uZAPXlP4TtZQfPvrvFN
jseUF13TFXHlhXmkG49HQgx3pJy2dtAnqGPvo5H2CZRftpJlq3HMgFbOxiKmrrmYTCexFTVj0jd7
aJVeNnb+hrgIAprFSxuA3tW6SCAGZ1pFhu99VEZ/r1V+0U125AIzMs+6rcfNhan0SpkMSUgyDjOo
07lJXo9XEIq4wurpME5Yq6Bjk8gp/buJ5OkKGWNlUS+JWeyo3zigRnc/uVIiaT2BzAUyHAao4iWO
HHc2wyj6xchRwYqSGm1A+d4U7cPY1w/jJGSMlIhNzciugQ0JIGIe26T0Yt9nb1Lpvd15aYS45RRX
lo9zSVW30LMncTuCvl7WjK2wRfr7Vodp3KSWtxWm92KGDOYiq/dUD2WcAhYdd33AklCmPC5UsDaC
ykzCdmb5UpjPnAYv05CGUU+83VB2GExsCHzWwaknHKp1qpcWu6qHoV60xvAw1kUdhaQxokp7RmyM
GUkmMTlJnvM3HAYXdggV3YCbPHGLPgD7u9j7TkPWdW7pGLo0JKqzQ5eD550ia1k5gYoh6ttE826Q
IBMEh3ve7Iin2kTAwlOyQ+Jankzwh3tOBQM43WbQRDXaYNUweznIfNPPellVlgjewlpxG6RIl+aH
WbfBprbVT8AuDVj2xUFRCCU5ed+h6DPtQW4eyQUueUakdAAIujPgcErrMqHKOzRgMuMu1T/gOrZh
jfdQdG4eeWVdJEVXvzs9dHtkbr7n1bip/G6KAZbdVSOEJQYnmCJDGGSt6/5HZ9R+Ynu6SKAQWCb2
CIu5D8YBKQA+i7oSR5nysWH5IRK3QnmA7pu7lR7yDTM+Zonjl2Jb+tAGZ37RxxOuFblqPnKTgKpa
9shfxp0noj2OYxoYt9xzpwUtggGRcfEDDLoqIX2w4hrxcuRb31tmZcYetbe+cnEAGukBOXkQNoQW
BoDtP9ysapFkr4NI+9a1sNjeMTD3taP3uIqcU+s65cKCg5OgxA/UYCTbfr3aQ20Halodbtvcdle1
YSx6ddHrfjWwcfP9FfuUu/1zS0fO4nxq6lERtNTAl1IsG/tcRG0uJTx2eH9u4Mg3bFp5CHIRvBSU
l0t4OdfjUK1yMSKq6C29vFjYBrmra3tdn0U/nnQYf3IeHLmLBKn60Jl9Fu1SZxu7hEXz/H3vnRon
BDv+7YI5cv/AH9DYoppdMC12FKJh9aMku+hMFtuzyfp9a6ccx5+7cu7qT272Fm6J0p5jPsCNofYK
ChiR2fLIaM648085XT63cxTnQVUt7r4ztZoagB1VMEBbbk6b1CQ06uxer5k7Ifk3z/4REP6vL9RB
8Qun/cZaDen3XB79+N8XxRtngn3I/zf/s3//2dd/9N93rMb/jv/ky7/Ag//ZcPIiX778sGhkIfV1
/5Prm5+ip/JfhO/5L/+3v/zLz19PudPtz7//9eW9LpqkEJIXbxJo8l+/2rz//a/WL8z5nNTzP2PO
7/KXJv/LmiFQduof/otz7v8NSTTIngqgsRlgqqufQs4NuH/Dj0gKMV03tCEo+Qfl3PybH5ge6hLt
0HUdiLj/m3JuhX+zkWwMV6o3161Ay/Wv/+qDwz8W7z/GJfvJ/vnzX5q+PrCikeLvf/26zgKEY5Da
A4oA/h+LARizr/NycNNiBP8y3LR2FXPvCiZ3ZP3J5OTfWzlaaw3DRT7zVbhR/Qsfnsz6RQLy1hbv
n/r+xMccRcB/a+dYYHBIrcIXSMrbFNDrTVSFu5Wm4xC1OVSKJFIAszk13x2zPEqHYdWl9JmH7Vtq
j0mvcEF0FWQFDWaPZ1IAvu41/3ovZM7NiY9z7uPXXrZziNqhyivcZPazh8srlKFwEDa72Qz4vgvO
tTT//tM+k0P4tO89jCc8A08IHt1kmQ0Ho+BQOWmhvPN9a193tX9+F8i8yGkykdw3T+DPrdldWfqo
LA03YWUsHEl/jlQ8mUNzqJh6aRU9E/w9qm74Vz/+MVuP2qMhazi4qbhX0Mh47C+xqTW39q0Jk+MZ
GDs3Ms8kL5xcHp8+8GjiZqhNFGOOgVMh0CZh7JEuUuXd9714csz+aOS4BjIcwA9EQWCIG/um5nBa
IPk2dIzIkMP6+5ZOfg6GK/QJ4qQIA30dr3bA9DAC3PKtImmsIDLyNTf+nK7lr0EC5wgKGdg/UU3q
H20puBcOrqIYJO27P/OwjRkz3r7/jtnw+MMw+dWEa1kQnIEO5JzPcXTKhVk6FXnehnAs03jon3t1
Zqad6KgvDRwZcVZWcSTaogHBob33EzhvUp8LiYFD+OUz5npJRH8g6uqjegRIBPtodjVCZa7gJgG3
yu4jp7frhQgmXCOlD41LvhKtXoq234cT/Pqm0+AWYOi4rSs3Vj6F/W7aEcTL90EOMT5i30MRAtk0
wZr60wJXpETZzpPlZmmCbCsI83i+QiCF8PbB4SADj/UulTnyhl3PjxHwHRctt6tITU6WBFPzSBwG
I2Xwp0uUxyNPp68pRFpbP+wSr1UvoKyB+YHgUpS28GGm+NKrrjdRdwO/lnqsqsy/RafJ3Xz0re0h
h6JsJTf+WE5xqiAXk3aQjyvzgNwgf2zyItBzRGywqgdIyoOXyu2f3dJAFo7p6gW0+uQ7mENk4zBF
n1IuyxVtOhU3GU20RLQYgnRQj3VZd8NtL/3RWmazrEzcxbshR8hmKsuoRbyJK5ftdVqFC6NmOPIc
hDsDuN/yVKaRqtWw66uxuHRx515TFx40E76gqODWfHC0EJCHo0dGVWEPm9IpriRzklpxfz2UdFrA
Jh4WpqVvO9DNEjgx+nU/CLXw2nTdSaDIpjBAc/2qrGvr0WDeT18j1BRK/jG6rr9urUbvZdjUMTaF
OuYaWS0edHCXbLC6S+FU/UoithPhOWuz1/5bR5AhbIQdojfsEYvyeXDIXN+Pkl8BFQWISLJXo7be
bYNPC7O1JghM1g9D7rCIduMTRXgbLvLqo28RzYAyeLWHgJDcAMV+yX3eXRJH4kYtuVy2VIFCB18R
Imx6VwdAKYVp5sat9qArGZSJS11cjpsSmieQ2E+qEDWaLnUQtfDaucYZehEWpMx3qWrpK5labN20
Y1FeFeG9HygadxK1WqjqazeK8OySGng6IlpjTEd2SzQMk8xRz+NYLB3DbiOFEymCnxGPoDaiCyjt
rgrjAR6StWxy8koM9QqPX5OEtWDLtlIQ2a/yH20oR9za22sPKhpQaCvvjUm4Eet5etsz98BshMDq
gnWA86h+2bhIui5wdbOk8wH2WLccDe3HJjXMONfCjJoCsT7I59OlJ/LXbkK4QBFEU8kw5RGwClmS
9o63E/CbRgiUrHKJkOswcPh+mI7LHgYHRFoBhzFCA16c0F9aGQSGPBOu7y6z7nuGQMFghSgMCYhG
VKTC0IliFj2Ua4gQUFz9c2dVNcWCtcTYl2N1H8oKbU/+D3iukQlPqV559nAHMHgW1yL9oZmHchIQ
UUMJt5fpl69jL4yoRrD0CoNVbwI3Hy5yLhCBr3wXWu3YJph20+0gJhGZFUXcKUf5RslNb+1JVK10
TncYPaCTeIrQKcn3/YQ9oB6XvguoUmEVTdwG1oNu8nVWGB/4qHVV1iPadD8sEKUXvaPuhs48ZAzw
wcHM60TXwWPatT6ymRmWEA2zQ1nV7qJqhySVZEnRDXExu6AqT6nE12qDwkc4y9Igbgpgcwzmx8HI
rXUxqBCEBfnAldxpYgoEj/QQu3nWrR1lrMrKogl1gnwxdd1VyfQmtBVWhkm9y8mqh21feizimVsl
DSlITIn3NBrO2yT7O99wbgYfLkhsrtg8e/uJOtN7P7phIqaMININFCwSyvOkKYkDd3RDl6PG+qwF
vNNlma77PnD2ecn8TWkP6c42KIt6oKOjgTnATIRdsVe08COO+PNBOQHYuRC54i3yFkq+7DNLob9S
7JM4Z+ChodCdsfrEIbNodkny2OgCG85v6mx15q67ls7b7zLl47Sm0oFPz8mqhBZdDJVxBBERu5uU
i8BeMMRqkPeQntKLuoE4QwYX9GSaXcStYi+HrktU4O9rmj8QQ3sLEwWOC8MOOlhJPFtLDjkT3eOr
CnuOT1hjYnHvUXn55YS9Lmr8BjHGhsXVr+KnMC2ScMrqxSTptCm8vllCzFYjTmH0i64PD6oInzzB
70pjkIjfO1smEIVPQ81XHKi0LaRHIAkmxePUaoakBjfFWWhOSUbSBkRJXt9Okzk7jhB8hastvyxc
xDI9OaGWV3UZDp3+DknBdO0iZruAbtNtVg7XkjioykLxLyv4m63tpWEgyRD5AVcTnR6dAvQpzw5v
GHgdcKQPOFUU5kRnvbaeCz0ZxsCzHsIXAvEaiDTAJ1lVcdAE4QKMuiceDMs08yrUy2AL8jlbdYF3
WXXZomXVNXGzn8bI+2QK6YqG09NYsTWyu40Y4T24LCaJkKhEDAZp7PeBIQacDb5YW2UZRJ1sdWxP
2Qc4eGOS85ZfjoF3wcvsCa9w5Xp9lbC0w+C3SG+1dTYmRVW9hFP1wzFHJDjUW9dxYU0IBIg9bziA
uIUK9Xon2PgkOKoYHA8SzDj8vAKZYjjihmJXdJArTeeNCvUac/Ct/WEoEqkAyg2B0a5lJrzYMx+c
MhwiaoQ73ylROhMeTKq7yBgWqgoupDS3pePEfMzfHXPZN/oaKdqJItjCiQkgiYI71bjI4TBtCbk0
JBQ93AyMwXA9ott7iaOAq70/QTnyYUpzFTXSsxGYpWztF842mKo1fJCRSa1n0sPPY3PnYOj0PkSK
RMogxdMOQzR0HzKHYzTNhxXFDiMRxM4CazE2dlwHsMyakuEvgdEm3UK35kqPI/IvUmVe21m1Txsk
MI352sSOCLm2qA8xOWq8ZSg2lr7qxC/2W5KVLwbR6zZ9MlJUyje70vVgK3jLuoHvO1O3ju5/th2m
DMMUhw2DYkJlhklZYGSm9nG01sS5AURpy+DWiSs6GolZd8u0BfQWohoXXel9wAMWwZO2tej0XhSt
jX3EvBkUZgtDURGs4Gw7aM9f5Xn4XhKqYpvlG+3aqzJv94g8iTiscuNHza3nEkzACHxFyN4NKFe0
GeJ/5rRGxrKM84lv3JRdU1bdGVMJJbxe3bTm8Jx71oBgm23sWQ8brPbddaMQ9uhyDcKNm94i4A/Q
DCtvREHDyKdAtvJWo6gAoBOdo8NCBzs7bn7rzMa5hsxYscKP27rCMAJeQhE1Rd6ETpFB5rY55FdL
/tCRMo2l0b7UjYV098wpYjFAR8Lg+k158geFZn5stwwpPvYrHP3hsmqVA1EUPG7E1oyDlr1z7dEl
InRIChvGMM7HYmMyP71gVgrztYTnvMvTDvkLql0gs/ymosqPLatYjr3bA+hX1AAajlela6BkjQew
IwNHeYsxC5qFa+YVzuj6AsGYIsqUvZNuiPSD0b1uhL4gaDuaWrgmCUMdaej4U2wR9oqkJXPhGf+f
vfNYjhy71vWrKM4cHfDAHpwJkD6ZSW8nCBarCt57PP39UDqtJrMoZkiKOzhx70QDdRR3Athm7X/9
Rl631KNxr16JUquX/mTflbb1gsT4KjWLNz9QZLfUrZrmkgxBAGoV1ojloYKKpLc6Z+ucsjXp/iHt
BnWhSZbmEv8bLlvLfxlYMA6Mno63L9zWSo595W9pMj/LqnoZGvKqkmmBSp71vdXpidXhI53myslL
41Lqp4VpSneK3u9U76JSbyX70hoUhPECq/EoWVuDf8zGbORHKZeTRGZSKQTdS7vCEUdIt5rSHTl7
Ike3bfo7MewKOx6+q3i1OhHMxjtVCyCTqKQWwVzJbqSmoMgGL970SbSVAxm3nIJ9vbcv5aKDmZRL
+6andyjB8dikRk6WZOqbawtuy0KVleshzOdQUq+mhzR8j/T8ZdCrZ/pw2Qr7qC3ujpJDPxZswYgC
epj10gthZqppLDkipQ2sN2W+jcamoGHRHvmTws3H5kEfx11mNMYy8nysMCBzbfPYfDEIqHLk0ub4
sQ9x+MsRVK7pM2Xxso/ERR0l5P/V42MZ8kxFPi6CUaPpl0Mc8seQD+L7D3bc1btKSTdlB/dr1PW9
UmaFG7f2DmLyClO9xM1aMB81scttR0ZRlBHmHiY0R/0i3sVe8WzQo7juu3RYlnZSnwEaTmIRf0eG
TkCAyIMSY1ogQ0RmydECrXZGc3qZ33uLAIbSzej0TuJaC4DHQ7CsrsNVuLKX2lbBZurvINX/h6YF
eME/h6ad17e/XYQ/2t+R6fnf/YlMG3/Y4DS6wGsMY5hZ1/snNm38oZIbio8LULOOM8I/sGnxx6/A
SBnAGi90/J7As+BCNMF//5f4g9k9J8mrKtRoHbO5fwWbJhb5A0ACnsjfmW3XQSB0i6PoBM30G7bL
ocrazZjUeytIdXthRULnSkWd6VZFCo3HMmD2OeWUTetxgkRrcyW4roHQnVoT1qVWQCKxI+1YmnFd
LemIwJippXWqRcXCGGsP3pdcwABsbKwu2zh8SJOnGLwa9qGv3gbxeDB0iAqBHekPbdIlwAjJFC0k
1vF3axgNV5+Kva/FD4lXXBe1+ayNw0su5Y8zRwVqypLg+0MU6LvQ8jdsmPHSV7IDyM9RjlVudlHF
cepdFlxmfFzBrCBeSlK8k3K80NUi/dHEBjXeANRj4Anm6cOrVkTfYk0rnNKoLhSa/o7sdz89BejF
kOF8lh69YFHbjwY17bINzZUgZkcPVHURolgxpBBqGqrbJeSj60mlqIP7lM9lTz1Kri9Z4AKwYizl
cuB91ooGrdB61jJpncfgNJ7ormodPDQjyTM0XxS/vFcK+SIfu1WQWRtypa66fryr/fKJCtFNk/w+
H7p7tW+OOdsfZaoqEzg1cIaU7WtepdDQmije0yv5lmrtutWnR6MWe7UbX8qU3GgrTJ+TQN4IBApw
hWXzkOVxQeu3ghID1CM6UpAte+/5+XU8c4wVLHAg0KfxxvYruaDop3SWinqtN7/KAxNKJhS0wAOc
DK0eegpqIqp6BeLZCJkng+cF8pEvmlj94Yf6uKramI/LAWNF14AXgFylHkJEsI6louaLLrH39Uih
UEXBfQua5SqZ3zmR0aiLmuMopxkHU2Ggmja7uF+IrCSWY+oGQBRlU1XAH00RPecCSbjezD4yYX5Z
S+AarR/88A1padrSj2i0tljqXnldtk+NYuZMTEd57GN30Fugvfki1SjJYzma96NtQ+7j+i+sblcX
IU2AyrwRo07NpDZIAe30VdKUFVftGuaDxWEmw56o7fRQ5N5b0Vacr21/WQmN4zW97dAXwwSQsnXY
FfdZbcI5mLhwdkW5wfQsW+esr4WOscXKyxTz6E2iPsKRXXVKN7qpSMGR+nK+P9nfKZMLAAgvdhSK
PLi12ptc5Rd1DJ5fhOndIBVPk93qS2EAz8CJCidPd4TOBU8PzJ9tEunryKx3dTS+2sq4LRTpBxVS
s/eMzDsYne7KnYzZq7BTJ1N7z3cgi/CnjSog0b1axE33mBUJa0zLj+nE7oi+JNCcCtwQQg2glqUv
dTU9tr4XHTuZm7CBUPy1AFK4Ao9LACHLcmXarAZ2kOoBSB2iY0r++ViB6sg63x7A0xWwQI5Cil70
FMpr3K78UD4MnP8T+xRu3Vet3xw0Afta+No3mCfX8VRvLQM73GHCBIDHCA56DLUva4W3sqNoow8Y
y45CKlwUeMyh3H9RrQmkrI+CRZSM+dbIWuUQqN5dpXT1vqlL2dGMam+2qbSTQDTdeJqUNfdFqJ71
6zQoxmJApEKIuPZT66HXGFOnLOBzqSBTkPDtQDOWcV68ZF1qr0SLmeHA5dpmpv86n/5fPqglC8UL
bhWKQavln5/Vm1dc5d8f1B/+3Z9nNV1kDlwZwwlsFhFrfTirabWYqGA4sGWdYzTLye/77/9SlT/4
P1VCVLBxIMV3Nqf6n7Nalf/gVMXLg0BGjlZSav6Vs9r6ZWHwoSdDW8ngB87BosTdnFocyPoEZyet
QqTnwwqy2MHPgA6JSxYUx5i0ZdlUIum3FadKxENaGaqrFGqwaEIwgrZSQITwL1pZQwoAZfkNBKJU
W1bATZSu6wT4SKWx4OaBOnDys0oa844W/jEObGWZSpHusOP8BPUUC9lA1B3CKHIEkbMrcwyTRYEQ
xYdrz1noHwo9ya+BO6kbIoC2KBjZHuXZY8Nny7XgCYPxNUeaGbejCIJVONBgSIB/HNFK+toe2VKs
pLg3Bu2K5ocEGcYL3Lw1VqrHFmffqGFTLPuqbVaxSQqWDcPXserpeZKlYBHURri1PXDjMCt+WCWX
odHG60AyExmesQGUJxKuO9QdtVuZbY15zfQqd4rPSe11jqb03rItYaCHBZ4iRiVBk23kwB1ExAWl
QOKuKr15CwvzXqTEqrRJnuxlBGYO0RcE7hU9TGIjuNazjpQAWODQ+qdFBJC0jZrIZRPBy0wenWrc
dSmAihZ2K7AZyFi+tEQBuakbWioERrmJB1woy0A3VrmsDLCqDLOmeRoTgixe67a8y6C+Okba/8iz
/mUQ/T3k6otJDe69+bjKPBGjw+f6WJlQ30zTafV6D1CzqOxgkZg/c04mwx8BbBpBry+PrgED7/Qk
uc5G4xbk4qGPxmfEjT/DEB1m1zUZgp8CyNmDRx9UeAC3sjOGM21aLDBmWql+f9UX6m1fFZMz+ckm
iVEDNakHcMp3BOrS3TKACJcHtbWSZXZTYYc3wqxX2jSFTryjbeHlulNn6gEK/Pcmidd20C2bBlNx
QbmpeUmztIL8J/olwPAKZmf51PclMnsZdVk2eZvUhq6MYe3lFDW3lgEkp8gviH/Xw5iXrl7DPzbb
cu95Zeeaar4WMtzbKL1XJyVyxlmtghb1UW2kyJHJoHHGoFm3NKeHXGUhyMMhKEAyel9cd5gyxF2a
0xbyf/he/tiOyDb8cj/GskJzTSjQ6Cs3UuRdWIyPDScshorqHgjxqEaR+qJHolk3rc9tvNMvtKEu
FykzY5BU9A5DmS/UBk+DvoVJ3YI0rHU/3fUp+qCMZvPOq+R7KkU83ILwArb3TLPU9tYkLZUE6l/a
BVdxbN4XakqeeWBfk6IQOWXcX5ktyoc6Cm9tH3Jhlo03UlLdovViTQkP4mjiP+ZB6i1ZiNdodrdh
k7k+12A8VqO9HVdXdeTpi9Lik6FdwtpArY8K4g0nbIZ4YehhdinHaeB6eMFvQOce4zBYFXV2Wefx
PiN3bRztDX2qVSiH68ao3XDE0VExF60YnkYZ/KG2jEWpMpOm7kLyxr0R5IskMgJnUGKKqqoPwDVw
HY7FkLiG199MqvJd6eRVV/t3aWisS5OQudqTUZBQ9K2nSr8TuKs7ZlRc1B1E+cTPXrQ22sI+v4X7
z5spwgjgpvgm6ulG8sWNQSBVDsKm4yruaEI+lmVzK3Jdcvm7tGtTCp9+yLdJ0B+yNtqFBn2pvqOf
YI4qAdQIXbh6aK5PoNtYpa8D8RlOkkvXougqh8QaXJRI6kxmHm/h9Qsa+jUTNz3UMRTYdnhVRnvL
In0uhsBfKG38Pe+iq1LTbmqvPqimss5oi0TFUyonG0Nuof3UiIoaX9zSjtxlOXeeNoex30N834yF
mdzqaS1udTFIbjcZw8r2BxNYtlHru9KMrJ02+JikFvaFF/C1aNN10sKrxm8NDJullREpwYZh2ssq
Cyiv+xSnC0zED4WWV6439rSAbc9H3iKb/BjJqmhYynq9NaswvO3J/tiGih08ZYEk3Sf+APua2OQ9
Id2RO3VjclVoWbDnhtUf/LnrB6WUhhxc4lxN8PhsbyMt33ZT4uCWT2fB9mWniYolzt2gTHFKmZWg
AohTIimSAlhKBbTdWm13ICggpTtH63QQsAM5xdd5OSPgQpcBZ5NomRZZcpQ0frXmSRoKyTrgLjW8
TRCGRa3o7lAn/UXkp94iLCZsUZvwpreMq4kGDkGkhiOPyZ1qFt8IL74vNf8+ih2uUH5BXkwrpz23
iOEY6fXoIts4KNbWisxHbDluaOcpknphdoLchGUTpwuQMReLcG8Z5d+KYKdpNHgTNxruNJjlIoy+
+0O3Klua6741S4P8LnQq7FE7KVkY3vXIzdfmBge+TkJ64dHKp3V8LQ/NNvRMFCXoomPz1aovM0g9
vSQ5zfDaGVLv1n22CkXq9L13qXSx23qtW3rFgdjGbyVexErVHRvc8iJTXQUD5P+kghxrlgvo5U6n
4J111FPaqOLn1JWL1rgI0PRl8lOYdk4gPdHExjmeCL3Cuvala7aGY9rKdxkslkjXlpnioyeEP15r
bh0sZO17PypuALLvKd2VAVwa1a3bEGoyn0UFRIEgn+5UlTboVLVO2XUaoKXYSyVfx8cNmpuHn1WO
Yoe7qoMhncMN48AjqOlY2A/99K33qcLx8uz1y0G9tRPraOXBd5mT05K4qEyTtM2j7/SZ6Buux+Kb
2hBEU+ibQp2b4yD1BYooVKfpVSOi46jQd5RhbiNvog9/zAz5ucYvKhqljdYqKE3EjcrToPO80Ya9
yGixD5O+Ix1uE2bxXgYIdXDeX6JB3ZtptQnZ/YelNcE0gLsU48k2DDcqMpKEG0Ku9tsi+C5N4YrF
8WByYTYNzSm8A4YWhr8cQo2m160HdbkWqBN1uBXwEzgcXKXsV5P8DUqEKSsETV5m0AUm+n7y3aDe
S1jsDT+S4rEbt0F7EQbPIlsF4sIvH/VwJXCCnrYNHa60okqs3L7/Ifx7zdPd6LpINoNyiZolmjYR
ycHZnYceMESxZYJGAPNI2gKyDu2V14LtE4TZCd9mcxxbeavoJhSbVl4l/rWirnN54U831ABGfkzs
Rx9P+Yo22pvQ2ZR+FkPrINuxOa797yIBADVBZq5Yhmsqom3WPARmTcxOsGVO1MZ2HC+SCOtg/7HK
1KU1XJtookWdH1o7Q0nR645ugg3ow7Kq5VlV6YZev56kejn2Rw59t08Fq1DAclehg6K5WVKwvhIi
ilQ15Bv1BY2KCvebcZGl1kbTw+5n0IyHFi4/UESfL4ze7J0uzJZlwdSf2Pm90gJ0N7fIYyjz2nKj
Jti1Q/qbv/Ux8H0eK0w2ost9aqcY2xy1pf/XFc+1bRwtLU8XSW3fjaF010TtTSbX21jPtqHPkGRi
/Qw0Xkoc6quqpxOX696yD7ILQfcTIz/SHAbLf67Cql016lg78JqXXikfUjP3EOxlt3R16ln7hCan
fEHIjCZYpVrWwnFXC9FdTp3M0SAht/y/dVFd/8iPr+mP+n8B3fnPK6cqc33851fVIx21v90F7Wv2
2X311z/+874KURlqnorVOCxmcq7/uq/afxh4xdo2xOOZwAy77n/uq4r6h/KLkgxXgaY9DMJ/3FcV
rrLY59sCqpxNd47E3H+B93zKubRmujMDmLqKSuO322pZWa3Um0W5naz1fDSL+JBDykiav/Pi4bd/
zq+eGanvb8XzOJatgqHLCgy/Xwj3Oz6u3cBbamPGyapgZUWQHBQ1OAZ1NF9o7EMwlhUSK8RH777J
J0xomri/DUycB+8WEwUgdPv0Om4ZqQ0BV0q3pVWQ0ZZBB0wA7/wei0CaadMh7EzZKWLtCoDoR9o3
DVWM5maSAc+q1C7iMX42zekQNZAGvdLfB/MSLWd3BTOEAqHq6cGgE0uUzSJPI21TDjl215GuurBY
BDh9KTZqjJivDWPb9eZKyo+y4ahMUn9jVWi1/TTJtp40Nasmmu5h1AWbMlEUt2AT25Zyo68yL7+L
9ULd6NQU9NpTdgpkPeyv5NW7/qAuYd0sFAGnZXYD6Hw0SkoN76Tzyu/4bPGXdf97kw8FCrVy3DTC
/EbLDRc2aGukz9PJt+RuXGpaba7legTXG2yE5NlACS8dbCkKnJQCMlJyjXrevsjpOYBBdlup09dF
YN0mPYeGXnkXelMUm97jXWdScN9LMtdaIzr0IRq3IUTPPmRWeJGYXenEVnadyWm9GOTwphn0xk2S
/rX2i2+aHOBKV1jSquWG1xAduQqmAiP1pFuNWJoTFpReVhX4MLgIuik/hC5ItEbEWd/aW7sdqNab
Qz+V07aEFua2bQg5gAzw2JlA0LnahIS5lJa+D9TSX5nqUFwaoa6uJnqLjupp10MRbRXMRPEle479
yluVdlMCdphvg42AmKAYMHIR7C0d6LSD45f36ibIUt6PHjyquKrAOirhNFKg+ZGVL+2ivPX1/DWL
SCCPPYw5UIxTMIlMdzqw67WSzC5r3PwHKXltg1i5CIriyYQBRhnaLCav2MtacJWIYtiHkg1B00Rk
SBp2iJhY3vJFfEcO6IJkVbSM0buXdvtj6ihC7JYwlcG0F1nmXSOXe2O1XGFdeGUMM1e1y1zutgdV
ycN1L0Hfc8RYPmk6JBA1LddZAVKrT9OmjJGAjnlguz53TWcwPGMv7MmnRWL99JLoxmppW8LhXXGv
2kVRX8ICgoSD3Zq8LOkICZkEFLMStEjCtaKQ402XNnms4uBoFdWh17zros9u06aga0HshTNp0c9J
Uyoa1CDrpW3COZMg6GadHi1SVZWWdlDTxfeqde914WqKMvNgjaykKqhwtxP+z6FL6JB5o7WkRjAX
JEPleDvp95aBe68nl7vQj/TrTsThgnUYLLRSlnFILpR1qxVPyHwuC4UU1pFriDwCRlXRGLj07W9p
likuNlumG2WvdbKoNb0/KnSIEDzWR27tGO5PdTkbKnardO5gGUk2QRMDHWsoTWmzEOvVWHK0nSQl
X0kNjMZ0jJ8aO1eeWoKQXT30HmiXXOkCU28tql8sQZGWmkbntmoOMqKXwcrPZZn6F8qhJLfWwrJC
xaEgGZmd2Z1UdcFTN1tgFOgJH3O8EuhXxBlENGX0a8KqdYy3VQVsALyleciy7DnU6h0NwE05oWjj
hh5csYN47FLYgbhRXrWEn3EHaIT9Jnl+uNMaGAUONgw9YMLYPiB3/RlIE1qENkrdsjI1QPn+tqiK
K0kgLsmH5KBp8z+xtbtWAMvnLdVUH+Qro8OIksveIjOgiappYu37QcOCoOxubYsLZj/Wk/v1EfGR
fG7xzz4eECe9VSARH1hoPpnMEXKnBZtrvn9Pq3+9Vrr73yX5skHW/3kBtHn92zp8zfz35c/fpWLz
v/uz9jH+mB25LVy2wOuFSRnzZ18dzZdGYvSvzjlem5zbf2L12h8EtJEMoOIQrKEg/av2UeeyyOQw
RylgWTh36f9J7aPMUjTKEmtuGcgmf+yDaic1fJEMgZLsijqQ8S7pfBhllzZEwKqzbt+9m08KkdMy
5HSseRa+q38aNbIVCQLjLrnrx6WKzcXk2n+fYv+0xpp/7181lo0DyqyiU1XaLLolw1L/OIalNXru
NUT4yYa/Te1mGUU/v34KnYr0yyFOF4sJH6j0CGTLp02VZdYLQmg3aSK8u4d4TTotsiC9q9ygI3xB
Efqu7zhntclz8fEA8R8CFnQM5QWKq1tOw08jxwI/NJcUKyBi+NWGJMw7eZ1dTHGx6Khc+mHcxngr
mXq+r0aLm1kwXvrltNB8HbivzW68XDx0rb+OE+NABLiP14C0wZD8yorzA2DxMgKq+/pFfCRk/P6q
5//+7nMWQWeOY817SL1qK8Ev8zT9RxSYO9+4leDpn9mjTqrYv48364hMulqqJrST8bJOVqdC4tPW
FYZhtWceeh5Y4sEtWdv74LhMWZAbXsvkTZdZKPUo/rJ9wouLm2pvqCbMiuxCRZZ+PQn5XJLjx030
9983T/9370NS1NbXVdIw4mbY2hpEUS1yh1hsvn7t54ZhZ3g/zKjmsHF9dPF6/L2tv+swD5PqbJDN
Z+vo3cs+dZscMhnZvMTDRE99ju9Av+ruq3vpWRXPydo/s2iVWaN1umpNjYsROZ/kOJ4aICZKUJUp
phY7w0SoDFwUB0CUU6rRXhjbVdj3m9iS8w0aGJr442ucWeuv3+p8z/zqJxgnomwTajkxIfyEZl6F
E8uxafJVxfKceqLnRNy7SJ/yTcRvMXXcHOpRjbaiNoMzv2TePr54F8aJno2tzRiZrgSC9th4xPVl
/pSpGg3F8Mx19NOJ9NdLN+Y38m6+joXk13LHQCB8i0a6CHG4a8982XlN/vYw6JxhiRk6HIuT7XjK
tBgmSkmkI043iNEdwv2mYq0O0KLPrItP39u7oeb//u5xMCfAVL1iqHpq0fnQta3doBcX0vevZ8qn
K+PdOCfbkI8kx9B8xgkPyfpcqPpvRpTz+cX0+ccLO9lE4IZ44UhZvavTfeW90eU+JGZx8MfmR6JC
kjGl2RxPc0vlzGPNf/irL3WyrcDuitJinnayJGxXz8jSg9lHm0P5YYxaslYm/zKx9XO7+pm3eap3
hXhLFJ3H86bmFd2sTPLPnFKfLWwx+0/j9A1UpKknD6aS24dQZ15PaFiM2xKPUSm4nPaGG/X1Qxk/
fz09PvuC78fTTjaSv74ggIiq78Z8nVrCsTw8WES3ylF8Z5Z6oej5maX2yZtkXMxcWWUAY6cZHVOe
eWTB8Jw63RtceyqRLb5+tHMjnMzNybPhxwmiYZsLOBWSdcZi5PcFTKYNTikEEiqySjn8cQH3eR2C
GIt818Jfk0j/4MLv25krCeVMnMnvD/JxpPm/v9sqtCRXoDsxUkVttI/kM7r73zc9/rylsuexElX7
1Jc8T+K6hQWU73Irfpwq69KTmz2Nw7eJdEwz0bf/6mf5ONzJPq6Okl4QxZ3v2L4xykqWVvjt6xE+
OZ8/DnHyaWJNTbDUsfPdZF3Hkr6Er+aY4dEJy24JtbCSweOqMwv39+NpHhPqMLCxBd33dN2GalgI
gjN2E4rmavhheN8UYzxz2H5SVH4YxTpZrW0YhAQkyPkOUwa8B40YJVakPEbNgPIzrm0wgyC9RLQg
IM5Z8a4Y5Nu05z9Kvd5s4dk+taQ86kZ6kOLhqtLNeyNJz/3I+fV+3Js//siTkiBNc92SBK9C0Ges
HnzvaEbbDv9eH12wMlOgrgz5hdvU15/983n8jy9w6l4kwXoERFFZJgn0VfxwMbV1UrW6SI0b1b77
erD5c371jCdTrB3STnjelBMeMjrxcB/WD11Wu7W+UppsXRn5AY345ddjnpli1sk+0FR6ButCYaF6
y+DOsh+FfGZTPjfCSf2jYJQEdYLpBdq4kbEvb7Eok+6/foxPN06iq/Ftt3RSuU4GGZAO5jhZFruh
8WnwdWW2s4okcvVBinbkICj/zrzArtzGtAb2j3X6qbRWS7o8K3ayTOhXlpkkauqPou32GVnXaH/q
7sxe8HtxwgJ4N+LJh6oHuzfUjBGpP/rL8fHr9/fpPBf4oaoCsEWWT3aaZBSJ0uC/vlPKwbEhpHTF
md//6TT4a4RfNcO7Aye3JjMsWkbQ6GbaSIjwyzPOfJX5Hfy2gN6NcbJJ8Al8nSKg2BXk1DZxe2FQ
R/6Hz6F+PDhDKpfKMtNi5w/yYpg1b61xM5L/+fUH+XWVP30Wst3o+glag/BRP44T5ApU1ZFnGWhF
V4md0tyGNpb72USfILmPzKbYxwlnjhUjqezz8C0LsoPXiO9hryRLlHvbSWjJDVrp0mkaAccgDTzQ
1KEFrpfWlVLe1r1twxhC4WElipPEcM0mtISuV1TwTMIUtzore6qs6SoyOhh+WHEf7DC/gc/Y5fVa
kZyKi9PXT/7ZVHz/4CcTPZbS2JNAYrmFdjeT6JRl3sESz/uXzMPRwo7/5TugYb8f72TraDUcbjNt
ftHW20A20lxvaVN8xjlHm+fFV99z3sHezf96SruSXjIrbMQ0Uy4rGntFTEk+bxV11ME7i5MHLEyW
sGx6Z9Cam5JnzXnmxhhfMDrQHWXKcJylOZFhtVtqa8s2CydDFLrI1Qnzl/yuDE1jdm/7JifgBLVv
XuuJfKn3arYcknHRzjm1MU01LwyaMzXYp98NzBHjI1O2aRZ8fMBUT5vGg2+4Q2K0N+GaJQYqyXRd
FLrrm8t/Y5KA2lIXafrs/vVxME7iypzGnI9mCNeCGgWtqUevIc59t8/OZBOjaJlqFU65PT/1u882
WRo07LYrd/qYv7E939bQK/sqezW64CUx+yujmPZt6PdntrLPtvv3455cNLhlhokFxWQnhw1yazd4
ab+Vj9ZdEJ1Zbr/Mtk4npimbcN/nmyHl+scn1ESIu0LMExbGeDWLM3pRoMOG1FvSIk5DUdIexn+3
EQZ9wT7G3gRW0dQ1qPyLpyrIyiV8QVgsNgKt5jghWgmyeq1V4zKevNUkJA9L5Hzpa9ZbmmkXXmS6
wO1oa703eMj7MfdmWfBult8i8IA5wxOTG33maqV+Nj/fP+fJvlIEWNEP5lDuugbv2cLChTdUtWeI
gqC3erJESFreDIaCLLfe1FoYrQbc6Vmayg43g9soS9KlQu0ywVpE657fjl76XKcBxv8Gvt6jJx/G
xuQva/WFPYXWtjWM0il4h978Mr+e/ygHf99OTAVKA/+DVPF0tSl9quCrqZa7oLa1Bdo6iGcezrxG
LOO5mj57/EC6Z6pbUEGWoXEhqnFTWXfE8F7ZnfZmypl0PZoY9Ksy8qB4H5neucyL+Y3+NrPe/caT
o5KQuSweIn5jVmCslSmwJf+dVaIQvwylQzbs022AcNBQwhSg3MEi9med0YFG6ouPSwFiwqc0wO9N
ks9Fi39WyVDyqYaB5yCsmZONLsmjUNdL8lRf5OQKkkeuntnctE9f3LsRTl7c0ChxNHpBubO80Sl1
EH7blld9EL6FpY5ZpsiThRnHEmEQYkXr1rhohYlvS1farmb5WCJLS9rNEJTLO6/Bcpwl15OWa9sP
fuO9hZoULeJarPBi8R1TlbZRhT+gmXq7sa8sd5R9y8XbiawHS/5mYKK3CiJ/E57N6P50Er97zpOt
x4KtElWZz9aD/2w1GQWk2BHVVu+UJD2HGSzZshwOstZsvl4+517wyV6QNgMwTswnvFz+h3/5pJrI
NMJb1ZG/vNBd7cxs//RX06EUdMxoV57CeIUEwYWOPK8LTefU35v14uvX8unM/muAU9wOU6jey/Kk
3Kk67Igu2g6a2JLacGaYM88xa6nfn6myXLep4kflLi+P6ezl/J+9p1+l2Lsz2+/SFJVwWu7i4BHW
leVvv35Nn/5+EusFOlBFhbX38fdjENfq1VSVO1GlmyGKF374+vUIn11nOZD/McL8C949wRgqlZlM
Wbkz9J9VC6GypZ0ZNgdhnnlV5wY6ma7qKIygIl9jF16Xw3W7hREiDWewwE9nlWVotC2Jb/4trHvM
8XlQagya/PZF8o1FFI2rsjiz7j493d8NcvLGTE3VOJtqrsf1gywMR+zFQx6cm7mfj2JbAita/CJP
c7+9QpUrv+mKHak+t1P1GMZ7j4tTd+6zfDrDKDb/HOfkAMimOqr9lnGmfer2j19PrnMPcTJ9LfRF
ql7yx8Uq3C+H9bkc8HN//+RTxLEwYiVqix0O7AmnBlobJD9v54Y5944+Tt2vX8mnB9G7931yORNd
ldUQU4ud4R9xSa6uzAyRXLDOfnw9zudL4a/vOr+6d+s67+oK5UjD3TZcSKTevJxZBZ/+fVrI4AYy
Mu3TXqMhlV0Y632xswlVaK8mdR9W668f4dPX/m6Ik1dFFEhAUDOzp+qt73Vp3HGAnyluP51A74Y4
eUtxn8eqnQwFm1KPbn0o1k13F5VPUrj4+lk+BfVpthtYdMz069O7j2enQajaKt5xRYfkYqwei9pG
vNcb3/1URBv8ujbp6Gt3GPjmS6Fdar15d+Y3zMvttypZzLUknZ/Z9/TjnBAegGaa882stHcC46eq
XYRii78VFu/ZOVLDpxPk3WAnG4ufyATCQo7ZjdB8U5+olDxeSRAbv36oT48VIdBREy2LF8C83t7N
83GkbxFnI++12mnRarbIzw9cBL4e5dOp+NcovzVOtYwrBu4TO3kwNwlE7bZPz8yQc0OcfJxaxUSs
lXgQBF793VCeeU+fTkASD+nyEN6Lr8vJVA86P7El2St2dFtstyGwT/k/pH1Zb6RI0/Uf+pAg2W9Z
asFrtZe2fYPabTdbApns8OvfQ+ubMZWNCvU80tyMPFNBREZGbifOwWY3tdkjINt7niR3fYX2Iorj
MfKiSsD7cDmGa3Nt+QHW+UgRwkz00OIDxpA7emKhKc6hU4a2cAVoYHUjnL+3qGKyL80JiaFMU86g
LYN4pgDg5lmjPs4a2BoZQSpJ/KHrdi2tIb4WMmB6kgj0KkxK97jeTzwcx59YPlzL/bCPWPoEAY8X
s+tvSGmC0QY0sCA5B98UOaRp/coYzu4xt4Ftn9LvTMuuwNIIslZ14/1kLdMXDhnC4xnX0cvKQfkS
JB1kGaWhPNQ4wkgVGFnRGby/PFhrs9cEszEOvKjxuLA5HyywyfZmbSB69ewLh1MGWhpAhMc2XofX
DZmAUysq9rgizgzEc1kWjgqWcKhSOQkiaKs66CSVLaTPqiHc4uG5Xtd1WDr3qKYg8UMWNIFJ5j5v
Aw101YBLyrDin5djtz7VFqbmqb6oSVqfNFkRA7TCYjRGAu7/0vQcxEWwVM8mR529RAkfn1tGXwso
dzllNG1d6/0Gk/4xARZfMQdk8RWJBFKKETelgQIYNlR1BtAaJWGie0Cqfx+qCnhGNCPqM2oi4U81
+oZZKt/bXe8nmfJwOSSrcx8P9Lg/BfjVEptxiooWVhgCzMANyKA+QnEL8n2SOwJwn26UmdVxBmB3
fpyDFrq4yLGe5GgNgts6xQWidkzS26EtXi/7s2WEnMe2jiYzrFQYUa0MWRsmgZylu7RXuHvZ0Nqq
MPcS/eONkLVFlY9yPXtT4RWLWKcp2ZjoK4gd3VpaEJI1NbrIMH8PDUa/QRZMyAZs2wMowY07hlcj
aFRijxql+iulirYvlDYKeqgb/QdXrRmCjdYwBXkrFGwOIbMUYsVNYDugk9z9fRwXPy7eN0SAGtQS
2oIDFVTCvADzqtJsJN7aUC1NCCVTkSyttguYUGQvtkA0tRGftfq//H0h5yBKR+J2/v0I9IIq36vw
QAVPr97mG5bWstsC+ZsxF0vwtQmVIx2VDJ3zgIlNAERX+xFt0VjiLg/IujdfNua/L6pTrodjh0IM
yCtUT/2C83dq8l82AdEBqN22isKqNeD78WwClXq8cp5bizK56IBnboIY+loeyIZ/yeFzZdLmisdb
tW618FoLY0Iiy8YApv051+JhBO9a8Y7S98hkxcmBuAAfbgRBMPmoopvbncJnu+hODHwp6AFrk70a
p8f/EOivr7GEbUPRGzoBTSyA0gb91tvqXgaFbE/KO63c2ovPjokrzsJx8c4ijnQ9MesOeQNqUpdx
/cGUFAc4CQ+Lb4nWQXAGZuy6Y8VGMv1evEXLs5iODjjnTFcolEm1b0f0JmN8B3hW4s0T5IIpKEl8
0OK9YMMG9v0BHXNxC/nBNvrWmBAoK5PmKpbohz60eNK7HPTVqgp4A0gc8TVgZRSmUAjtVQP7aUSd
yf2D1Bn3McuuR+qnEXB2tr3nJT3qDFSwapSAgxePsrjOrTYm8lrao2sXL6XgokIzsBAWdIPJuMgF
SjFn++6b+VzfpxsHoy0LwuqRhXiCjW1MY7D2x1cVuJrxoDxsRHOtHi3dEIKpTSlpQBqBykqvewtE
KKCB2NiGru3ZbIWARGvu2dX+OJ8Dl2RPPTRnA5upAeSe33plwEbFGkBDQEu0junx5DXo1+zUofc6
A91i4F7fmKtreXz2FUI4tSmnfdYij9H3NwLOSHfNuBurzAExOraJ1z0Iginhvn85XVcCfGZWCHBI
x6SBukUTQMMUHLGPubVxW7QZXqHcT5ZRtKOJ8Ma7EidMtm8V77mnXgZul/zbZW9Wo4h9hIIrDk2e
Mbrn1Z6gLYnKGoeIo16/6hoov+2+vVZSVAGL7EO0rsZyf5NKFXMtG1zuSm66xghlDjOtNkZ0LbKL
T/kD8cgKqAvrTR1MOTq2M4Jed7qXNibhlhFh5yF1lakyjGAATrw7Ajc7BSTY0G65HFdzpb7P7SL/
xFWEKMadDQEc1tbYWlfc5Xr0Ns6QIejRAKMwgau7am9rObUdqHj4U4cnealKfmUqqPLbsn5LZGa4
rQ06DAAM1fvU6qS93Xd4M6Y22OfIZzrTsFIyQK+gA5WO3IJKJ05qxW0GLIsQpp/utCiy7tFbnbqy
nev3dkTGvTWpxwrLeC5HBD1gYGVRcH1xTFDsM53cGiSafDJXWHmutX1KntJuuC2rew6SK7efp3I/
T+oWs1vuD+jSuJpagNPSed6bgOKjBbctbvS0gYpz1vhF2J9KUALtJJk9Rkz9UTDwRI9G9a7m/Fdq
G4d4gmDzFGu1Y2oq3/UNsUHxkx7NCiVlbpdNagu0mgrOP4oCQea66Uofne6Q1e1vqqEBedWGrNLq
BCQzI4IKxAwWhPmEtthv6Twv8cAPFFAljadYYo2vwZ9BBektj2t5b4OtwDUplDQKFdxtphHf1Kze
mJmribr4CGEbFvYAlslagk1fneyhz3PTljmC9nA5T1etmIAFAZyJt3Nt/vvC1S7WuxB6C3CVvfbZ
sX6rpHRjYV03YYDcTAZ83hb3G1hWZZ01MS4TyscyAo0QaPDBuXjZj9XpZn4ZERaD1MxnZRREq00f
qum2m3ZadlTqHTpGkgQQObrh1MohHbt9IDIBpAB1prh9g/CkTHowS0DV1Kf3UfVhJTeWZrga8S47
thq9hSFyPkC5HU/9qE11oCT+oB/VwZmGjfV8ZV9y5ouw82Esz2VQI9dB1iY71iXfa5I/SSmExIFz
uOzNPAzC3vPMlDBMxIgVQH/hzZRdg3fJru4v//56tEDuOU8c7G+F1Uy38tqENBiq+9WQg5iP7CrK
NkZkfej/tSH245UMWE8rgo1hmlWkOHgzoUQGkER3gwJ/2Z+Vnh1cy+AJ5P87JPbcRYAFyOHsEJGe
K8BCSiQAKZy491VpY9+xETux667v+gEdnAR+Sejg3XUnfXy67M1csv4YfTSTq7i3kAmehc9z2Yig
PVpUVg1RDLAwgdfYl3vNBxrYU/S6hv4HiERGzNjLVldzbmFVyDmVTEkFfHAdWGqyB4egnWYbkVsr
PiihKnjgbbyl20KpjtEWyce6rIPeehhUDQ1IkBfX1CdQNB6jIcTjQehyI/Ev+7W6TC3NCskOMh+p
hyJTHUQgk/SyN/N7fQLHWfEKfRZbera2gGNrdeLLHngZzoePReDIYb/ddJsDdfytW+e1ibX8fWFr
Zo41GLqw+QmqEBDjEqAHc95oZlVXu+C4hS7kRmasZfzSoFBbw3wAiVcBgwN7LPLGLVO/07fAcJeT
Aw3f51GzcWFPlZ6hgFsSdyK7fC8NeV9UIHJpCpB+gaP7Fe8kRy1tk41qu+qfqvymTyCaJT5MNICf
gZOkqAMK9Cdvv5l9vN++AVtNi4UVIYoFtsEUl211YLQgg8/cTAEvfOyZH5fTfTWOCzNCHENiQmLA
gJmMKt+GLHo3bf6Yc+M0EvmqG+t3Dta+yt68nZizWixaIAj7N4hC+WAUyscRlB1Ae3iqQQ5jdo9D
alwRKzpm3e+JrXEwuoHHFgysG8vZavlfGp9HeLE9ozFoSiE4iNhycoWWoFM0WG9kkhgeBHdqcpK7
yR+77AnsE/Z/mRwLv4VT6DBJiQ4NiDrgNXgkCnDaNW7Shhspulaclw4KW23WgdXVlmGlfcqe4q13
9a3UFApz0UC+OponuA5+Kx4lDzYZjh0nTgYk34Yna4sb1mmiGRrezP7o1dEUtbI7vHEGCjjU2lB3
AQz1CyzXVX1vjsopVzaSY3V2fxn8nTuL3ABBqB5C5KwOcKUGFd7IifMHOX+5POtWa/LCiFCToT9S
4WYM2T/FbyFkgDLeeV19C4Zpl2e2d9nYajLoumERsNGAW0ZIBk2KwftY2VWQTJ1LCEQhAaK+bGJ9
0VzYEFIilVQrZRYIZe3O/KAtOLLB5B7DnmT/aK1biFJDt8X2xp5eD0P3n5bQhXVhyQ4lqVQ4nsNw
69tfRenk06jzwKp1sNnzZUfXs+PfWIpX2SrpeIz1rQp0u8SRfsQlRxS7xsS3YNFbhoQMMaDWNsU0
qoNOJ4eE9XtNrQ5Nou0v+7NeCkFXpODWHBo84km1krUO5MzxXIcjfh/bYG2di24Fmi13pOkLZBvv
gOTaWaWh+3W/tYyvlpKFeaEcxny+a7SkKlDUGM+y1c+MT66ktP40guj3sq9rpQTXDnPXH7oLZXHd
5npmWLGMC3GdAgnk9M/1j8F4Sb5ftrLm0dKKsG5DdbKgrQkr3Yt9Nz7Lfm5vjBmZf0JcO5cmhDUb
hL2SDeUy3Hj7hl/tpKs2KF6MwQ/fphcwDxEnrJz0PqmdN05iiPMdjIfLPv65aQBVzNyMBNEH0/jj
dQ4aDpx0LUQVsAN6HSC2i+oMpteuDFJZY17W6gc2dVeZtfXK8vvp/Nz1c8tCvqhJbkSjrVRoFih2
Ha4SsNtj3+uwoS4ukgZMegj86ino2cEeOZoJ6N95bkA010ggLAGqTSOJ71s5OmQNxBBaMtyGphEA
XONmkGlOUnDCXQ7Vn/MYHwwySahzWIpORPi0lUXWLOBaBa1afhKwkGdQOnQLmvmX7axM5HND8yqw
WLdGbmemyVCBLalzwWXo6c3wmaMSQ1z6g0BLUAcPMY1P9dZF1J/Ly7nhOQJLw31itq2sVQHXZFw9
gIe43GpM3wqiMOoKuC1VOYFvOZ/1JzNXaRIIBqgbE2vdDFiYoV6GtgPx0n6CfHHdSEhryzAOeZm+
ou3oJEPX7z8N1b92xBv5zKp7no1I4pQV+46NeNT5NKD3mkU7KQw9C9TmccE8xdyiWPizNs1D9WVY
XFR4CybLTq6CsJVfKBI+R+JDPXQXhVtFaiOWf1zUpzzJyho+zoekJAX8rX+wgHq6HMrV3APKHmBS
xQaIVqyEjZLaZtoDd1kOnz0rX6bqr7eDCNnCgjCtlKphMYdAeBA3LwzJnX52/V+/nZybECYQqGE1
mrUDdi+JUnrhQH/KIwHvbr41/Ct9dOeWhHlk2GOp9Q2cKfXyqe9i+aRQcOjrEE4IIrAu5NCQ7FAT
6Vwc0WR2MDLpTp7Lpt5AqJQWuIQJuxL6UKFT9e0niE+oE+Xy4fKorqbpIubmeUUBsCnsoUSP6W6U
900EgfZROZhx+g5RtA1Ta2mKM6hGLJOQP6kUyqEiEm849nN5HUGjk94SM79XoT60YWjNp6UhIfRQ
TAc7f8+wcEEpDc9Vx/QZYALQtcsbrZ9bHgnBi1kFl7oKCRveQeNImu6g8XZ5fLZMzButRcWfJBNQ
1qGugkEzwAEPbA4URYp66xC7tstYhkzY1SeFapYQU4bOX2pEbjTNkoTaU/ciF9CvbpSfRqoPvpb9
+C/OqZahGbZhYJNz7lwHDUGS0hzxK0050JTpDpTXuDPTwEF42dIcJnEvA67Pfy0JpWXKDADaorgK
SBo/Vui8jUBgWI9ddT3FVr8rVMjjQYBxa71eH70vs/PfF6NnqiZN0UqK0VOj/IAbsx91nFdgt+43
/FsZP7A6EfX3axvau4VIFmozQdnPLoCZgEhnxaRjoQy7ivwkPTm2cvqt1CFKBOz/5bCurAkwq6NF
FqKmoGAVFrmkAs4pL6MyCHvgFRJ0XDtdJf19ZwigaQsr5DyKmgRCUKWIy4Am+QFNsm5NwtNlR1YG
6syEED+tDxNtjGEiG/zmbiKjI6VbTSFbwRJyUIplJdEUBEuqbmYKaUOeNjZVK1cD55ES8q2LwLRY
yXAjrVWQoWTGPrIhHwOK+qemqN9Asw4ZmDBSHXPoruJBCVpw0f+nnJi1+H6zS4k7OymEoHqmmkVA
xxH07Tg6lMX7348WWHpNWUdDEtQFhLSzMoxVIikFrtnlm3Bqrlj3FKsbW8e14VoaEbJOxtZRogmM
dBnFBnh0i7zcMLGWdQaI86A5ZuJ6UwxVVOkFKNpnEzrISJJ03zfxsSn+nlsOtXWeouhIAgOceCkF
uaYBvSZDERgmJG8d/fHyaKwst/h5bOKhGaFB41hIOlkb9EI32yIYxsqRRpDEgylJArot0z4vWxJ0
imca2NmTL1PCyq7nUY/Xla4IRtB/QEa48VULjEKHsbymyl5VvRrLPP4B0K7wBu52lpsfFX0jw9eG
bfkV4rKvxbTSjaaA3Ou1cqiJa5r+ZUfXcm9pQVj1jaZLdEmtiyCfXPWaTRs/P3+gsBqehVFY7Uf0
vodlAQcm4hjxy8QOWeRZ9Y1q7P4nP8SH5pCgdyWVYSgyvHLYF/zp8u9vjIT4tsxl3KcloKQOlIPN
97XlZH/Px3WWceKTcpKA2KOdLfBv+RFwvMn2AFeutnD5K/uT5YiI78pyJlGg9jGHwl8muwvvCsuD
CMTlYG2Mui6sP6rWpX0awcbkKQYoVPYqGtz6+8b8+2McSAUhKG5BwOnPg2KkkLqL874I+l9D7qqQ
PQw31rnV6bGwIHhCq9KoJoYywJhff9/cTK0WtMXPz1m32LWFtDK1ClDQwP6ZFm5ROBDyYsfLg7EC
GUZiLYwIpWzK0eEoFfCh7X2m3MrarfJDM/b2uJeTjVm4mlwLU0K90tIcEGoLpuopsHrfDtoPPBWj
t/zvu5DPfRLKFkhFIJAGuY8AUhh4pAq9fFZqK6WN4V+7fzuLnVC/QJkYx6EOO2TwuHbVQx9Dhfpi
5uo/CMReH+nL5cFanTlfASTyeUIMFrTpdIaESEvdwZuiSyGQo2rjTQdRw7baAkBvmRO2N7zBS1yY
wlwNiVU8rsAvvicjJHI2EmNlHoGST8OtsjFv3kXAeMyIllloUcepyKn25K9BWThRLn5dmKV2RuuQ
awzFX36Lwf9WXiXhfosYfmWunhkR5mo7DUMoV3ChZRAS9SOJOkOwRQu/MoHOjAhzVVeMEbqQMBKj
fTbyczAvPZHUjyLfmLYGf6Wf5Dxswmwlch7rOYjAAg2PJl3tM83v7XtDbx2vlXvHbD8qBVI1h820
W1lMz7wUZi8HtF+BRFcR3MjlrcXBhupdnkZb6SZMW4nrnd4N8Kx2ylP1dvnHVybN4uuJCO0peZyS
jvIi0K9D6jTyfa66lnTTPF02cznfiHj00AzJbEMNZtQXKNZqJ2PY8a3LmMvphi37ebmxgASNChtx
UsKrEvpl9D7Nnbq96qKg3nrzXx90C70QBvqkdJFzKq8oNHsI9jdF5HOwLiY7deu5ZN2dLxOCO1gD
QGqjwwQUeqdb7RXX7UbpQmK837ztX8+wL1PCMV6yklAHDQYybHT2eun1b7ntdvZRyZ525XWTAHmI
iZPty9q9nBYrXMfzrP2yLBS7LiFVnrSw3L5BJ6PSrm3rnUNJ41RH7n4A9xwQKD8osOfSsN8wPTsl
7ObPTAslUJcTvR9szFsT/dv5TxlayQOgG5+J9sTUXaj96NnB3LK6lTdCSRygw41eM/hLIeYnQXjF
30JLbVkQ6iDo/6B9mcFCZH6HQuW0l8huI3LzQnopckLFYzIj9gSwfwDuPtUv3440qMN9u5UcW1kp
1L1WqqQafb2IVetnH1zZOI6uV75/U0984jLbMWSyhEDZt5nlJ8H0NKu0/P2mfplkprAnkSOVqiSH
EfUAebLj34PRMX3ASTuTD1jAHgk5jGefwpSmogiyXgHjoJoeraJ4MPKco4knivcJYafLg7+aXguL
QgKr6GPDgwzF3kc+Qfdcs35c/v3VQQfwSwOXMwHXwXkpuvxbq4vO4reE4mJHdk5Zm+BbqS8dosZy
etnRu42IbH2xMAYMwOApVuw8mPCUyLUSenXcu+zIlgkh6FyvtRyMY7jXgCjd6Kpbr25bvy/UjKoE
paUa4vejHzTesy0VhdWVbDEOQr1A847GozwtcGyGPqBp0fc+NWp3HEygYifPruKbYsj/vtN8nhtf
mSSUD6njNYGyYY5uV+tmpDFkct7/p2ERkVYJFOHxLIr8ytpvzQhp6OPl31/NX7TngKDBmmU0zufC
/0sgZEXVkefBOETHUR7cEYD5PtF3wJt+v2xq7YpQlRe25hRZHN7lFuoThlblQTrIvW/0TLoJZdOn
WnydVQbbG31BHJb0aH/K0JItJc09rSH0pSbTzcRAOs1AcaVoU3FLQGKJHNI35sBq4Vl8oDDNaugV
anne5QGT4mcL3C61YriNJG8U7PWYA2SGPuCZzljIGoOCjDaXEpip7PIks0nH4UjTg06qmT9WgAxe
Dvy6W//aEykXtDKrGpIViLv1ZD7hNraiGxbmL/5jtba/LAhLUAbNxBQw8zwoWsUx7zTq9Zonv0AF
0DH/HiaAJPoyRc6TyFSkbhwZnGnQKHMsZeuK8soCZW+j+5fDtlaxsOiBIBkKOn+SL2hM6tnUGHlg
Q2et0XAjt8Xvv3bThK61LxNC0Y0JBLbGXsuDVn/RsSFt49LVR/JDjl7CDBdBIHX9jOr2NITT5EbU
vo4V8+myl2uFc/kJQl220beXd7GZB32Pi2D9MZu+Q3D4cZrwGrGVJoqylopLa0KZbowe6l4jrA0F
OqjQm3RrUc4dPvQJTh7jN6vVJUeyk5OUzGrNE54rZrGu26yTAmAvpR2v4nHPxi7dhUQBHFO+s4z0
IZegxItWJpdW4wsq3WdCJrdTcw+NMYqj643bQv9Yk7LHsGK6w227cPDo9y0Ko9HnoQUJ0ii64xK7
igsLz4wSOl0Lkv4sBmKA3NlUoYaLoYkV+Zkm7MXUw7ueR+/t1P+EQozssjGx7iDlTZ60Wn4Oi2sj
PoB0gD5kWTf4rQ1dorQHSs+W+Wc3NH4UFmBzlXFfUfUeyRLZsSx6aGTu58nwwkvmo0PXsa0RCnSI
U4f/raVFim4V+Ukx8seY0fsh0x/Qi39QR/MaLMmQo07629JC52w63XBuHqxQ8gvIVOOS3xlwTeJL
WuzpzODAIIN+vvLxphBBeCompTuTfecgOU9uucVwX9dLnlnYhpPzBLR0A4hIba4DTZi1HkekoF71
lo18dFtOQgeK1y9V2RqO0o2HXtNfTYvDbKndEWt868Pm5XLKbiWRUD+JmuVaqGHWJBqQhHIOgpcm
PrV4qLtsZ70AmACKYXWEiLuwNsaTEVMFDxkBEnan6Z3H6e6yhbWVYH5g/MeCsCKySMpZzkkemHF3
H0PzWuqIV+T2adgk9VkP2pep+e+LxVdhul7aoKHCoqO6HXFMK3XtesOfrYiJ9UzW4Ig0oDh796+X
Q7V2s6yCjx/UIiD/B/25MBraUIVgE6uhBpQUt6ER34JAzlegTj4MBykOsBvYSaZxza2Nu9LVbcvS
sDBIYL6kNc15icg9Jtke7ZI9j/dqdlcmN1VS7wF7P9hTvUcdca3olLNvnPeY8IP2nRiDp/bWxmq7
mjWLSAhDmRddGld4Og7e9Gt+ujMj93KoV1Nl8fvCKDa5YhWkagFVAKc4oaHXTPSm+g/r+DKqwrqT
QdxJKuRmFncyd5CSJjIkOMBwd9mVrVAJ603blpnexzMiuyAfNocwqc2cMJVdvbc3zmjzB4t7oKVD
QlWCiNMgK2jUBNEMUNSJKyv3zY0E2fTLHm2YEckHOxJG2D1icJK+cFhV3CijdJqmmYgwKQ/D1t3t
agDxdARdYQAIFJHEDXAzcN9LtAx6wNAcuQbTiqb28gFy3c/AYBwuO7e2j5xxBP9YEzZ3TdpIXUcK
aLpJt7WUu4O8A09I9VzS3ovMz8vGtlwTCgroV1krpQygn9q3p2E/qr+KJHMrsr9sZ3U6LZwS6kdS
x/ZI0QkaJPqVlFuOKR9HvjVnV6hWDPTTfYVOKAqj0apFhv1jkAA7pNLhKlIyFKEMPBJo8XurG/N6
6tMDurFa8PbYFHwXRuv2ZRUAzfB+2ePVZWDxLUIBkbIJkLAWFROSh546fZRp9D/GdJ4li9VMrhUe
WRwW6LQjz2kWxNl/soCb9zkZwfstTGcVwnM6Gjygw5df99TvtWuS/TWP6Dxk/5oQuWwtrc5wQ1yV
QaEBPKcYXq9oPi79PWBKLw/I+rz6siSczyo7ZCkaw8qgmXYZROwKzzC/EzX2UjT90+tkSxdofWrZ
hgJcJzgTRYpb2SwBJAbMOtCnSgeOBU9xvV3cawDBa0r787Jz6zsDwFT/sSYU+SSslayr+hII2RuI
2LymJHxI2tuyzZ0iaq7aXgUjBJqBxm4LZDmn2R81f2FZSJIvy6TrcKIY7du0ve3QqJ+25asSblDH
rE4rSA+AS2XmrRbvDbRWkvQU9TgoAWxqMKFbeWvLu+YQ8JwzU5kGgmwx62O0lCZgI8Zd8lXsRW9B
cpds3UbMoyHGzIDQqTarnBmQdT6fulB8B92ggSv3vrgHWc/opxVxx9DVj8pWS8GaN0tTQh0CBypY
qedn0zJ7n4oMqoqelr+MBnHJ3/deQsh74dX8KYuCZJCJt3aHwE3xvsHRqhi8COcqKdyCS68V+plg
G/pXwOsrYIE6t5ROIZrG0U4CPPFuqg+N6vWyH8f767Y+6vLBqG/C2L88w1ZWsKVJEStmQ9YV65dJ
A2N0Qb92n2XaHc6Sl42sTeMzK0KRojGSss1DGryY5tEIb9XwSUcwp6sMb6y6euqNLQT/yoQ6syhs
N7qY4EJUtmlA7+39FtPlSvKd/biwvehbaKkyaR6nULnODnEfO2o2Hgf7YdpC3axMqTNTs5+L5Csr
Klk5gR+ZWcq7Tit+jcZU7dtYxRWJMd2ReGqPibbV3LQePpyMdRkbX6wu52ahHKiDSCrOg/x5CLY0
F9fD9/XjQlFXimSKKxM/3nglkMTRyZweWiCn5XJjFd7yQphPFP0TFiTQ8kCve6fJsSBuXfNtWBAx
SmPaDlZVZHlgjakFUFJxFRby0+XZs2VDmDwAPiikIjQHybp+Ggbuq220UQVWTeA6EHXbsmdK5/Ph
Ho1xSHE5jkveGoquEgQFuy2yqNVEhsAW8NYop39wP5aj2upmhEG3CSg6D2HQap+tcVDvo62Fbt2Z
L0vz3xdTxtDQOJyMEg0k6tb0UKgbp8HVkrnwRAgWa8wC10f4/Sm6byenmdzG3ICor90eo2MLN9NA
cipgkxMydzKHqowMQoNOtsuD1hqRHzXQsItL+RqB9DmUaxyjLFUQDkBZYMhiN7VeNjGZqzP16zPE
bazesbjtbZkGpJcjT2KvpV79GMJ+rxpx5uWV8nk51bfsCak+4PRrMwlup8q9GV8brQ3qlOKRT5+4
JL9sanUULbzxQfdnbq8UKlwfdSkHMwwFbesHS75p1lNqvlw2se7NlwmhzrWGpE5lBxM9wWMJ+UVx
jv9eDt+LZmP3uOWLkC1MK+QYWwesR5U3RqeQuwNupDec+Q2yEnZ3yEm8zwArYNmWuLvjYaiNVpfQ
oNGj9iqO8X5v983kTFXU7VhLH6hhB3JMfxCmXOVhGe27EM+mRvqSGeM3JUvQ/GsWzC2tmrkpz25j
I5QdhaqJ1zT6joMumcd4XMo1AO+k9oj/JHQrSDJCRi57gFK6huaC1lOH6YgmmmuFWm9Dlp7YoGAq
ZCMa4eXuXZab11bX9xVIjLxq6l5LZrbOOOXQLLGm0I+gQnHVJKAJqaaPRhop3hJY6iWKcpq0/kOK
IZYsTeHesLrIDQfcfCccqqdqn+e+jKOPjw7H2gEtve2MSVS4VlXeTDiFO1pE8cKq6O9pk47OkEKq
orKLE+36j1Kqb+S+6450RPsESm12Rcb+pk3aQ4KOdr/TSOSDH/JXIXVebUi2q3fKG9XVV44uR432
n7FuMicfjA8ip4HGs6MpX6kyaxxigKBGZxnZsSpvDlUrnaxpNNAb0agOmsdupKLexfVwGEeuemkN
qgabFHd4KFXAQWknkCcYS68o89LReNU5cOVK1pr2lMt8ANgWu8JoqqtrvLx/9JJ2X9r0mvXsQbOi
3pMz/SNV8ckyyKabKkm8VsV3WplZg010GF2QW+KKwrbrPUtHC+HsEMQpelP0NsPbRa278piD25Qx
4ubQL/Caqus9SUmoo2esOU3VCI6tqCdYvK0G4ptW5NfQjfQ6pe6uzYT4tqqFB7kn2Y9sin6ZbRy6
sWqnN70J8lSNDqkvyWDFjvv0G0+54adJMh2g6U08PYoek5hnO3kc+F3YqopvDpO1o/04uWWTc1+R
aAbpBDUG7SjhByVvWjeTEsPXoHfq2FCShySndSJxprlNRccnqtVgppBr1U2nOACHyuQodvuUKlB7
S6tE9vAu/hOwocgFwUr73IXpd6so3yvCh+uxtmo3Smm8U2lv7CYQiHtGazVXEQ6DJGwec9qCR33Y
5yn+PVf2hkT8tFFP0D48jkzft4bty2F6oHI6elTr3zO5u9E0qXFBZHEXyjz2ciON/Ra8mm6U672T
TZnlhcx6lcbpqSOsdfpRL7wyVNRjXwI9FyVZYI9olMr1hPuj2pHjBF9OGad3Vj1MXsEG6kwheZPq
btxX6NrYGRKIlJmNcKNRzaXQqPZlO35Km/h7QXq8T5FR8ULoU/oU+QxxyEpy2KR9DKR9HmyMtFKF
1c9O0fNjpSWKj/8+34cqntrA0jnsLFoQvw+NpzAMLS+XCsht2IzfFVFS+FPGj7zgkqfQvgZdHzmO
zQQCKnNMrm3kl1eXyUyJ0YG3vB4tn7Y6dyWkCtoO4wL3QNCnoVJkekZB78FuPKJ52YC4M94qIQBg
TA5TyztTkh5KFidOGKauEen3mRJFXtSVD5HyrYcUkxY2aAFFC8Oky3cqDSvcxJlvQ0eROIkJ3Rsj
j1yL4ZlzBFjbzWRqov073Xd0ysGcGZp3ljw8Dxq7yeRRvart9HMK+8e8ah+teopcbmMmQ9yYINOl
G1krDReiSr80C0BS1TDKEweZ2o4NeBnVtKH0TS0d3BATwTCddgiiflYqs9hVkbFXdSgad+i03El6
+cRmgZRylkrpGH2dNOgCMyX7yfoGTMCpwzMU4FmSopzFKfJZpiKGXkUcNrgJnHn1+cywHxfNKef8
XR2M2NeNrHLKnJtOzAnEkGY64SKz76pwesAEtLDIg2+4nZmHbaVX3Ag6P14djp9W+Ankf7XLZrbi
Qp8+oZEdeUxp3qUanQ3daJP7vOFsF/dT79XmcLAlpDRvMEpVbBRePZbAgf4fdV/WLCmOLvlX2uqd
ugIBksZu9wNbRJxYzr7lC3YyTyYgEEKA2H79eFR336nKqemeO29jVpZlmXFiOQGSvs/dP3fqcJxR
w6Xpr4h613xUtteJ6fJ3sgR1vFbbbYvyKd+wO7Vw15s79VVR/2V2MHe9Inb7aiYoev9RYheKNIxv
MFyBybZcTHd9k39u1ZCtXXFTwVVI2L54aHN0GayeUaQv3g1DQ594cPFoGjrfLKN8b2AYQ93iHpzy
ImoZIcL9WMKaQm/BW3g1KVhoYHGo8LirmvqOwKY8RqlVn/o8Dx5zZEhf6p5X2eKb/ZjDr/aacqya
rUl7BB+vyn0fVzhtyQZQMK/bexbSR1803+ZhdhE2kt/B9+uHD7OlzatpXNRS72lpgtPgwgBvrDrY
c/+WRtu6TTQhoJY1HslaPnybtuaJOwNJh2tolazZfiau3OvA+zTXjDWwna/r2spYsjHDOCIk89cs
IzYsc7wEnonWa3j9tslDeY2zF8i177vmzIvtugnwPqrCsTvatXluYZMasQo75RoUez316oT5KXIT
VMsRSb2vqg1v4FqtI0BAbVyKEgK9mtRviDrFJBo686Sl66sr6fA2MFtEavYeMVBfRwHgyZ6yi6j5
qx2aKaVgGemE4UXZhQlo/l0wZLKyLwQD3NtnGZCk78fmRi++jorVhV+Em7YY6sWdYaBjCnfVdd63
I3jiFpRRCOlA6ao3F6FD2J3a2FzVBfqqM1jaVn6zkB5UVw1CDzHCAqq9v6oTyqtOgeXLQ/+bcuGq
YaAQM4wQNYgCF7+5BjqETSIhexB1+H0R01t71UPkdXsREEggv/rWgWBC5K7M+quGQlzVFOgpbkjX
9JeFiCqSou8TJrB3T64Thc38sK59lUBbYCJbeheBjNKIqYHuAoQXQXC3wE3HfWt6tbMglVGVixSh
wSdvCdPQOPn5mldMY+MN/U469Y/FhOFBAZ2NsVEWaS9YfaM1VDVtX71xrEIV5tDuqepp5KMbNy7r
ktId71rUEPHCui5aJUJ++m0so7bq7WlUy5PxivkYFt2FOHBwqfp5fu8RwB01vH7qkX23tyMsyANc
SixwnNUY826TrVrrg/YosvAK02CMB+L6fA3ITRiI8h3OfiXoO3mHtmu/YceAo3v9pmCZnYyuO6T9
DA8htxhe5rVbUuRcrPDsQkzrJK4TtrLywCHZNuum4l5P28vENp1RBct9jwZV5K+evufT8OqZMU97
2mEZ52Ub5WGPMdm2xGEzDLt60d1JTDhqN7uF2eo6LBMWd9s81iJqglAj9UA9yGHG7V2G4wHtOS4V
E0cXpo6x2hoZCaOaqJVjl9pNkHhYFPS7q/etqJEDrc3GktyvxI4sPI9YN9homIZmtzY4+/MGcQsr
HevECT1UsUFxDwFK/aLJjEKpp183GEdGhTOVOBYRpFVs9Nl444s/8EeIbrudcp2jGuXJL9SBGe9J
9CJtOwKNyMxBcOjK7O00H31nnSO14YDZvPAp2BCH6Nt2Rm5ISDJEtLu7mVd3tFrwzuJi3OHxWsE2
g3uckOaFyYvpKFsMs0E1YzH6Ab2n+6NxBmTBdjiMNEVfQIeZZkH1byiuP5vn/0Oj8xO2vBDWyVlv
zU1vxi/MrE/zzDJkKxxcI2HJtcVoG+PFISlCEfe20/t/3Wn9KX4hYFUXcgqD8J91m6urOcIM8PZQ
+MPIpv43je+1Gfy5jaOICINbItgGNHR/hEfKrSLO4OPlJWLTdMzmEN8jzB3iGaIwnGP23/le/9nv
87s3/BlEMLnpl8rBG+p5vKV79e/dTq9467/4lcRPsEGDsiqnOd7BfV3hB1b7ERKblriuMsemxGb/
+vr86f3x+1/oJ2yZiGH0iw5vtzIG21pIpPwcg2K9MsWOrGGZVIher69b3HDd7OARcFrW8v/hLvn9
h/gJg26KonIBBTc3Zrr1nXgw6b/+Lf8MU/j96/+EorEJjhKU4fUHd4rlFxV+4fTw21v8x7flfxTf
9d3fr9Dwt//E37/pDudJUY4//fVv5+pbrwf9Y/zP69P+68f++KS/PWmF/37+kT88Ay/8jzdOPsaP
P/wlbcdqXO/t9359QLZ2M/726viI15/8v33wL99/e5Un5AX/9ZePT1W1STWgqf02/vKPhw6ff/3F
QfoHbP3hwoFp1f/4/fv844cuHwrPTz7qv1xQO/4fn/r9Yxj/+otL+K/g6q9ONi6oQf/qkzh///sj
7FePIAYbDW4Ab+grgNjqfizxJO/X61SKgLyTg+OAp+wvfxm0/e0h91cG4u/6GAiXUAjvl39+xD9c
rf919f7SWnWnq3Yc/voLBGZ/WHcwyncDUJaYN3cB6yLE8noP/Q5pnfu1XihSUQ5zDoZi0FCq4BTf
1QC+oGFhQCZKDLgFPqJokB4bxKoExMDVUEVUIygrN+SxGquz43QxxUpFZ3/AAY3WCsXbkZqhS8wM
b99prn6wJXhC0eaeOWwv0hnIRKo9crJMOGdnVC9FubwNZKmiaSkMWlsEoGAg/oYV4ZYot//BzVSm
7rqRGCO+z+tk3lrh6Eip7Yx+LIwc2IdGZSi3OBxMGc+s+hr01ZMMgz2T9ZR6YH2VT6eMD74bQaX6
7I6svqBtEmlB3NdKuy+FU59YLT7yGa6MzNMjEBKr43VQHy7CQ6HXqGMDLeNNFQ7HKewRAtmKpCX+
HFl3RkwkhnAI0lzQ0rL3eVzL2LWcHIfKa2Iv3Cq4sQItmZX8VLn43HooWtbGORVDa6NSTgCuVlNm
uWku6H5YPCJ8C8pRdG1bswzHGppVxXWD3tPvIrfFeYxoH3RKUCbMM0qEwrJvIwv1bnb1Y1U5Jg2o
ZDHsP254N150yfZOIdOcHuWw8Iyh/O8HVH0u+PHRX85UI+urRohdOc23XPSHzmhgd4Wq4sbKl9oN
X1UI1T0mhzGqzu5CuqTLun4Eg37BIMaDgHEfkkIzu2Kgwy1vXcV3PGcsW8mIG6SeRCRE/gIXgjHi
FWFOtNAWUZcb/z64eQOo0B9vBrqdy2UaHjTtY+7NLK5r5K7DEy4unZDGpGm/WTWFN6Yu92zje4zd
7PK1fdAjhMOwql+j3DY/pINiyGPObhD6ZtLuKUd9U9vpXDujjqCgTuZ8PY1lXsEfnWQO1WlHqy/b
KAr0yRy++uY48+VglNfgjt/Oa8viqYSlDTexV7A1kgHaHe3SpA5bjFvl+a0nTBPLefpqwhFBVAzz
urTcrx5EzWu9r7dcxe3sJq0zHD2MdVNQQhG10P1OqW36WJlhjX3dqribyE531fsIrJbOICd5q3aq
3G7l4j7l9Ypw4HFXyzDt1nrHfbtDOnfScP7YzzIZxFjGtKUJimYAhoAcaQ89CTyN1jZHoHVwW6/F
gwrrnUPz+4nnXsRDe8+RABQBzVRpacbHUDg/Sjd/qijMHBZ4BYTTpd+2tDLej3CajvC8biOBvIhc
Oy826D4mTlOnbs/duDzJAAFhLXcjE7JHtgHSM2v11a0VssNXILsEsyPSO+cTgLbVL1KJZO+JdDuz
hl+oK94L5NoiZTyANRxi8WIaoA0JGwQ5VsCTEVPqJZ3Tv05Dtxuc8W5GFFkdiKityUGWxZna+kwV
u29799a2Po8R7PedeB58LFE0pXzyd4U7Hsjmg/qBCalXODuvzz81o1/1OmIRan4Wlh2KWR4K2uJt
fQ9LOl/a6+J+5ov8oKt4srqBIZQpx8hxxi+OcbDaEWMAf3akLU0GNTqyClGHz/KHcWoJBkYi0bnz
hrhd+XzT1hPwFIjEIylrJzJwF47Gbha7UAcPfojQYtpemzibG7ineNhcK73tgLs5ST3HaEVcAhi6
6FDqqytom7uOA6SQ8oPbcidCy49cDQO9eOl2/l4LVeGj1E/C1yzz6uV2C5YbWy0PrNBVVNLpx8hd
7Bfk2Mlti9TEmthM64Qk57mLkHiz7lY5AhWR+Q1Z0fa2qr+QAR0CJfYE/By5gQN924LmuZiQjtKv
H+Mw12muu4tUakC3a4LUqTa6c+CeBdMzymNnHLECJreGit7/Afj64M99kWg+2bj3l52nxbMk801f
zkUksKMlaNW+z+6s43wsukfhTBdmpj5x8/kSOCuNKs7uyu26d0KLmQA9rR4Hot7RCyJFvnclEgXn
IgbSDZOj0YF5nRl5bBp487I1oJkHZkf3XpWFufhSS+pltttOTRh+h4cAukmj8c1bit0ycGOTL69d
p2FOSeDglC/5iUMohvRnWA8V5L1cNNu7Nm8PiPGZohoF3yNvbVqtIs8COBFnVTfZqGbomAUviwi9
5ALET2Bna8eLWFS6lgYplCOhScGR/dLmHHsQ7cfz6rCrG2ZUDOLkSGkjv29xqYJiPMy2BG+yVvgC
dZ+60vksh+4l7MWphsBMWqQZy8HUtxVxndfamAbYZY2sQKVddGgCRAAg7bvNnYEteJdZGXuqpwph
AMx9FnPmyEWjeV3LBOoMDCpohkXYh4AespWqsz/pam8W+pEHZNnnS7Ul3YqufKAmcgj54W9TgaFk
bz72ZXHHVAHRGYSemRa5t7eLoFGD9RxLf5BA+cwNHYEn1uuWsP67f+7nMvGX6g4Gy5cRC6wk5CNw
8wmZal6RMG+tY/A/P+yU37U5/ehF86Qb86k8zAhZXMelRXJa/aMpmgxeDZVpoa7z7jDNsiPzXEd1
UTAY7+QXMYLgmgj9KvAY+OHwuasbPFQtcbjUu6F3sfKJgoHaUiWVqGKNm7bjezYTG3kS7lN5X+ya
EGRXuTavuVP4sbvwd9W5qZgAYbfW+bEKNM/+fdDcGaAA/bUy0O21oikBgzF03IgWAqgx89ualhDZ
sO1SbfxNW1qlmnr33G7wHqC+jXhevRYW0HvT+a98zB9zlfNjKZ0HgO9OHHbO18K4+JYK+CMhXmWM
6oHcFoP34dbLpZIhZlDG7alp5BRh/G2M55ZDsozzxM0DeglKB7+eYzE+a+fnUbPTvORBBu9HeHlQ
XSft9aaCpuFZT04YbY24/v5DlRAjMDGxEiTXV2UV07kWp8W0+ji11qbFjDmbAphrxMfhaBp9K1v7
GIL+iMQY5Kmxfh0VRd/EwAnHpB5zeGq2mJifWa1BAtRrij3sLtx8AD5hriLhUydezLbb9GpTp1TH
wvCHzgiWVF4r9yFfgBjhE43LqVi8dJ0JtnWF1VJ2z87qHVFvZnnQp2JtMzkFWadotiyA07bOP218
uwAeuSHBkjV+kRnpYth6fAvz/k764kBEfuO4/jeLhQ4QznFhrCKJe5RbTR7qdjliO9AxCv8bkYsH
TA2tEej3IfYDCyqFbwQJmqWKm0G/w5JyvcuBncCRMpSxHa2Dg6ZHSLdDo1r28LwtmyQEwwJd0d5u
QLYajbaZ6xYOBh6+Dx3gHKusLGJCgIxOdsdyHAUc9ZUtzcMUgvWdPO8xdDDBOTkvIphoBKcb3Etk
PZtquad9d/CrvINVNgx0fTFvEd2AZDXjEJGlK2O4k5cpTpPdxsWQtIsu7wJdfRpGG0z8LHfDxB4K
Oafat7FSLGuhfBMBe/YMVrUcb5CiFlfOvCPG7OC6fLfWUyaXuQHKz48dR13HsFoFx7RGUYLMcEsE
eTRLpvwWAD0DZQxKuLma5vVHPtvYWbSTgJp4bX0xJkIIHJtuqwGKTDfNW5kvEccpKVgTKTcI4tFq
g5DN9nmGwwCOlQZ1YEO/hj18q1YnAJ9CeFp08qko14+amlNdj9lQyP3W0ycEOj4JA0jPcc7tCDPe
0t+vQXAxfpWwNTwsfvnF79lhUlxhUc5Ay3BiumOYFGTbV2paE6Zt6o/yZnUxx7EEbE6Amv5Dj/jf
6s//v+u8PYIu9F903tX39i8R/viz1vu35/6z9aa/YpqQQciKqHQ/oMCU/tl6e79iYgJpLdfQLhcN
/3+13p73K7SvHL4DIaFQCF09H//RenvkVxx46LyRBE3wJxH/ndb7j5AaPOkQ8UCuoWEYw/Q98rP5
YyegF2ak8Q+EaGQws13V/jvj8T/iP//7W/wEgvazQrw2q/0DWEjQcOd1Nsd2/DcCPRdBbX/AELjv
IywTeXvIzAQ5ibrnJ5xp8hQpXL/zDwOovCcrzY+umR2Mo6jjmFcPnDgmLnrn0s7MPyJe81zUzXFb
BxzlQ66Ort3e4AgNFUrlYYtGwdM66Lkbp+kx6liH0VzN6F/HQEIYPB1RIz1A5/bMrtNbE9lzB9ld
dghfWI/8SkfMew7SANEnXxw+3oWAl8fN+dCkfMJgqYk7SjAxAJQBT7k4ElLZwX9k2vkqLErMYjRP
lapA4LAR5DRfjzl6GRwsBU3ZVL0xDTCXDQoZfAGAiDZnW1RXCDDd7PC8Viva5OXcYLOrFPmGMfg1
mVZgM1HrOo98WEtIFSgagbrE7KiW/gndAKRLEHFME+/jVSFcdIBfRURb1OS6E9icdaiyCjz+Cw63
m8ogxb7i9NXfMNdGNxHurJ1IvEIekTGDjisn5Ita1hyDq26QdpxAu1IMQHDYZ921n1OJxCCUE3cI
X5pSM23wSCtHQPNyvl9mtQ/Hxt5vRGRqhl4+4FehmDQeJPPzI76/704YdBB65MWXcVzbq8fIlvhN
fpmvPF0zmu98ETLlXbvfAB3cqJWYqAV7mEgCMr4kK3RNMGbHDQ+ypBQ7xTeeuE71tLosdjo1RfBC
HuKa68tqoSwWa77GcvV/9AhJS7HI6QHyzMdgbNy0gy1BpMuZJaowA+Zfm2NllT7A4K7LlMpDuDJB
ljLUjEa5j4lK9IJIBoWha0RU/VJPDfrLEMmKaitwMFP0ALOnUDgomHg5zAXGpbwt3STyOuqRVXHu
IrM91HtPTgfmO3sz2ifT6aOzXYENr35furqF8gThtHXZRq7jn71+DFG5dTMyIgcQniWqrDy89Rpy
lTcAoMmdBSIFt7itrgNiuJ5Dt2YTmVAyccdNXOZ0Ka3qPi7D4cNY1CJgzNDmIDvmUMqKxF4N4tLx
W/R5KKZvgmI6VbOeD2go2qxZmpdJtfclKZYD8i94XPesfVYmPFksuRNYmYz3Q2rRAhy9chiSLsCy
CxbgacbPX2jVoSD3/G7fTkDEBBZfZqFfiWyIyUMB85mISnVemqVG4QC8hsDQOubXI3/FYHVULBuF
vyAyLDt09ONih6jugoeqGS6yGtGVdvAehZsMEH+KGh/BENvZEnCus1mm3eo1KGnrFphKDZq+QRb8
YCxKvBod+2okzcJ6dNJm6FiMEASKrNeSxLNrWdz3Yt1bJACmEBAzlNuw0Yg2DE/uTLHZJBz8Jlq5
fgAdLV7DkrJ0hLt5jDTU07AWLTDIHhb4GOiKhZqHfY5k9VhSepmkLVO0NxLSDf9bgyC6dP07EebL
KJCDnxmMeaVVhR4RqS2vRb396N0KQ/RhXwNuwIW6gwuzOQBJQnYor9SrbQP0URiblVSclxVA2ZC3
aKDd7RsV9qD9Mht6kI6s4OqlgUzuLPIpz9TWp5xjO6JXULLUGiOu3afAvOk6qXdrgx+9U+WZi8Gi
uIE8hw8hKK/c9fa1wqRPuHTroUDwIL7DOuuL/m2DDBWNXZ15bufEACLRFKzB7cpBvMtWv1M4LiQV
QqUjhlC8TFH9ObjMjXngvKvee6o8hMbMgy7isF5U1iJELroeceCjTXNwSzWgsguPZW+HXVHMQ6Im
zEby5QUSMQKQEZeqQSFLt+Z+aeVp8eE+0ulVQFwGpQ20W1cVXhT6d8u256FB/Qk5jK7q5q62Po3M
3PvZRsMa8rWB3IvQCROndK9IjTxvlX0q+9KLREPQVpUIVm+Y3Msg2EvBT3ZqpgyBCiCWZ14mm1DA
Y+BwBaA13OdbgJkeaAHhjxN5MOhAPX8eHXtpPBdcaDneLn6xDwaVNtNUR+VKn0m57QwtbptWZYNh
SemPB+UVCp0k+Sw5S+FgnYa86SI/2JqYCAuzBC9eoOGIcx5k3ojNwBrZxE5h8ZX5ElqvxfgIXqv2
0CO2uzWk32fkqWY18NVksdjd1LBect740YhE1QQjeMB7SvrhOYGJmEsiZd0XEm475Q+fjAU+bHcE
7ogFgD7p8zpaixExfOjHR94Vu0LTxx52c6L3WCzl9CAZ2+GKvUAAyiMc8ECh+wKSAi/PDOZ1oxYb
Ptx8nHQ2vgDK6KtsrrWbocQfEZLr0njEnhwDIRZRCMzTGK95g1kVz6qhfmXb5J2CYsgUpO3RYvIn
BDjpeCqMBUk+FyntcCIWnXkMugFB0sgE3zfLBhScOlCetMUhLwjZdw17kQvg1KUbZMogeIt9A4AM
wLK+4S7ZDQW915sMdmMJvg9ytYzZ6U5OHeywEb6R2pVDK6HHFTj45kd2HlKvyMlJGtTvCDpYd2O4
sFiUTRkLL3gB/njwm35XbuqBu34yEAQL6SI/5BOHeBbsbN6sp26sIAlSw4luLkRmkN/047jbFrV3
TA+VA1KDrP+VVfQd0oGzlgRYcXFkLj9WAt1sYJ8CU6TYX6FHgpZkRUQUkJNkYctL7pUnIiGWy3mR
p0jCQq/WzQcyAmdbcccNwL10C4ZjwW3IIdKq5bfcGgj/RvTsBlhl1MGKKVc4opQh4cEN721HkqKD
1VAjWgAQ+bQn+c01IXUd8pQb4oIf8Mubfh3LDE7vKnO6OcQ4EKS2Q1PtmpXf4miAfGIwkT+/mC34
ujU1ibccToZNsX7z8pZltTBtyolnbwyMIroAemDHBydRom12yk/sVpUPTQTApdQNyV0z9o+tIEsy
wvgRWK9/A5jhbimH58IlX3lld0j7eoUY7UJau9vmq/LTfDFUZNC5zxJGI12+M8ybQIcYbLi8e3eN
2s2L+8qpezBodHEmm1HvpW5eDahQ1FLbHlGF+AagioMs+jT41avotRstZYHBh56fWBOeggCCHJur
1OmGl63qzjOwyM1+juW0h5Erkl9ROaPXn48Q3BzhI/Jeuc1+mdhR1/UnKpYY0hoP5us9hh3Wd8hf
zpq5ewUL2BTgwZ32Nh8aJWy1QUW6m6D2DsyBvSUwiJFD6lPkSSfyXV6TLYESLZscVKUFGx4dICw7
31EMw5VKRf0yycQJlhkIZV6lbFYvggXqUk65jg2W12C/b1hNzfANdsSRrGbYKqOkZFBoOEEd0eZA
sG3pJqlkDuZrutIaTeYIaLyDcN9BBIOjtbhO5N7OVXMO5C7Iv21SvjDFQcodofWk0Kf02dRbHLjs
w9tOEhTcgiw0NBlAQlEyamjH1bKBOsm3p0n3z4BBvpBqPG2+eykH8DZgZa/iLVPfOGZbEiuad4hZ
EnCv0Pehva+F+4ES3QPczWrgWQUoH0iZtbDxVmkcxeOdHl710J4m0GtD7achgRbHDpIcQCz1AE/p
h7WevePYatbisswU7I3DQUApWJmvvoFTDYQ+TECMa/FRZck2CLaR8zwXcNGHpv7ODDuF9Hk7B9DY
ezSPQG8UvvTx/xtKM9ufEZ3xpiD2iUNvvJv48DUs1TdvqHaQ6ARJN1Evbjm/9baQHKh8URulkC6R
fYF1CyPvQxdIAsg9306DImkHsxl3GqOGBTFE1wBVw/CF+O2TdqA4HQWIiLZG6RRCYoFIVFAIdIF7
lhgiWwsW+1Z9LyDf3OoaB4AMF2xe0FGNgOmsqCOIpB48t2ZR44Y3W2OOFYFNVakz2Gt0OJrkzZKf
9ZSnOfYvbjLsDzOiNRVcTHowQMTZL51Ox0B8L1UPLFV6UbiJ2M5V5hn5SCuiIrPxa0iylOgj5EWN
eVZoKJhI6cyJ2sKz2PqvS7n9qDxnJywgy6HhGfTUIjUG9q60AGazbeyj5uxFKZ52nkzIAGOgusFA
fW8gJ59baMKHbZ+j7EQOAnmWlOM02qBBRtQEqF0ME/i5zlwU8tE0ymbn8ulr67ce5J0K/zymbes0
WDHrGdr7l6LTKiZLfq9o7aYYiDsO9QSR1LzibFHLO17nDrrmz6JpUgKNLirmoohdBKqiYN4Dgswj
42DsYUIY4xXo1cBcQxY3DXooQwqgwN0EMyAv3UJ6t4B3hDvTQw53wR7lPoONclWx77nej0oi7FNA
zFaedNOVUR4MQSJs0YNVhj5+6Y5OCCINx9DBn8Buh2COSx9Nj2HxotfTFnxjLnSEyA43lqaFr793
vnPfM9BjnaX3wSQvJe1T1r7L7kvYtidZ3ojxS26KsykxVV3mFyaTdlI2IrxKex7suEPPxjOZ5d29
u+E1oekDlg6sUGz02+KLe5TtA5FPHUE77gr9tQVgEfcbJH3thm7YKf3ziNthRAsPciMMVeLOzy7K
9KVdnn07vkGl87qwYjdTchjRXq0SEvl1fRs4tPlIcN08hUI2YYtq46l+nXyTknnDEI9/QVQ1HJT6
kr6svLpM6HXH71TTM4qyNx/oJnU/NYBoTBil2MqM38S6gXO0KbcodEG84DhIWmStQSPxotXwgIYf
Ij4rsjy3W8Lb4HmmPE+hJo3XmV9W73kiLNoK3ySFCErEONpHB95CztRnXjl/6+oCVFD1xT81vjgb
nWOXpu5XZFBfeKFPuir37qphhYWaDGlsebQMXUaG8SAUv/Os9GMfxEJ89aGO7CTep2Z5NrZeEtKh
M/fK5Wnp7ddtwbLd3PC5JO1joaY8cUx3IsHOhDkSv8J8LzloSNJoDD506Avufdf5aPsZ9oZXCg/V
fOu46PZZBgE63HbQ9aB927dSn65JRlMLMXTbj9mcx1OzojBYsTteS9HJBVdRONDcZ7xaM+gwikx2
U4Kadz82YcYLHFqrYfc1MOAowNqtwufRvS3Khx4JSpGW3qeeoNnG8IQYNDzEy1uMwCStJw5LhaGP
Ft9f0bHdeh3mkMQ+Wvu4deMeheM7knTeS92oq/zitc0FohUc8Sgn7IJo4+0jG0/hBNLFG6c7QUcv
krl3DsQrQTPTsWLEILz7dd22u9pLpgJzN/xxJMhpkdP94Mz7wqANpzrTQxHE7iAxehS+O7OZE3dy
HooGgSvcO9dQ/C44DQ/LUp8Lv3mH2D7Zav813HD2dZbc15t+k6A/Yc+gozEMoh6Hhl38lyVkd1fU
uxXRAE2KxLcTNhATt3EIs3EH7HFLMbcy/ACAEpeoWDiOekzxHJYixQTNpagxJcE/mqZAjCPuoRmn
OZfbHum9SS4ZRgYshv2d8su0dg3I8Q9s5ftuNBYoDnvdyA867deWYM4FJF83f6s1/wznfL+OUsXK
htnc8TdoWf8naee1XLcRpOEnQhVyuD0ZJCVRlKh0g5JlGTlnPP1+0O5aOEPUQZnyjatMF/r0TE9P
T4f/f2tGKr+FvCfRhfI+cDouN3831u/sSq32oVHKp8kcd6HE7WmY/cfJNz5lNf8Ls2+u53ylS8o8
Trn6MSmMUy4Vj4Ep3RUkfcaSyr1VkhCr0+6zZGjBvdpP9RvbIryN8o9+YRv7KDTyvZpH8S4r43RP
gPuQyzF5GOMQp+6Q1WRbmkfJj0kLKu/Gf4aeajD9rPSjuGrqP8ta8H4owEGHlvzOsdPPkdd+iVXj
rcZk7c6jW2iXOv1nSjcWmG3+Y1J2+t7uRrpvvPxohjKM3yF1hL7SsjNS3yVNMT92iBAoxnc7o2y/
lE4dn8ivdIdQJ2CSh9zbt16QErm1bjLVj0nO/NqQ559Yo3MYDG8MU/pJvb44yN3g3UcqSS9L8u8p
D+9LsEIcfWZk4wnJ4EubHKSIa4OJvftyrE4FAxG5nZ6asfkZ0i/MPJBEkBTrX7sKurPYK3/S9PcU
lnF1MIPqcw4TGve99sYgDtxoWr3ORv9vltiBA5PKjEIznCm0XOrgwVAjIhvtGNWT7Kf7qOVcsU2L
WsD/tbgtW9qu8+ovxQhNlZWcm60kR1jTSFCuPvTR820B88jnslN1znY7UHnqDklvWvDnbPiiY65U
zbJK25Db7GeVMBTRXWqZVMbJif7ynm6LWkusL0UJ06ddjMHoAaKk1tl5f3vOXdA91xUruDF9+qIf
VlRK6ChOpKorlAFJjXax1ItGuKIdeyYUe57aQEGGH29rdnsRHZF0IKNl3S57T3PrkLArcoaASZ/0
g1p8DTHdKLctDguBwG2pq7ZhqRbFCl5LylxmWm5dB950xgNJo/WHd0x4oL3rcFvC6o4tJAgll7Ar
an9gTsZNupqBE5mpQvOsA34KsyBOaYO64bp58/9sfSFNMMWO+kAeWTT1lvlTU+9VfS9BD7oxK78l
RDBChiSZhLAR0r9PR4Yp93p/5+UbEEjrBmjNuAI2pQhbF/q/nboy58FlzY3HXf62KSAAkO5Ksmcb
lr6+Qb/lCF6I5pBBSitdc5XI2/OqvBsqM2V+xn+rttqX0C/Ptw3iBW7Kr5O1UEzwR2amB0aZsHxk
sWP1Y0PGUD9EmqsVe9O6OOdG3zDBdSP/reH894V/MvoY6tPeZCVjiviklodOuWwoNf/oFz5woZRw
kOzcyymU/LIJYE4J3g9H1T4/brDEbmkiHCY1KYZSohjg6k3JuHJxP47xhkdYMQfcgMEMhWrBjqcJ
J4gnuDI5uaG5qnInVW5NcE/HxPM0tBvX0sopUshLkU+h3MtciGDfNKQ2dR2gSxUzrJa5XPiVdJSD
jc1fFUM6ARRfi85xEYSqo5tQaeNAd5PyGFpHZsK9Y5Nv3IAr+wIsNs3sVNVJaog3YNileu6HCBlJ
DtGhvoft5X/nCq7GCpa3+GxAgoEpFJVBE4WZVbV/ARksjFilqY5mDO6jQWdGufV2ip0caEzeWK41
TZZiBG8QUg/qZOqwnJWQ5i99Z6TyhoiVHVF1myI/vf+KDm379XGU24jJNI/H75g45yE/+eopNPam
N51un8kVVa7kCG5aHaJx7PRZTnogD8Oo7u3vr+zI1feFCKHPy6yNBklzrcp6X9VuGzG77Xx8jRBy
vg7brmDA14sVZE4I3wdhgV09DPdWeTJ/3Bawvhu/BcyruLArGj6cQS24n2G3P4ZydMi1v80aiOgk
3tiPNUmGbNMPAQwY+WnhwFctgFmOxIEf2uohNd4UPESaGSTa3IL1XduZpSTBiGmoaHrTwRlH3GRR
90+SuiktzrcX7qV56QoBr0yLhwFtsS2oo1Z5LoUZZ75SD3r5qJFjui3gpRbXAgQtBpay7XwEdF/k
7rl5kPVwQ8LLmPNagmBcuZaGVRThU5heOUzRgxffeXdmoO+S7yNB6G11ttZLMDS71OSgVVFnOGS7
jWDp5aWFIswU6TgVSwPA8dqIK0vxw8hCETOnvgOOaBp9Dfxqf7itwuqOLMTMFr48K9RSmfbFOfKs
DfrTdF8VT6+QMF+7MOQozDoJRhWNsRZ14JO7kvNVIgGgRkz6eFsB0aoejkFkye1rEPtf65EzoTEo
LVuROfqwlxT1UyIDxCD/dVuZlV2BPE1VdZn7F+IaYVcMSF/MHHNyFe2o6U8aSCPaD7sC6H3DtF56
FvrFFoLEfakkO7Lno2iUbzJ5l/cf6GZWrE+31VmVYmgWFOWabDniW4nIqIko3Ovkiy9B6HrlBXxm
oIM2DqWisvrXNz3aWMBZmozSc08KpxJuaH/qfeSU+k4y3ozRW2XiMXMfeUwoH8KJXA7tY22whWC3
4g1UGWJkYBqxDcidr63CJ1OWOHGuu5Z2LCQgaqiUnigQj6dK2giXVwzwSpRwNcNQG9SGiX0zavZz
SLG9ISMTE/2hGMHOzaHV67rKdDfqKZA7UKdZj4ybb1jfykuNDfu9cCJeXuzVRdAMaOMG9Mvs29Zl
DK2/V75KAIUyCydtWMja6qkKbZw8dHXATwW1dJki+pApGEjJTMeh+5ArG4wvqxLoxlSYfzR1iI6u
TWF0JA3EjAlf/QAC/0n2N6Dg1o4SfaP/fl+4C6poYhhdHeZg1nvsfOMESc4uaa2H0vI2VFlzQktR
ghMao3CkpRBV8rfM1lGxUpnhuYu2cnlbYgQXxHAVwztTT8en5O8z+tFr1XhWdPVkQfbS9luvgXmL
RR8B+oLNtKoO9C2Nt1c3ke2UTjEFLZatHPr07Ed/lcoHILoq+i2Lb229sV8rd7e6EPfrSb+4+GJm
bz0agnTX1qvHvjoMJP5vO9dVi5vfZ5oydx//6qhdSMg6KSYtr/Lu6A7jeOdJ8BHkG+dmJfNAxVtX
iWnpcab3RLAFerdgyCEV67bvI/mg0Iv33mh/UqBRivHAEFqdbnAxrNo5ETQ1U5MGaVtwqVLExcTg
CDEi0xNqem/BKF8Z5YHeNvf2+q1KMjUNh6CRYDGEE1v6sZ1qVWC4nWk/UK3f13VxCdvetZqvtyWt
ujt1IUo4vBpFhtCpQsOV1EMw3RvSd/3OfwwiQJGajfVbPVULUcKGxYY5qpYm6W7RTW7sSPe+zQAB
lyAy+S+3FVu7/4CWo+fJIbS2ROoAWlglL3Mywy2AF6HZIzu15ZPCfF2Q7a3vt2XN5/PF+V3ImmOA
hbmDCyVVYLwYrtJ+NqldJVQiqlr9IccTFdaciqSU0S93/DOpgpEkiQwoTIaG/ncjeiilo8X4IWnl
PWxzirPhM1b3zpJVZgfozniB9qlnnhGMbWW4pHzzdz1dSu0RkJ2tMz3/5hcr+VuMCMQxQVjZT3Zu
uPpdER5U6k0OHZ7vGVUGms76mbdbFB2rW7cQKITooV1IlKgQKPvAEz2PtNilhzh5HoONZN+WIMFG
RkWlWVItDZem0fhEY6JmHOvyPmpdKx5oj90wyfX94k2gwt07AzBcm6QEolI8TbHh1urdUHx04IfU
T4a8cci2pAiRn1ppqeTpkeHSnHSnxA928TbOmNKsNkx99cayfmszL+7igLVUUZKSrkbXPOfq3Vhu
OKZ1JzgX7sjzywoGfv391JHp08jxt1NQ0vDSBgM9BuOnoABxoZOCg9QkJ7AIJ2J1mcFtTatdXco3
lFxfzN8/Qgg6zHF0wJLAFIMp24OWdG6az776OCqM2qf6/rbz2BIm2EfFZPuUV6lBre3oBz+VJtnV
Tce8c3HUi2bjQb/qixfLK5hJbZCmH0lDu2n7Le6Tt5rxjln6kpV0tPNg2xu6zbv10on8XkjBWuoo
zSKIsnEijvc2YajE7u87GJZvr+CqTfJ6NHQbbloy7Nc2k0WG2TBXPHf9nEFfy7d84eoOLb4vaBFq
o5kmRAhuezx09eWvtqaacluF1TADBBaqhdYKx3dlh1JhZR4XssfwRzFe6vpC09k5j8aNLfk1I/Vi
TxaiBPeXBSOMDDF3P8McgX5sRiAz3sTzSEN6GKfiaDC0osDfRpt3tA8/39Zz1SAIQ4FcsTSVHN/1
VuUkq/zRxxnS/+7vk+Y+Ur7clrBmDOA0m7Jp8nikZnAtIXV8YBKA2nQrZR8z7f6fq3q6Clmnxcfn
J4JYkQi0OlQGRptcq92l2aOX7ZN7ergqZcMgVtVYyBFsWuoyI9KY93KnaWIOZ1d3xYaTW5VAvcPh
0BgvaS1tLdKgHSUlpjfaV3msQRe0h42Tubbd2kKG4Ej1tIOZaqATI+hpbZngF9SCt2O2FTqsnR7N
BiheR52XBH1dINdlOVCRUL1HGlcU5S+9dIt4q7K2vmK/xcx/X9x9TO/SIWvPhQ9bPsVEl3ZZH15h
vWQggFsCeelFLr+O6TatOmofge8xmw6GZBmrH/5MhuAAwK/xtYmeTHfqQaNPjwXNYbclrG077TcO
54NKJNnQ64UKKllj3o/8UDm2tIHZu+8tj+nbMiy+IboxBm2xLtuhY1YMq7ymUO3QZBTUpscn/JHH
3ZuRDDsXzokm+1eclaUw4TSmYxz2CpMdQGnT4ehUj746bdzMq2vGE1OhY4+VEwOfmIkeIBdIdjnM
eKrOPz4QkXn36faizb9TXDSbDflVUJUtMdVaRoC1D6BmMUhyVqpLC8Nn6QbFB+sMa9JtUauR3FKW
cPYpupW2bVeMeRyCH5TTowKYSdDDD7r2VGTPg7yVZ107nkuBs8UsjqcPNYnVewjs81MEkk6yEZuu
fn/OBAD+qdAIKjxQgtZqnbpMTNdr7QNo2GFfnm6v2ZYE4WR2UtTWox6ZrtEy+aQ2hLt5sNWIsGoD
CzWEKzjRtYDRQIQ07V1qzVOwPyca2DxL3XD+a17Z1hgdgipkruQJXsAK/RSEDWlOnTD8BeBRG+/V
8cftJdsQImbQgDgqUpMRGdcc270G1BMNvaXbdAP74z/flrV2RGmFolXAUDSIq+a/LwysUMaEKVfm
IYzxs28M70zPepOHW9m0VSOg3ObY9PxxAwhmnLZZZTLHarjxztk1x1eosPi44Mg6uSXLXXSGOzQa
GDMWrHzRvrSa/Z+JEbaecUXNiiZ0sOWic2laJ6QcChgDRnvjMb9qzb8VEmsERdPQRJo0hhs+kTYD
Eus7iLh0xIX/lcZJt4F5nXP2smaYpDqFYwP7dNKNDVkDkFSOeuxDr/RPFJi7RqURu+s3PMG8QC8c
9ULabCQLU2sZX2OqueCZDddF+oF5R5umLmB1yr39igLyzB0DdAXVUYUWgmtZljVaQdyzhLCcEzIz
ueOrG7u0rs5vEYJjU/rQiOO85VWvwNykG0+G1uyt6Xnyv5ipxCAFDNTxRt5l9bQu1BI2DOwtAKDM
+RzBoL1T2lOjbmzS6kldSBA2qUi80JQHDlPFyDJQ0W2Rv0YCwJm8OeQVGj4z8rTYbGXDbbvwVOok
Q9BJ2Tisq2qQ37boTJsfn4LDyaxSKxjfNdxyHgwpm+HD2GyxaK5HAwshguOBH8GQKpq2KazUpwkS
VDPrP/RNEF48OyiOaRmFzNTI7wbgeNxINu5Lk2Hi215pXVE6Pomu6AoXQyxnSqCKABvUjfvs0A2g
EJEU/jMR83W1OLdjF2qxMfZ4iafqb7Cpbn991aTnltX/U0DYqShuO6mX+Hpgz/N1jOd4BjiKWw0y
qz51IUbYK2cIg1wCUN+V1eIhZYir8ndF4J197e+qCt8l47jhHlY3xp4focqvZ4/ggTL8u21Wc+rX
bigO9Ocx1768YukWIgQPxNRJ7fgeWbbG+sepm30wPoPuuXG7zuv/wmsvhAgux26jXu4s0l2howHy
pzOSAjtBQ/q818+50h1eo5MNLjf0KEQkwi07SAYV2JoryYQcY+r+BpiwUdsPt4Ws7Q0wxaY616xl
oISuLVqneNioSmu6CYinyXsj33DTa8a2+L4GFPLyxBiMzyux35muBN4WiIbMerYMgQLlfpbMDTtb
Oz9LWYKdVX7c8+ZFlzfAaYZ3o/qK84kb5THKw9d+MbDR0UfcNnJvuqMavmuZrAIY3mV06vaOzD5E
tLKlFOF4VrbTyKExsWL0yIOvedapTALgcFvKmi07VHNlnthMK4h5tK6xLC/vIGoYwU5+E4VA1u6y
k5VtvRJW95/RE3py5pya2BfdqDRFQGVFAD8cE+XArIRPZT9mqOZg+Z9u67Qui/e1pmm84cTnb9VF
xjTMoGl96Hbeu/CpaR66MTuob0GC3LgJVnaJaEqlA5vSu4oHE+x6quEwDzXOjRnvHgNwWfRDu5XD
W9kkjRZWwMMUWeZFKgoxanKVqW263d8gXZGFZEz+vuqNDVtY8QFXYgSLA3IrUKcJMYZx7OYZ21R5
ur0zKydTkw2ZBlaQE3E2898X92ZhKf1Q+I7p1ozzKoz16t0J+oZXSdFMYM3ZFtoHrqWUnRrFfYQU
cxovhfMWJKnjeLqtyepa0QL4/zLmvy80mdGbSvw1z+sk+CsGYMuplfd/JkJYLMmvoMyIPNONgzuL
Aek2Cze6RlaNd6HE/PeFElOrGGFdzwvFQDYADVL0lCghXCGH25qsb/vvxRLsN5Y1u49C5NjRIWj/
+UHh7zXH0LBoI/tFjilOQ7SjXPm+qZogLHunulf3kmacppHByOLbbV3WN/63JPV6zUboiIBd1k03
Gh8bEBhekX3+NUBAVWOGwBMv4kFjFlThbep2H8fDKzJPy4+Lt3DAc7Ovaqz2zbfXOEIoBigZ84Lh
8SwcOllhME0dS5AqVQXyMbfzv3Tx1i2ytvhLIcKpG+zYiUCPIzf3bI/HsXJv7+3KxYET/62DcOK8
QGmHsuHzEfgun4zyg0ndhzHj0jMPk/eKB/mVNOH0NZ5VNkmNNGATEjhDjA1tfnW6ChEEAmCekOns
xmKFmM70wI0G2YTjnT9U8lNanBq92YENbdqwHwPQH/xsusvtJVy7qohRqZxpYJ6+aIPQw6hI4bHh
7pXvChPWpcodPcjHoEC7LWjtqTlHw/9KEm6rTu18wHpHIpekgTNz+s6Y7hffBnk2u7PhaysM6W0N
C2kWwVelbzWMrbk05kmoRdPLpb4g5IE3ORk8qABdE4AJi44jYPT1MvzntpJbUgR7D+GVUmDqNF0n
Se7aJmPSB1ZH2//wZ2IEu4ch0wLEgoC2qveML+5gnLSt8PgKISQ6GdWWTWxSiMpNqjiBRNLTjSd6
ESbQYQromiTQNP5MjuCgAT8vy7Gm+CFp6Yzss++UO0bybwuZj86LozUnCZko06hxCDfaGBVa0XkF
ygDAb94l8ftB/2Y3Bybny3grq7Lq9RbCBEsnp1IlID5ia1X8Zgy/hoF1vq3O6qldSBA8RWX5hZLn
eAqPmPmxk+9Ut7W2+q5X1bDpfIB60lFp6Ly+OZXM1JIqx8qG3f7vV/x+Mrfw0pNC+4WxuwxkAt1U
vMbEF9DYENoPjPjVsHlsuLZ5mcU9p4TOM/zXS0kcLhmauAbM1CKpDjHCLoeoRtXBcvdm5CCz8s5K
1v9T+MVft1VbWzV97ril8k3wL8b+ca7mGoSIhmvVRzk9TNMW3O6aj1kKEKyL+C82oLwxXC3QHqvM
abge5D2R+g9wZMHoofTaB4rLld8fCB4CwJS8E93Tb3PPjwBYIX/XB/2n21rPd9+LtTYJJJR5vpWJ
t2tbSQbFANiEopJkRd6xyKx3uqO8C7sc5DG9dDZc0+rOztRIFn6bd7BgmVanhHoDi6/LIPm7PHFA
wytgT5ihderB+AQQ1HfPnL7eVnHtzOm/hYqdl3ZQN4GmUWesA7XY9ep4cUpe+Z0PbHM0A0zlHSw5
t2WuKTpjTc/UUTyMxdqmMxht3wDW4mpys5ej5iIZ/q7TfqTF8+TE4Bhqh9sCV2MQegRshaKDSd5Z
cJR+G8s5xSG6MMH2AucCgPv8zgB52WytD3JPXRIYLwCdL3JNLzTMF13+NBbtxlqvHSIK++qcr5HN
F53rieMlIMWREk7lFGhnQAb7j7cVXTNYggFmf8DxoKgnXKEdVLRaF9GuW8NnLQFLVU2P4LJ4Yfbf
y9PaUtD8QxZvNlMzUhDlyQYWrXGx/RDe09NtVVYjKyjCyGvgSjFR4fDJPpAyuTz3OWeQFBWymzK9
3kvWV3BPm55+zGKmOa6ns9M9wPa70VGw4o9m2Q5FUZ6mxFaCgmMZOjCHcC6gulCPA9i6W30eK0fv
SoQQIhRxMHWMu5tuKx/lN8XwaCfvxgYO440oQV2xCoOGJVjRcCwKaa9rXZqKeg9QoNxLafc0lHbu
gpdjnpUUUMGqLC4WHMOdIwf7wLaZeQKWdF8Pw3MKGN4Zk71kYMRFra+eZbv7q53h40BeAzcRRDnT
jOGR7UHbnsHmwhl2TpnGZ2cGouMsXW7bxKoic9MlGUIacUTHYfd9l2U+r9LqvinP6XTwm421WnFN
BqXwfyUIezIYJtzOQAwyq2Du2gpWJihCjO6SwhEz1gcfSuvbKs1OXbhirgQKe2Nk0phUjNG5jRPD
cn4ESkwDfzKE/20f0Ju+YdZbKzi7qMW5LSDgBll3zhto31MpOlZtfsz64NIADX5bsXVJsBQwmmqa
iuhygSg3cHEcoELyPle+dBll/zBJw1erS/6712MNf4uaN3WhVFk3dud0HKSaAbQIAqOp9CHCbQ55
nm5o9dItmEzBqkRCCmHBiwRyGRqRGUqMfKi0M7WgSHapd+jOt5du3oRrm0AIBKuAkBJ1vACN0a3K
C52BCtU8QnJn/OHXBRMvQ7ApTI2vT8rB2pdbmaOXXo0f7+gWJBQzFYUpXEFT2fQwv1DPmxzXbp/K
bkc3tr3VWvLy2FxLma1vseUc4aIuM8JFZzd5YGI6Z334DHa04n0YN5pwV7YcbRjRpA2LbRcNOS29
rNA8KtZ69Kn4VvSX6e/b273SJG3qFmSV81Fh8cVJblVp6rSpPAN0k+io51w2b6TsAjRmG34b+m+G
+dFX7vvyHKmfb0t+eUYRTCEe/UwyTmIinPWTG8g4qfgrb7rwAPgBQHjmfy+4XksR9qpvW9hrJKS4
u/d/9vtnW1xYgelr9RD3Np0/iQ+G3UyWYKeHBOLLxvzvpclrLQQn04FbX08+m2T8FT7DdPVnmsz2
vtAkz7us5kXBS+MYWw9KcY5AHQ0/3RayMjo56+BQ+Kbba/73tRQ5sXqrKpCSBnCIDGD60tMeHuMZ
5reb4fwaCehzTR/zi6yDXeZ7puTe/g0rvm2GjrKJQ3h/89S5/gmhNwZT0/HIsbzxKY7it78Qh2/L
eHmJUxBZyBC2agxsKmDwk7vhDGuczADH4wx1XNbTqbWm6mT3A2TdDRnP24JXpv45vUQnxA+2Pffw
XmtHN2XbBeHchTjDLNfgLXcz8HI3QzDXcsL5MkDKynru9zadnCNpXbgN++lu0vJx40m9ttJkBqH9
gQuXXJfgiDMpkLxmIlFQgAgdK0947PNtdVecMG7xtwThYNdRK8Vji4SEUn0PbDWo2c3wLQmqfa6Z
p3IA49beKkivqIXtMAxOkZBhAtFZJnAapMY4C53Br1tQsMGS33qKrwoB3YY4k5vYEaN/2AK7tvFo
W5UDKPRqUHuSrTzUipEaJBbwuuQW7Bf3ZJMYIZgdmEqQEHt1UPzdVZENrH8SPBTh5O9MJ4G8578f
vyupwpbx0IalOMGL6WD8tkV88GjM/c9WQQuZAteU4ehz+fv6DPjkkCJL5YSX00epxLIvdbafukNp
f4V/Uva3WljXDh1GCNCGDqIHcAqCV9P0smB2lM2y7F32wZB34Bvr4H7CtLr3VFhbPvN0q/yNs74S
FvAAlhmKVQwZbBTBY6eGnwy+5hPferuugsv9IJkfbq/kuma/ZYiFsqTR+nDwWcr8bGkXiFVSHxaf
e3U4RZ+1Rx0U6GbY2L0NtWZyseVFVA5mzGAsvjPjsd0257DoD1q91Ra+dr4Wi6cJMWgD8awfySwe
gL5vUuefnPfB7bWbDVmIodke6oAENhxgcXRKD4MoyMsYCZCfJiDvu+FdoWxh1qwklswrMcJVQyBc
ZEHNDr2DmFRKTq16V3wM1K9hdsr/uz+/EiUYXE+STrd8zNxm5Lshev92e8VWrQ1Ttpk4oDb2oppg
O6lS6j2pQHqanXOpnmFhKqITkzXxPlNPpXSAgDXqnm6LXTOFpVRhBR2flJgVIBV+wvSDdLj99TUz
WH5dWLSkdkLfGTCDaIDYWDnHSvDdytMnejOfb0tayVcxePB7+XShtyztmqEPYhRRopPuHE+ys5eP
E6zt8ddoI+5dXTPSeyBMUfWhmnV9SFPdo+dLmYMouC5UsLENOdrwA3McJpyfOUwEy4OSrUIa6lpE
0GVJGszXkwTqTpL7wzGEgsPTAYEvIeVw/C04q3knRIEAKnKlz/MbZIevBdL0V6h6jkDDOfQ5mPHR
IwFLPEY70/jvy0f317+ixDEOWhylJhi5BM3xjc59EarThtmtXO7gVMomnb+MnQI3da2MYxapmqf4
twgqowEyj2h6G3Sw9MF/MqThKdqsN67sFxItWtugZZHB07iWSDq9SJwOnfCqO8nZ00VrRBcvfDC3
QHLWXhFXombrXLxV6gyKDX/i1RVpwT7dDdnXDtKY/MK4dV++h+Q7dTbO1vpy/lZuvrQWEruokRL7
17vlqClPXfE2fQicT7fP79YCCpFRX6saRNbYXwk/SAFZSvEjqE715baUlZM7A2YajHSQj7XF6LWI
wySHCYam3TIBqeazmm518a9c4EsJhuCGNL9O4ZZHj1y5AONeyZdoON5WYm2pmE8BJXXurjDEKkPd
pCBANChBG31l1jvrTeyf4RqA8fO2oHVdfgsS9kTOmkj1UgT5QJg6h/SLbW64glUJBu9QRbbx3WKY
UMhRFDk6x8YPYbKmh76D70h2uo0VW7mGSLHQb8CjBWhZcRLdiusOekYUCeS3WlZcolZ/kOPs2BvZ
RtfxihuF44xal6xT3KZycn1UKh8SmiDH8zig7ScPPrYMF44WnPWjAtmIs3V9rx3Npbz574ujaZlV
UjFfzIt3yj6bbfzGgk8c1A5ysMVzSL34622TWFvJpTzhmpDgZyyser6XpPhQ2bQkF+3BVgZA/7//
iSRaXq81a8zC7qDfJsVomftUi6BbedbS8piU/z0CAsDRMEA0Jw3IxXQtKCsm1QidWaWKy3Xo91O0
cR2tLtpCghBuq1mbUGLDKFLWCQYje4AnrtpnW2a+agxYOb21pEtfwE4TcyvcDLMx6G9s56nuIWj5
oUME2u50ykO392f1HmI67l9pgun1TuGTXpivvGCffc6lSw0v2ddk+Fhu1SJX128hSTA6qN20uk2R
lEw/DS89yOU3/PuBzPCGTmvuaKGSGENOJBnT0pr9BMQB0MkM3TsySq+xBqJ8GqDB7ma69NreRi0s
PfKDZAEhmqORdT/otqto9cFQNh6wa7cd8+VEI8yxktsW1o2k26AOqUUibqo/kUY/plZ/vm0FqyJ4
5EGRC0nuC9DYvpwkr2yp/YRUHHXzrma+67aENaOen5H/L2E2joWHG4Dx9KyBpl7e+zuj6o5ZfJ9A
sFb19sbur5nZUpLouz2QrrMIXVJQ8/R+7+gfauuuvdzWZ6UcTLfiQiHh3Oh6XgRzT5nLiFe+H0sV
6pRiZk0kGzbuPNs8YCAPhRncyU1xgUzl2aoi2JHD1g3U9p2WpemZ6SOYNb1KuUxxc+cp9Yeu0I2T
B9Thudbj+9oKfphh6+9C37/PvPoJHqFww47XwpClHoJ1BXY1FErPxijV8AXSyr8M3bvT2aB43ihD
33h/r51N0CUMmkhUpiTF1mJLCuvM7DFmeKvOxTcdsJx6erq9N6syyGwyYsXd/SLvyAMIRrvSt3iZ
DBXURDF81j0cqSkkUn8mSb226lKV9FLKkaQmO/WYd7utB+TqsVmoIniZ3tYaU4EP2y3lb/GdPu7g
d/0Uj+NbSar3UZVu6LP2/AZ/B1xydod2WLF7yg/ga7egcHZ7fXBjj84l6RdzaAf7ZVpHD0ai0No0
HQcjduAQgLW3ycbn24u66ox+/waxmcppB89XE36DxjRWuNvwpqv2vvi6ECf0c4IB0AHLHeL6czRr
kLbjk+KPn6IMduUBa7mtzqo/AvDSpnnbNl9g/IcdzIVNaTMEEKYXgJT2lQ4ZVdPM9IPubVFrK8dA
AZExOEdkxYWz3GiD16UOGY0QAuSjqe1f8XlNRw3gO3mRC561reLSopWU5EK7Gyvytafb3187t1xy
/35fcKmeRTVHnrOmitM+1N144nidlFD+76Voi+iekYy5C5Mw+PrQVkXdwuNHNsvoP0lGsZO9Qyhr
GydpVRcaNnig8s8L9PLSTqHQ1pn40w3pUulvc92CMXbjpKx5B9hC/hUiuJ+oT6vGaukOCWiPzujQ
B0kH9O+dVZbvsuYxA/39FTu0ECi4I6VXLAZmuSxMLgmek3H3uTHrp9tCVkPSpVqzmS9ihTS0W8kb
UIty7rsQfdLoJNuf+9K8UKH4mPrh3vKqXdpsnNS1PDTvSprVGNCdCzyCgTt5k0NhyqY5uXefTOrP
sbb/tsv4vuqc6VRGPRA1vf6ujb9BcUJSoIGxwdeVnReP2cZZWPMay58inIWaBmQvqgbTVcdvcSIF
TNk1cGN6yZ0XSxuyVt3GQm3BbYA3HLZKjKzii9bQQ7rFRLXxfRHwo4N90fZNvh90OxCGO38jy7qx
VmLpyu7bsU1atk0rmqOits96/r7VZIhV88Nt01w/1f8aiCocOEMuwSzsR1ZqnhLMd9o5m9qNM7a6
WlwWPMlMelDFivPkJG3kDUyjdDUka//0w8bxWl2txffnvy9OVyH1ilSGfN9OznD2RsyIaMpJ6Tcu
i9WlWogRztLURlbp009PfhPW3Mc321NDqws1g0n/ShC/6MMYq75zRp+GTL/+IdF20VVbOJ+r/nUh
QdjuAWrfLAwxXI9z18wHUGrMkFqE+REYpk9l06R3ypglr7GyhVjBy6YBUYlWlkxDKXeymR8NAF4C
4+srTHkhZF7dpRnM/VJeVuPKW+tjm4yfnMYOzrBTb8XIW9s0G8pCUFPGoaJNCGrV6DxmxsfA1o+3
dVkrujHCrwHCxosCzF4hqPPlamoyiytdUaZTLddOtdNmTRrdwkVn1V2ph4+4uQHoLC08+op/P0XJ
Rd44Wis2f/UzBHuxrVHKbfhq3QxH5z+AlKJsdIyvRK9XEgTT8PK8GOIsw5W68T+d8SMzPtnwFErv
by+oqIil0q9GXWxGZ8UJieMxUahJU1uNltu5xkU+dc9/9nlhnSQ5VQDe6Xk2ZWdLemfqP8MtOKsX
LxlRBWGlAqOu5FZDhlRdsuEEVIGhHjAJnj071T//mULCYSJ7UkRGgLAo+tr6T7X6LPUbl5zoi/5X
H8od9FXL7IlwSdNRGaldV1muUwbHorrrrfHQUO1NYEHu7cs4bI57zKnZZS1RkCjWQCYlK6PazqwZ
jakYoi9hDWX82yLbjeCKZKn5pNJsLRcfXrOU/+ppCEc5UXpT8qWS95kh7Wk4SNIYDuMNh7Fu37+F
CAao5F0DvgtC6nw8l1K474aLrW+cVdHxiesnWGDetHGrluyYwTDCaP1txxunVHQGogDB6uTJqeKp
rHmsK18b+bMBw5cSfiALEVYbl8WG8Rnzei58OGy5WQGogOW203juJMg1jHMoPTdx8KVWd6pnbOzP
r0Dqlu0JQUpVjlbfdIXlBt6u/C59KZ90OFmfU8ilD39mb0Kc4qs+Mf9sCk2qvxuT6XPo1z/Lbtx6
W2ydJiGgn7rUrowJjTo7cBu7OvbZvVk9RhfTb+/H0DhL6mkLBEQM9UQDEXxGq4xtmUpsW9d81PQ3
cnrq4vOkb7AbbBwmc9Z8YRyKHNaTEaGZ13oHO3o0Fe0QbBjExlkSL/gwD+y8njWR7cnca0Eq74Gf
2t82hV8PBdHqKPcxAs5YK4OKgi0kEHlTduZAlaly1sr5Dejf9zCkOqDmd6PxtdP/spSovpuimmYe
eJrkrKYBMDikTtdAq6SWu6ntH1p+KYOUEd16yb7005PUdRsVyrVFX/5UwZzCgCHiJuos1w/Sc5LT
g5y9S7xu49JZM6ClFMGAymBMyJY1lmuH5cXwrbtale9Au72U3SuMaCFJfCOGmZY24Mxhqu/Sx2S/
4Sk39BBfiGptx4bR8XUyqLUM+mPcnhLjyerd2xa0LmdmQXTAznhR0w8kRxucaEILINpBzX73P9R9
2XLjuLLtr3T0O+twHiLO3g8cJFke5bHsF4ZddhEAAYIzCX79WaweSqZ1rVu978M9ETt2hNtlpTAl
Epm51mojWz+ySw+uPHI+SClCFe0ji3IF/FgjcC3XJ4/HMnwHv//eZy92FbCVnqNrAn6eh/mYmAry
1IkzHLkYj1lZ7CqG7Kuqe4yg2bblpaMDQxprjz9W4r/eicQ2//5v/PxNQoaeZqRd/PjvWynwv/+e
/+bvf/Pv9z/iT/78yPi5fX73Q1K0tFW77q1W128NJHh/GMve5Pwv/29/+dvbj0+5VeXbv35/fhW0
iGnT1vRb+/ufvzp5/dfvoLVCB7gNd/Nf+0b+/BcXzwJ/fNupt+K3XfdcZIf/9O25aX981Bd0Hs5U
ZjaaF4KZBGx4++M39heEjZDp1LExUVbGxipk3ZJ//W6aX6CoCrEpdFE7xhz7//5bI7sfvzK+AAPr
zEw8qNj4oMX6/a+vePWH6/xj1jEvf/68r9wLW++CSnACor0KqN2ZiB+wBTww3l8WblNUGdEzvs2F
1iVpzQha4kCGIYWjRwX3pxBQlIcmHy56GTzxnGbrQrkOYJKo4HS9+ZS6/VcIbpwNHk5WVvJbEL18
H+m0M4kLqqC625ppPQJ6rOvXVE4y6Rn3Q1tM6tosCXiRKmbGQaCuqZAsTIWVJm5WTpFnAqtY5Xw6
t7pWxX6bX5CSPKISir8ZrCC0DY2t+SibdVWMkJMY+WPXmbdK00QEFDGQlL51NjKnDvPOspEoBA00
1M9ezHzuIeoqJ5HgmNqwlO+k7fhhpkkddRT9herlqmP01dAtc839goeAMUCqwBlFbHWZFeWa7mwM
LVBRqft3tsXWg+jkmZNWZSgy3w8l9SCmZU1GyMdxCxnzF6vL66htAj0UpHKjwfK6SM/NR2ss6Klf
sntl9MVq0LqvEhi5VTkWZz0bx3ACBf9qVKRZNZKe6MzdEOFtJ4TJUSPLV4u8EFBC50H3YDmjjLlb
aFE7dFmsiVKFmmtuJ9t9cFQjboRhZwDGmk/uYJza3H+BazGjfph2TmnE/qif1ZlexlJ31kxHGYbA
IfRozU1aFKChFbHhw/hsmNnbYNo3PK2g8wOttzMQhttYC/lWiaA4DXQ0VuZKrHzlD3FASrTtOenj
UMoipHp6nttA/xUO+tYlC/Ata087tUFWFtoYooP+O2SSTStMB6PCBFbXVmVkYVtBmyzgBKvWv+rM
ueqGGj2U9gsAvyJC6heRlFPHKGSmIeQSGPLTLXoznDRP/JZoYVk6U6zcFBwLUpx5cijOCgusXHxo
IqmzN7v1752efxvRVbuitv5dQtIzNgsLKBbk80OtcDELeZ+HaWHeD3rjn1gsvUqxmYnbXuj198n2
E5KZZ6TJg6hXYmP5xbOrjJNBiexE9p5x2ekD2/IJNMQpJU2UBQMFAzpkv5VpAN9JrdOynWTo9d1F
Tp1L2WCHFBVP6gp1I9ttPdAk+GPUVMa16Lw8YlP73ZxAONQKfWV3RRrltXVfjIYfOoW8rXV6Qce8
2uZWelqyRocuKIgBzby4FJ6VvQDEqidVwR/azLxgubFJ9UF9HagrktTIoUVIS2sr3H6KujxFf75e
kThVzeVQg+la99pzbMyXskzHuCn5JjX9pJrcdTfSE6s2do5mJnqf5+HY5V+FXd9mpnPmdX57quui
j23w4awIAxVOldnQtjOr8QxAohek2B+KMejuq5RnkTeU32hNdVRSwHCkB91dUMkppBPZdlphRcLG
W6erubpLLWlH0vF3qciyGwmJGOCjqJsQB6QHk2tWG0sAWm9qPA/LFt1OYlBT5I+TvxL1aCSGGqtL
Rqp85WbZrUdNM7akC3470GElQUuuWT8guQwVwKT36irKLKD1rckPIgSk330i82fise+k7oLEo6w/
04Xlx7Lys6QRfhsO2WCiQqeaLTeDZjfpWh46pBpiIQSU0svSjJqeyHhqGyfSnS4Ppyl76uxSJC16
GKLGNps16mQ5ZE8BD/Jyr4layytD0gYkzgeBw2X1cdOar46f4dzVxU0RzH1y1pWk5FVTAPtADU1F
QEdDONVuu13v8FOnqvsQX1iGpq+Aw7ACGiPdZYS+WVwWaeqvXcatmGfDBqlJ7Anr3PVaC9yiyo36
JtgFejp73sBYAdlEwlr5EtmIa6fKT7qcbovRfaUIjEMctbfKb7aOdB/RZP3UunMzL+lxOSOjDthE
wjyvTHrabSw1nKvRZadClf7aGPoeWOvmvLTb1yYodu3oqDBvoSc5GeiNAFwlKmiObs1a4rt5IqrQ
wwlfjnfAJB2RmIMQCXSwxNq0Kjd0/B4bC8DajKKUbZHu1Z2mHbNzFncAekWmPrw2tI+Qm8xONW9K
k3FCe1lRwg0UeftYuDKIWxBF6bx+FHr/4oqehtVo1CEe3zud+xjbdAYuuBNQ5Makau24KvKbYmAk
zKs8jaqxPSns4KomA+A8qrrsWgdYDovGBsetgX9zgVuyxPlGdwo8FLQ4QBdpQrszyXxdhZXp7hhm
ZhgCqJvISgvbMbuu2/rJs8vvzBu/mZnmxY1jFFGn8z5yZXEPv7SRjQCxuxrwDbRV0eTXZlM4YUYh
cSo9dWem9LWqmRt5FnqzulaQZIB2LPhR7TqcBvDcE5dcuh5/0rPpWi+xrd2xvNZ6p0tqw9e2Tda1
YQ8WomTI+3tOvADNRBCSku0wrSfOwqJGMMbTm8lSa7/tjaTTHDc0uX5b4paNcabQzZnmu8YR7Rq0
WSLkIqgiqdABJ/OijRrilqHVIaEicpCRZ4gYQq8oz/zG+zZ0gYyqIEDre3dv5HUJqJTYmG52n4JG
Pxx4eut4QsRd1wzxqIkXMnE9CZjW3HeVMUVpXpphYE4mNN8J/g/SfQmV1s5zqzQs/UqPCd4QJRgx
I7O3ijWrZL9ylLNt+xoaT+50zbiMTM2ZwrpVWwjM+oChNngLwsEAgMybCOkvPEdbKSMBBlC0LDYj
vvFAQsaLtSw5jmKQtqEzXpBiymM1GiLWCjNAf5n9UNrWrdP7VoSM+kPl1BEgsUmtWJRNtVqP3LjW
UnyCLTL9R/5Ho/TGcDQcBRWsSgshRTWsuo6n52BcR8nE1a5bjwWxasYSbZNSQ1g3DWEAwjekrzo3
ESJIoOD2ALrqb3Skd5YFcT9XrTItu5cGiCoKYbBta3C5EgZ1Qsdo5zeccYeLg64sq/c3tqh2fod9
iJsri3xb0sQH69qqByWNNx/EbnQh6I6aERhdOgXP4T451K3CXvl9aPRlGyEzeJU24GW1ApKtJ623
Q9yjGpRJKIha5XSfTdOz5mlamJtml/z6m+WcfqtlI7+3798p7x86/3teNhoEbIHlhSQ93iH/58fN
5rn7bU0XT5t3f/vzdYP2chcoWzDKoDSB58NfrxvnC3qW8FIBNPsPnO6fj5vgC5I50DFFa7o5w9hm
CuE/HzfBlx8YGXAmo26kg9jI/JXHDeDJi8eNDyE7PL3QOIWeflArLPJHetMGOqC8AyADvQUf4J+W
hinjzncutNKmUc6AW548tgucHJQ4+S4DBmnV5OabiWMaexPb1Hmqwj71nnS0oEdZPe4KaYHhMe9w
l+hVaA0li6UtvjKRWnFr5knp6SPorbINJOZXqV7eecx1trY1XjWOlYUaGS9JN14ZpGsQjPRjZEOS
WXhoK4YmrhHqIL+PvEb3Iq/Tr92RlqHmSRJNQTWakBaw6vZ08oJ44qIYIkdl6qXNIHKFBg47wTrV
1yzwXsvMQINdauOBZXWqjqe6Wqea650pyc5ort31NU+yQr1WLbjCzUCegaNKJq5Wb6kXvFTleD/4
EwLxrCxDZVZrsxyeqC1PijH1MWUOS6pOb96sjtj3vZqKc9K3HGccgne4oatNyzWJ7jhhXClXczbU
Cvqvyu/WoHZ8Ko2ujzgvz8cyfa5s8MrlrEAYnZLQyNGa08t5phFvggN+E+j2tmkG6Jb36wkXFD4e
Oa8my70rxYHNMJnmhValXXmZW63w5uIxRIDzmOTjE6nUI606EQIf3MU6p5BOanlWhYTwYgXB2TKB
szZCN3PVszOM31QKVQA7Be0TL7xzt5zYDe53I+4cnvPYorQOMzCpfGfTSK/VAKFBvNLrk2bUWihq
ozzsWAUBa51KcFbOXIescHEngyY2TWrf2by7SvXiBKryV6Bgwzt2VCJ0tCGx2+qF6t132ddVaEoz
ERLqK73fs7Aj5Brd9WGLEknoGgKRQW5/V8x8s8s+iGwTswaPO6xnWb0IejrOxslN76nEdXomicoS
YZAVhAOmre6UeuhyciebyYiUhjcTq317Q6c+EUz2EWuqJysD/iUfxjapFNAWkzG1p2SynHmb3gBV
4m1tgeCKcK+MGbcf0ha5VTRe7trOjjobkmsw30bjwK/sXIiwVO5dUTcb0ObY8WAjts0tPUcQMl3o
KsW1KptnLdfWhocISbO1RNjsDRTWBMzvw5kjq1VheGNCbP5Y1QO2WIrXez6NSLBWU1g5QPJ6+o3H
VojOY50OEXUgPE9cdP5qXumFvd19//Vr4X9NKutvp+3BNX/i8OVvEaG/ndOC/BYhzbaf0nr3EX/5
fe+LbvwhTweqcWSjfvp994sFkV6AYywUFn402v3p+A3jC4CDyGZ5lgfMkOugyven4zf0L8h/4WaC
bDw+d054/UJWCxfIXqEUADRwoIM4abZuGgaI3d/ntGYXJesaXgcvtz6rTltlhSo7BsIFf9A7O75t
AdCJjnN8WyDlwZY7/36v0GIXWkEyyIBtqpqmG1azqwKSyxOvcoGuc7vYmi71z03q0bjy1ITtbUg3
hBLqa8H5K0WfOh56RPMil4KszxcIi5qJ1avRHujaYXr1lQc5BQkZ6EJzfyJJ2kBhrKgRtvWU4b5o
9DqGcvZtXvnDxq3mthQL7zg0jhRXY9M9gwIF9JlB5URNTfxIKaOL8DTaVY6fr9PCCr76eoc0RFOj
cGzzVaDXDeIucu6nXRBarSjjqlMakiQT8izDJPDSactQDkxeOH6TrTqwjl6bNXC6QzrWD4iOjbj0
FVvRNqWhSxof/cgNeZIlc0EOoqNJmZRcJT4KAFFV9q9jZWtr9Axd6n1PdkQGaViMFALg9vhYSfbq
8Oq8NspsA0zwgztnoaapOunwUJow+LDmgJTA3eor7LzgoTSc7LHzlZcYk5XGo6j7NUVnhmBx0PY3
qd2CiUjU104pEUCXOtT7eLMadHktbYoXOhtdmJ8eINwwhJCNm31ZP4REtPyUBO5G8+GjGmPkEQiK
37Kxucwb69qcBlAxt9B/Q7KPpN11Xrssmgz/iUtyN4ogYpb9aHqNEfaduCZD88wL/aWuhvvJcc9c
Nk3r0uxVZPnpVrODbZVa35UnMDynNkO7H95qiP+EbJAXkJ67ABp7jPJKZVeyGMR2QI7kznTHB0H6
NAn8iSaOtCEDIaZ6Q2VH5yZnNAg0nRXW5nhl27i2stFQUQ6KuxOu+h2iCifMa7ID3KEAzrYcQx5c
9Z23YYKQ2Lc6Lyr88obS1FilBsEd5RvnfsZvqj4vIkZyGY56O0Vch+iAqrGlRVVna6Zwv7Febtyy
C6cChCZTWXtnXAeBRV63eNFO1U3KSRV5fdWvW4c52K75LsgR0JjM2Go9nqHpjKO3CNK3ssZN1dJy
im1WlGGX1TgEzMdkl4OD4t50OfHma+1ZD34zPdW9/mhN1os9ZsiJBSKNjMK/8UvQqQk22TEt6tex
trzrKWDW+cjatWD2dZA225SQ586eIQquAMyLdFD1DbQIkQBdIfmC/45TFMockyVMBibkFAScXr3K
qsHcDWXlxR6pyKuNFy8Ns0ySMh70PhjXBhmDyK/SK8NRuODzoq+tqOGFEckUwYjXtSPCl5JmG4D0
0GOWd9cTgqbaTfuVp5zNJJi1guPwVgaZbiTJRETRXBzRrBtv7T4Dlx/tL3OStzGc9JPysxWVhZsg
NMHGNbWHoaFXdYATRNgL2kl2dEix70l97pvlXUX8xGjQuJfJW6Gbfdym/Exx6wycoqfUKPA2zc00
aitbJA5vdq4Cb3sxKlCFTPIWMiRP6TS8OTVqrWmTRcrnp7w2rj2O1JCUE+apTaHhIcwuRE5jJQ11
3VXNk54OkS0xU6IzElQdT0fWaSFPxYMSVhUp7rwg/zXGgV8/6/4gQp2mIHUdum9loDB9o3kqGx9/
0UkaST94ZEOwoS29N5sW6c+OIEhyQkTYT4PGbtCItOPIBOKxn9+3br5zRxssu5Z+l1Xyhpn6TdoE
j3xAMULXoNvANXbeuOwsYOyUN+Srja4iZDG+at2QxWZX1/DPiEoH2jgXbWH4K6NvQYTUlGRc+WUl
8eT3pULclRZumOXAbGQ4SjHOTCSKiYY42VVkO16+8UEXzEO4fRfnlE1rR8M3d9h1L0wwrsupe9GL
LFuRxmIRb6xT3QVzRdeg0F0MbhA69+WuSMh1s1EtvMX/q5jnXTFv/Sbn6lizfCy/K/n9/1Hj+xnV
fFrmO3umiIyeu8MBEf70r4DI+gJiWjQ8gokXccHcoffXQ9jEQxi8YDrYPU20K+Dh/bPM54N+74cm
FCIWfX6//izzuXPfZAA+WnPu+vP+k4BoVr/DV8An4jGOAGt+J+8FKlnWFGnbTlCFs+4KczNaVejd
7oWLByqJc53wZ6sGnuoLE3PDyJ4JvzC571HdR7EDOPDV6EW5v6oUZGL+2Inv6sj7Jctl5wl4gB1I
LqBTFjQU9gf5czp0TEcokoIADIktx4TcVXCk9+FDr+LSxmIwSDhmhdnrKcAiHKmnKiBRaigJIfH2
RFGlwkGTG2ri/UELHyWrsioTvMbE5vM5fR/HgiBgMdT593tz6lWByIIaX6NLrG9jDHXW/+zzF/Gr
b5PcdQt8vqatSjz1cMX8Mrrw/WItEjCyyVgwCVhArCZpmHz+/d/vuY/zM/9+b34osyjvSmyFDOlU
Wt6ax7qcji0Aju6+gVZPmQ9nmp4gl91doJbZHIE+/ejF+nlsPgxhCY1m2OSEsSY9QXUyUVDTQAid
mCPEuEl7ivTuV9AebLXOwYU5nA3DnV28cuR2QqoHN5kPasiuSJRxy/zskYgVn6aV0tim0vQpCTQU
4XzXezWMMQ1t0zstU5RiUmV/L/oAeRRP9SEJUNiqphGhW05id2CrrPnq2e2Gc/fZmvJvhUtvR3tK
cqTZCa5XhNJW18UN4hHXOdcsY9OZ4rvP9G9d7u6oyFZmccX7dlX5YUeJDdYE99l3zcvSudJRfAho
fkwy7qBHgHYAmnDRcf6B4clGL6w3VWaKTr5xq8x6qx+T9zy4D/YsLDaaZRZwBODZOhEmqNjETjLv
pjumVzufhQ9bAXwJswgZmPnntOj+ZlOjnvet7qQnIMxHNj37VpqPujZE3CMXTXPy+dE5gOnCydyz
tjj7+pgFnua5KQhVzDtdH80EmaRVo/rryZ78sNYUUnD6aZ0G4Qja1s+tH16xn0NduAW9kykKsBhq
d9/E7uoffDiIIUFIAqo+pLrfz+NUo0kFL7H0hEExMuh78Gmkt5+bOLhUeyYW7cpdBlS4V6j0JPf7
73qrP/q9GzEcydYo7iA+feTKm9fiw87YM7e4vgGPBf+91qcn53W9y5pw7EO9PqYxdXCP7xlZ3HmW
q1Ed6e0UWLs2AZspKuuxBq6Vz2fu4MrvWVlsct8b7LwSA1z2tbey+JGJOvbpi01d5Ei99wDqnfiV
urbZHXoNjnz/w0sBknZAVT3w0Cx2bgBK3gCNizik1e15yqNeP3YwD6/DTwsLXxMM9aixqcPecv0r
FKhvUYQ9bXpzHVjDqsXeEq6P15cd8cxBKTLbuu2wCYgGMvcpqcAe//mCHd7qP7/O4gp0OOqfaYW9
Z6cJkiDH5HgPr9jfH+8vepU9ToTVOfj4Ec1JPbIZTP06dRQ8HRC/wO75YOlcwou5ahxwFOF6KAGr
StJg3ehHtt3BOYK7McGbaXsAfL/3OMNICuIwKz1J3RyRr4FsmzgZyZnQ8hM/LW4/X5GDG2TP2jyl
e1GPKIestpDEObGchKUrTWzTh88tHFgU8D+iBDcrmUC5ZTEe5oPcnkAm4MSYuwWcK9P6dTQt+PD2
LCzG0Jh+BvQ6jhEE7eKxo4m0redp5k42/GNslvOBWXhP9P/aaLHE+nsf6Hs0MY4at6v0pFhpziUd
I+U95Tf/YMb2bCwObTamAy9HzFgJAfhtS0kQup70os+tHFh5F29C1DJR17Q/cNCaPjMZFic9cSBh
QciATB1YDHt9/bmZAz7unZnF4tQ11A/0HBNGwKKj2cXKGu7RrrFFGebIgGbn8WFp9ga0uA2kQnuq
UcFSiVbHook09I7w6wGZFxaWGQgaV5+P7ODG3rO3uB9crXFzjqIjCA1sEQ4NOe248U+2wp6N2Vns
HU8Hmg0N1Muwta0TaA+lx7jdjs3ZYqt5xBhdz8GcQeIX7Jwr07+sqJb0iL61vj6d7OYBmdLP5+3g
Edob0+ISMBUAdZqCzUDG7lnnH1mWIxtueQlA7H0CvRs+Hj0p6rr4BwJF+/t5Ts3sr0j197enYRof
Y34//N2RivDg/a0Pqk9ebWsDr4oUROhoeGs7456Z5atKG7ql9XRkog5cNBjJT2Pm+5EY6B6V43xe
rElcOCNSi9WNBcVvdLhvFLp6Pl/1g0PzTdC36WgP95fzxvGcalSNoQH9vJqcDGi2zFi7skVRt376
3NahlIuLNniwxem4riEm9X5o+G+1V2oSoVuRrZzWvjSEeWIF16aa9buMyICkC9AvG2L3G4vdf279
oF/4aXyJrGyLjmXZfEX09rdKsRj0REdO0KH31v74ljDKQfWDH6QYnzJXKtvIKinu0mtnCF8/H8pR
Q4s9Yrr1TKWBsdjdo3WhOZF/kUN5koXmkSzZQacArUHHBrwB4JeF84aqRwH+PY7t4YTEiNBiGY75
i3UljiCrjIPX3p6heZ/ueVQ0dNtUCQGPGqyL2+KquSit2L3ssnUjjoT3x8a0dN55UY50Ps2GNqxq
tPqbxEJvKWt2BejsZevu7GOsxwew8oiF9oa3cOiEDiZr0L990jtoRaFNqqNlsi/WaW1fa3CGHBop
hQl8Z14/tSUp1kaN5iO7ro8pah30LntfZHEEi54EHeuxoHmeDBIdvd9L4xhn47HRLsmkGjmV2WDD
SGCfdwyopsgqH0Bddd6AahdhU109HTncB93Yz2HNrQr72ycoHAkcICxqQZyvLW8nh3tbxUeOnYVP
+RDK7FlZHDtiK80sM2zSrl6lRVIBCyNW7T29TW+8c+fcECAdir1jIPRjY5u/1d7RwGsnyBuJscGl
1Bvocn4+qiMnL5j95t7HM2NALNNiUBWRj4yfSzncOseumYOu33VRG4F6LUBCy3uGZoU+aD1LT9p2
3QzoUMjMreZPSPDbK8dAHwGAdxtDR9EQWBDzGHzvkO/ft75YuFmAAcgZWBcZAa/f8ejm0CTuG1is
0djQkXGaI4msx2m3SaukHNefr9NyDGinQcQKgqS5KvIxA+oTLTM1VpFt62yHTa0d+fhlyLn8+IWH
ytFuT3mJj0+d0OiKLRC0AhXuOjJN2oWp9aQxBcRUdST+WPqjpdmFP2IOd3iHxpXtnHFtBj0RKFUH
rwP0fiChKh4/n8PlUfphDcpeKLiBT+1DmgA0Hjap9RLYEhTB0ReYRtlNrr/8Z0bmL7F3oDyrLLIB
rQHbLFcrzXoyILgRCmv8ng/Vkavs4OxBTRahm4k+3GVSwiiRBwsUxuNjoTq7PcsL5xLVKrTiI4/f
TN7m86F9IOv6YwJ/Glw4i15axjBKjA0lfHCBTYlbeJHU6F0NTN9GZ2OxdrsSxYaArnu7ytDu7UHB
RKRrhm/2+Zc5uGPRTmZbQOTaHyhaWWBNhe9KsqWQdHbzF1agm9SxIuW26IL0wkaaV15w/7nR5UH/
MQE/jS6jyL6HuJ1oMAGBGU3z2MBogUcsc+1fdMtLQ4sbLQ/aUivRYLAVAyBpfLxEI+vGIcdIOQ7u
IN8xgUANjOADNWhWNoAFBPOJcCO9vwXbw7l+mqHv7PNpW8ZcP0azZ2a5bzQmaiEwbWWvzHVf6IB2
6uWlnPy7mowMKdbUwcKR3edmD573PbPzau4dRROoNuZ6GF05yhvS0ysP/dhtjrYPZYxHzuJB/7xn
a3Hs0Udp6JMBWyOI6ycMxSm7Y6zyB2yAh0ZHltMz3I9ye4WjgjTIMI0FAzRzlPJZz48lgz88LrBW
MAITkPXT0XU8b5m9SRu1wCjMHEY6oGJJsGPNDTfR4E6jFDixzxfowBl+Z2tx66CXQGX+vMtlgY75
/sbrnTPX0DdpC6whFSsKpGnb0F+/Bt5Znb/V3gj7HEBQe75Kc0ANfb5DUMDegl8ttizmccmuAMWb
IeAFrLAiTNHvX/iJDI5pcR3eEX8v1pJkwWUjFWgOI1vL58OqKDlgU5aefL5KB5ze/nwtGfjKUfCM
VbikDTSLX/DqFDRp/5mFRfyETowWqDMMowcYvX1T9UNwTH3t2CDmmdxbdEfZhKt50e28i/KVKCp0
oh/Zzgf8DXpw5hLBnMH5IH8KKKFdVID4b/0+Rz8w150Vy1U4gjMm1pohOGLu0OLvm1uEtRxcxKpT
MNdNhQHAJI9Hr1G/HqG9G9NiabSSs8qal4YZr2NnDCdZi4FonH81XFFuG3pMfvegA4IKGzBHuJWQ
sVk4IAbcetlQDCvtN2oooxxTCBTrLTIRkZapjV/RXT0EiTzGl354Pn8aXnijpknB+NXPhtETmbtV
uyXm1BxJqRwd3sL71C2VI51X7ZawOmlPv0MJLbAAsU5YfiQUPWwLmKmZVc51wa/zftO7Kvd5AAD5
NjWBo5BmXFLCQ15Y6NDUH4hzA5CjO+t1HgkUDx026AP+bXdxGVZNb4+TDbvUuQGqNdStZ58c8eIH
YgqY+GljsU3AO8o6msMGCBJ8QWNJNznGItfcai/l+Pa5hzq4N/asLfYGgDlo3ASQaivEC8vXZDgy
Y8dGs9gVFBQL4zDPGAOmtPASPneb8RUtj8SVH5Iz87W0N23LCFY5td5TMJRsh+bJ4TvTuglyC/D7
J+lV111+m2YhW38+d/NK7OdNliYXsaws+6Et5rkL0FcL9ojz0kyG8UrqDRKYwZFU4pGFmgEo+37e
7RqgJeYtH0wvDA3I1j+4qvbnb+EPx5zzgM6DQZ94eV7eDQ+fT9bBowOgiW0gTWLqyyR5Yeu0s2mP
9QGcGs0J6D8JTnt1JDI+7BkgwAY+mNnKMsrzoIWV0dYg24avOydy5PXnwzh4Fe59/uK8AA7JM0p0
sjVV0hbiIcvGtZ2mcXDk3HzILP3YXHuGFgdHM8a6r8D8sPUbIKUDyMRHzqDTqDNsHqOWupIS/feB
A8pdlyg08/siFEF+rH3sgxT24nssw71SZs7gj9gXwIqDh8OgYVHmZqzpTZfAMT8EoLwoZruTN9rA
eWhjklrBrc97M4amHDg+tGONOIe30t9rvAwOc27r4AzAGpugGwbtQJ18vsYHfZaDe8UCY/JHnd4g
k2j9nPeQN09sOk+xjXb+CJDyXTaZZVQDuC/94evnZg9urbmdBCkcRE7e4gTK0c1AwwSGEFFC8IzY
o4AENLgb/CyIR3c8coceHOSetdnf7MWNbmVlpUphbRq+j2HvgXoO8KywkAIwoiPO+aDv2rM1L+ie
rXbQAAQasZexanE9og9zYtkxAfpjA1rczaBxSB3/x4DGC5+6sQd4csURDTtnUIAOqyP++NhqLa7p
ejJGDXwGkGTRgJQtyzirysj36igF8PXzjXHwntmbvnnke9OnlYh3jBbT53ig5kAKaPDOUvOZCejC
5PzI5j94uPaMLfxO6/ZFX81r9TKF2/IfBN3QUoFbQ0vTjKRfjCSvRWnXCpdM/+BpxlXlPIO4oc/S
ODsm3HRoz+2Z+nFR7E3aaJE8Ly2sjyVvR9ZnCcpPRvz5whyaq30biwBA+3s4JbETfQiznoAD6vVz
I4dWf9/I4uIH9geYynnOaufZ4lOsV1eluh4hJ8l880gQcPD63De28EGiGgqLzMYm1q4k0q9INxbf
bNWv6P+Q9l3LcTNJs0/UEXANoG8BjMGQHFqRkm4Qogy893j6k9D5V4NpYtEh7cbGmmB8yKnuqmpX
lamQweo7zYVKxUOqMCcfBUuraMbmvy9mjOqFXDGKGTNq7RBpX9GPLiALXEfQDBAqgtsB/7pGCLqB
FEEN63JcYQ8oSoc525O17hEXBC5UG9xxkSoHgid7DsqgHgKUHRh18vcwuMQCDwUkU1dEEpnPwsFE
E9epTCu3NF2mHOJStHVfW/qvUDhjIpRo5bk/l2mCq6Acdy1aFYLBcJT8xn8qvIMen7r63AWdq6DG
M08kp4tKQTpayepXv4HLGDV6W4uibf0TkW7RiNGhwCpv78DOp2uHtnv969lbgGF4r/0j81Kvw67e
P+U+oCbqoF7JScGMtw2z4oZXMFzawO1Z0PoZYJTS6MCPJqMLFYwy2yAr69MVCJc2Qr0NetMAiPy5
qt3S8h8UIljWt+eGSVyyiEA4hgZEeCFK1m00UEFM90kpz3n92PfBDvt9Z9ukea6589aVSVyCCMNG
k1P05ZwSDUyBoQm5PHak1FXis9Z4N745HWneCEBFkzVH/CIrgfCxGfIORmomZKvK0SaitxcRArdx
ubgDWDUqbFRqQQitfh90NaaMLS3YZLisp5NJzcDp559QiP825O2TXAoy96ojLBC4ROFTGS03ChDM
g/eqJMcks4P2+/bkr/ozOEjBa6mpMlhOr+dBLQJWjyMm34/pDUEqkNCTmoKtnkJCZRtqfcAuUNyE
JMwsdKJU/ilyI8UKA2f78yJLuPnwJbD6jE3pn+5Ai1BjMS0s/R9WOsz1xQRuRsax11TPy+dQseMX
+XXbAnl9wi+f57NyoZREawqsDDOxrxXUjiw9oCG/bZ5Qax+MUIEBFVpgScG3wnAEZ/x5pj+kARXc
SyDpwN0ff07SDC2lIU39U1w2R9V/Vcr+vv6HO2ic/y4gs48swr5vmD4MMUACMNc8G4ftAVwdv8XX
OWcmxRhWVRf5pzSwIZH6Qy0OWoEOa1svBEirzrZA4nx5wqsgoej8OCFzGardgySC7Mpkv23P72uV
rTnhfFqPU8+HOot/mjvWq32cHeAT+E/jOXDayAJFg1r80JqTaCBFvsD5eSWh7mwwgas9su/NLu4E
S/XaNcyVH3CePnXock4qjB8qSOsdGx/yXYH+wwiUhMftMRTMFF9JjFJccFuV8DgsA/7gTMouempk
QWpTVlHAUYZ3HAOk9LysHxj10sHPiH8yyAQe3jI76iw/x6NnVyWa43PpeaqMfYnniZI0pTOZKlgC
yx2tBteUh58zYyRoct87Up3VmRcSNI0/9CyztS6/70py0BvzLgpGGxeg5yh7+4chuvx4ldufqWpD
WkMOcIeIrZPdHsiBpoLkvL7pXWBwm7PSM+RhohigKrlVeqd2WtnJXv0HcurutMYSPeWvOvACjtum
FWNHFJCg4Pkues6Rx/RjaApWZ8GUf2iJSYxRbXWMmq89N+CvHtN7iuKOzhPg/L53+5AEFrZwOTNk
ecXkCECI/YacpOjNUh5CO72VPuMBl37VA4vdDa8aOLoiy/+X/cECnEupAwhem8b3cfIynNLpduOt
aLsrGsf574sloTTBXjFIEZ4yKrSXvMfg5x2xbffADrTt5so8UFsDyWXTHMqbOglkBGk+8x/pxks4
jEc5l6BiUxtWYORQhpa+a+hnlsOHpqpDpyogpFmkxmMnvYHf9B3EfboDCuQDiHx/TAxPmxBpB42W
DA7QsbyJwv4zeEVF/UrC6OHycY5qxM40MAs+yu2G16x0ZNM2b1BqVww2i0DZCQo4wXCJRotL0eB1
kyV0ECAraC8a68AXKKpPWXtc0mdmx//LmnyrO5GpHOoBpt64BzdoDaZgs96B+TtL59tn49v0DYlI
dPW+7m9oYTNABIaeKc6jlRyc62qAu4Qgk+4K0A6BewXE5YZ023WSSONqHqSPLncB45wbfIgguE9m
sNam1S7TwZ9ognEqeyzUN22KrfZvtbXxsIAxvSByTm4MXlMFs3lREh9wb6r4Vg4j5fB9O5pEw8i5
ZBP8BwcsWh3IlGBLqb75NBEcuEUjyLnhOIEfh0WwpyKplY+PEi4EM++RJSjJtKURBbrBP10kXIbQ
4NZDKJ91yOSA1MvQjuYLunKgomw0j8+GZ/CMdOjIUJDTBzwApbIT6YhkhHZ/h0JWUC5YEWjStudr
nvctPAV/X6TZFnSbE1TpEWu5gx5OkMMHv1LNjf62+wn+Z0C+Am9QoL3Bf3ELvRbhYief8CBZEHU3
TtL9xOht2NVWpDGBSSsZ6gqKM4mpKDSCjPj8lpeC/PhbEsT7vx60KwTuKqbS0JQaZxg0OhiH4rsJ
Viqp8UCiPZ1Mor5sg4nMmf++mKGcJeYwQpPixKTg0GY2Vl7BXnjF567M4VKfboIcJwWt/Cn7TsCm
1rlpdCCTVXcPnfawbcxKejAkFEDMr246Cm45N1Aa1keyms6VZi7xHArmtCSbdtQTmDRzJfF+fQXE
OUE9lExPhwyvlkZhG0mCgqPRQVPnflJk3UlytbUNRfkpp94+Mih40/qDBCnDaUpfCmP8nqSJ7VEQ
nYQKdDLaevqFMlrBxK6E3tVP5LworoMR50WUHkd7o35WY3C22qXnbA/42hvDFQrnPl2agSo1x0CE
0hcf1eoGeNaLc1BFe0oevDzZpS12CVQTBKFoojmfSpq8QIMiJhp63Tdq9lorAZgCOwuP99sGioDm
vy/CwwvVIcX9BCaaWlA4BFv6Q/o/Oi23dnYFmpyrFkOY2qn9xc4FvrruB+Cz1lDci447bikrJhWF
1V6BzcAXlDVL5k7rDr2Ig3Qeby7Pww3+gPAPdEkPBtKoRIwnXRTYRPpSwa9rPxHV3a3mkgUOF+DT
SEpPj5B8o+irWkFHomwGG5V4dokIU4PwSwncbQ9Y2wbDNrRUze+c0Cbi5qfUu7zL/ASVuJNdQ/8m
ORAobEa2dg7voZKh2dOdnNvTV3m3Dbw+cRfceSwWrqf3YVygNA7F2vRpArnyiBO6BDKHSLLCUIAl
r/v5BYzzEqOB9moRx8ic3cFvn7Jpn4bgLbaVxDYCu37IiZOdi1PxddvG/5I//uDyFyU4d7WqjE6Q
E8Qd4tiVb7+AbBAdPPEDtbvDNphgQPn+rkEeegYxGGx+int0/IUP/Ut3jv4p3C4GcStD2deaF2sA
MdSf2nMBY76xX7oiyH8co7yp/d7wXJzS5LK7oRdazEKMG3jhAnOvhadKwf0G2JLGEConFrhU0bng
YB++PYbrgX4xj8v3YT3KkZrPK6x/BrwFqlcriH9ug6xO1P9nbQaXCdg/rj2/AgM5FIXquY4xsVkv
f4+Imdt9ntx3DRzjb9kYfo/lAo63iRRK0cioilLQUa4hiVRFLMjxq8OmMRMKBXi0+dCjTNSqlGJw
XZ3MwmbfPEukzyf6PrdMmZHKCjZJeBYyZAcXXmBLaaxUtJSIUOZ5W2SkaYB2ttyP/om2aEfQyOC2
JMpsdRQ42dpFLXZvl+HiUl8P1mRNiWEOOHJt0Ix+Gjy/clnwFk/0RR0SNJNX3R40cjdmcJu179vu
t7rILNC5XHh5kNel4C5OZha0DKppEXuv8q+aZrOq8QQF17OLfVg/L5B8N3IC8QOlUGb/0Id7Xb9p
BxFbz/qWlargbAEjuaJSLqhMSAMMearjDfk7BNWMZG+mEDZ4gLTJXe925/QByivn5Jy7wy9dMJ+r
8byA5gJMi3SWaBn1T52XOsxs7G6aLLCjQZhGsWpBLdfqUC7AZideOikjsq8lsPNzu6OHbc9YuxWF
suZlELk4SzJlkPBihcu8m/SUP2bP8nF6797AF3KjWE6RnKufaA7ZBhXOHBd2mTRC+6aBRcax2IeW
cVMCq5dtR4Az3zB8cMKFcVzUoeS6zntdxfOI9rnPfimkeAqC6omlxZNZPub6AO27BouMAHb1LLWA
5cINTTu9AqVovM6l+yHZ+yAz/YbNR3ybf1bREADlCei5mZZoWzf7+4a1vDpxLyt1CNkYvDweJ1Qd
WOymuE89yzZ8V2Dg6t4KrXDoT0IHLBj5rj0ybUPQoxtz5FnJvr4LT+ou8kWztzqKCxBu8vLEz1jZ
AqSVvwRqc67DRwPPW+pdE+Jll77qb9tWra4FCzxu1vSiBm22BzzFGPCkVGfQ9MP9tSoialgN5wvO
h2kqqywqEuafekgfOHJMH4kht4IQExjDq0inFQsGbZ6hzH/NzBcjCe1f28M1zzHvbajvmsVNkT1+
q68usxKEHxkZg464bfiG3CsFdlCKLi3X1q0FBn+DmHtQ7Om7kbhd2O1lGtzKVWA3w11WJUcUQO3+
oUjXWOJxh7Gk8UH3WvTAy7T4ECnpsR3uNBzKYm+Ayl8EjSE8VQniVmSkwgXTqPRT5NXEzT31MHnv
YTTtBq/bKXlgZTL7npSSqGl2LbSWdnIrZ2egzLXsJuIGVQuJWB0PII0mjfeRT3qrn9o3Sj28Vhtn
L632Ua8ndhGobCdHuStp7ZNHtYc6g5JtpMpWkXvyaZh0NADo9Vs9+P5pykI0Xg7V+FDV0OLUTYJb
BjVwQ6PJdtIkGY4PMn5PH56zWsUVBKjzIftQQyXAzPbNaN4YdYgydqLkllyVt13t67t+lkPA+wlY
jOitH0WQuPOfJdm/waPRLsuHx2SqqMPUCEwWKmZs29nXYnY5YPPfF0tw0CT9UGHD4Rq+g81bC5L7
bYC1Hv8r1+MW+W6SwFEfwtWncd/rtZ3cUqtBO71538hfomy3DSdyAG7VB/d23xUTglf3Xa35NtK9
f8bVcv08DvQ4jo3AOhEct16oPp3SmAFuSpU9ZGhDWys73/KqL7jgdJoBihH1s6guXQTKrR9RpqLX
xm+Ja44tLqLGycrJV+pjgBsUCTTPLXgxZfP/lO3+K4n62tK49JT5Vy08JTHzrvAoTH2t6p33mt9C
2G977tYRVBN6cyBKVVXOriZRvUBmCN4Rr7tG9mkIE3D7QVd8aj//b0icLVWlSjlEPImrtgTqhMF9
RJmtZq3dGNm/PGIiAP6YxT9iTnlSQU4eYHVVgiMkhOKb5lK0Pudxta/Udz24hYrwSYUyiIaH4xY8
E9vWrsY4k9D+CuItDC2XFFvwDkdy0xCQ5bQn3R93ave+jbC2KINNRsahGR22IKO+9g25DZqQ6hFx
qdJ8hZzsjyJXboI+EO2vVz0f2oEKOhnwdMBfkHpq37SFHBKXZNCvbcIEbxOsv61B9mNW0mukzYo4
pQb6LdFrpgCZvzWN6t4E5UgyL9gKmL4gM4ky+V3onz1Z+TaM9Tkgw1P2D0dNaFH9x9zfZ+9FyPnS
lAcQqSVuOar7EbrJECn5l4m7IHBLNBshb6dWBXGL5sS+a8pt6W4DrKf/hQ2c82VNr3nBlBI3adqz
ktNvZXnOpjK2cFX7MJT0XJcgju6Y5+D0LluSOb/WKelOn0Bqtv1b1uPgYiy31qGVc2oTHcM51ZM7
svYAwpltBJGXcGsdwV4i9DoMZ9ZSfV9F4K33q+KhYN1dOEaSXXtQXkk69TwVjSDI13at6HJXVPQQ
4emAb8BMi0qRPI1h1xqhO0//lQehk1XnqUMLgSHq1FuLd3Tx4/0WJFIIRM7OZgyjdIhV7BqYFYBp
pTsogrVgba6WCPNasXD9ugqLBj2txB1KR3pI/unaavl9buEGBWcxTK1CIPR1NMEdBrGfF+9zA/4O
T+B1a0W7eEC8DBa3rMUy6NZYoGGxaSwQsCpoIn6Uu3OlOgbKM+3U6ZJXo3VyMOj3guibP80fZZbQ
s78uRtEIMy/ycsxT3TooILRSPL192nb5tUUb7ZoyRCsZ+M0pF1RkKltPSXRs8tNj86rv5Tvsubch
1sqAMIIXDM7doHnHmBGa2NUHTkJvCTuO3W1cfcvZV7N2svw5nG6MX9ug6w54weQckBYD8QOPEre3
h9xiVGDT+sxcPs/5H2taM4IaOUzSd7q67x10Rbnqz1Hd/W9mcM431XIsR4kBP0+s7JmJ4mge+Y8O
djGDczDSy1WXqfDtGPun2zG1m6ft3/9foucPAn+p0BpdFRodDGCypeI23rT2Tqvv2+Au6uxqtPTv
1Tea30AFq24EbWurd9sLv+PvGhgrqpwS+N3kO80XCIgF7z0U0qFIMkIrFuxggsYeReAVunIdr/qQ
SzoZATiqN41mY6NdR7b3g00W+2Q8+i/Rq3wqX7qv2hsYm8fDcXusBS6vc0t1zGKqyAWWkLJ+R/mR
1TfB/l8QsEM0oIzJ5N93tot8ZBpZ1/cjgX3kIcORmBDRGWJ1vwGq8z8Q3BA2agZp9BL7aSgZSl+h
Dfv7sS0ofrDRZl9H0SPbf8lNFzxu0BRZa4bU9IgrZ1arHgr9Ltp336qn+r6MbSeiz9sjuO4hFzgu
3fosADdpgg6G0NtJyiNUAc/G1zC1e1HV7XpkX4C4nKuCDy+MKtjVd9C99CfUsKK7KBHplKz73AWG
S7O1n8YQA8TVypg8gz/eaqH0uT1i/yWKLxBcqg3KqIw0PQBEdphbI5K9Wu9Kp+k+Na9mJcoZa1tA
PNlgX6RCkRx0Q9chPHRKELAQLl59gecFwcH4DpnQabT8H/4XlK4Oh/hesFTNY/QhCYOFBQGFW2vK
OBck/tQWYYy9EpOyXVu+j1BjTjSKQgvV2R7L1dmCGK/BUMAHtV7OOCmsUqlLcM7zsGGpShOK3JNg
AEUQ3ILlsUFNC3AKoL02/6TXwa0viXxuNYYWVnCLVgHhpwr0sWD3rUtHiaNbz1esqqXOaEIM0esf
aRIctgdOAMnfAcgkIGai4ODKjE8IJChcn31iRVXoQG9yG2o1cC/W8WdxL9T1wQCe67f6nRm+S35a
o4Q5E3Lwrnq6oaM2G73QOt7Krz3dlEY61REUmbSyPOqdB6645lYuC+iWM9xIyTc1ShwyGSs25G+f
4oTZDExVVtiDKZ0qyWHo7j3z0zBSnPV6sF/itmd7JEQ/cHa1xWqjVcyneedB1cmv77vavMtf9Xuj
K5yiqexerqG1adrbkCuDjxZ3UF+q85CAa+EaMjND6KxA6tPVxk/agKUgyAbBznElQKBLAjkNCEgj
EPnH4WFqJBbnIFjud1AONUXCCmsW4PlLxnnFAK8yv+cpdVRVaGBYdWk8HMf4NGiencKDtsdpZWog
4HZB4VZpaeqoDmV2aDpZsbwPvBs9fA2cUjsW7KduCHYdK/kRoiASdL3QmwkqpNnkhR8MmVpL2QS2
dIS4Hh1C8lU/1oohmJc1FGRG5Py5HAIsstcocTdCjn4m0R9QiCW1jzr6stGavz1uxjwwXK4Hkd0F
hfNpQ5pMyNOCenqAcBCY37GthwjcM4hrvwUGuW8GchtWXbsDMds+zvs7aQhvVebvYyiGa77btVkD
fZag3vuZ71Iz+qqZyOS+Bp1ZEnzx2RAdOhI2ltYPj4FRpwdjkFLIZSdPAcue9KEA2xH2hRb+x63m
53jWqSqrl5QvaU2fAg8CxT2009CRjqtNQzrEnmENlbHzIBAGGip7SIf7Gv+o2UxIfZFUOCiV+65Q
PzzIYXaa8GqPYhX2UEA81GFBc8/C+kwzKtlNlh1bSILvIBru281kOkVGXvQITy5U22UQ1Yp7XLmU
+YAeuOLAyubJTEvD1gKU/aH9zlZ0EVnmSlJnoGYEUTLCXQcP2vWMlyDOKBPZ91wsi77lq61VdjVy
ex7ldpvf+QY4QKFhLHKBjx6AwNdxnwyuLf0DT3GfqJ3uVQGoz3vfMuN6F7OnMPySV8NOSj9vu9ta
zd8SjGd3G/w0UqQcYLkXurLk7fwhgFTkS8SeDEDX80/oflU4qGwDrwTTFS53oVzBf6iSATeJpUPZ
430SnZBOLsWO1OkCI0VY3DQGeT/Ik4Jp7A/EDO2muWGh3U+dYN7WEusycrksVPeGpjYy8gME4SJr
CJTRMTRlXzSidDengK0UMdu7SHdyL7OqLABUFdGuxOdTUd3OvM3bQuC2gVWTSF3LoFcEftIIj10a
lO6Vfa3Ow/aOHrqXbWdYibOrnDf/fWFQK6sKCfI5s5poYIxqvAypEY6nAMrRWGmPNTrPWhXlJ9u4
qzOGTA6lkpk7VOcW846VMlE06K+EsSOfp94pRM0Jq5ZdEPgyALmlLDYrDKSivuG4inevp9FS8B4c
qW/btqw6xQKJD6hEpXKWwZa8zQ8Z+YztqMC/RbZwYVS0sZoruHB0Cz362mjlIxrtUQjqO23bv0Xp
9N0rn7dtWglcSFP/mR9+A3pBhOYxnmPCN9qmlq41duUbgsKCVY9fQM3Du3BBqhaSGcWYqBCOrvX0
bmoepuIQgfu3K7Wff20XOHDA00VNDRVsfBW7n4UDHpaxBQsCySbls++PhoWWVIi0C5XuVjZiV1hc
bEG1z2ShCqUJv3gNdO9OKeVPRd842YDrDFQn6IHyqDFJMHMr3niFykVWoQZG4xlADZP4dTKa/dSG
++1BXHHHJcSHavUBisSYMmh0ELavkvyYpi9Ze+eX7xEa/XOYuI234oxXeFyAtSAqDLwSGzNfTe3c
+CY9SN7xX9iFrlD4IPszcOoY7Ynf7TNp1nDxsMXB5G1btDpJeD2ALC5US0FacO3zFRi70k7CCGbh
faZZyj+sUyCEv3yfc71qJH5UzBouvrcbm7uoF5wxVtL31fc5J0ORmDYwGb8/8uwf2KjUf3/QXn6f
Z+jMhjAvwgxnGNSRW0lpWDR8HBtfkHlWt2CLYeLvTGUzYn4zAaZM1GedeTuFeAfJK/ay90MLHwPf
tHA4t0hWHrbnfzWCLvPD07S3WpoSucL89FIdHED6igvUqHuvvPG5UvPKZhm46liVCqZtLZBknAyp
KkN6U+dbPwip09hTsPXzwSIJUpPvrT5QGycdaR+RXtRosnZfjGarCxwXUVo5ZKwd4SXFUD/rNe7q
vKhT3IYNd4Xe1GABoLea+U5k44Eow8ziUJ196rVuRSIR+c3qXMuSifYsCZTvH1h00xLV16iOg65X
uG8CarFzeqh+sgwvHJ9EnAFr4b3E4sJP0bMqgPYDEuSn8Ub0ZLfmO8uPc7FXa4ocQAYEEodl5oTd
ncFKh7kTOW676NrdLmbvz4DxMdgXEUvHATiTBsrYqEFdXfsoSYrjyc1OLns7yLR3lnUvxfA4EVmQ
IVd2BVfoXM7PMyMyu/koxqq3THWzSHSnsPa6cHXE5BCCwDRC9LPNyp3yLillOwe7RN/udL/fJ8Wb
HPm7qfxl1iBDiPKz/9fq2Oi3uTqHqddrgKeVmtczwlxlImdDldAy2uqijsS1iF+caPknZNCH1A3I
nWEkeZFnJtcU5bC+g0J6wYb+9zUrd3C5Mmf+JYtt3FBWWHFKylz/l6K331D/7e17lWhWM1TUitQS
rxxHVX0wtWOA2iKjlfaEQQYoeqx89A0a1J0SxfH78eBBdO9U5cjGvtpbk1lMtpnF5s4v9LesoLGT
tfGPNFePOnrEXwZGOwu61WQ3hsNzqE47bBVu4q57aVRcphikVV4CHzllkpBo1dwaJeFLy9pyuBxl
bjmXx0lNtQHHXKVCjZvx1DTjXVmP7nZErqKY6FOddwyqzFeGaJSQMpzvRJAwD2F49KEynosEV1aT
tjIrEFD8W/4gMxSxBBpvFG6psk/s+SWqD026a6tddNOcJdGCtG7SBWxOpAun0cGKQBJw5bpT8FXV
i/0Q3ivJP1TUQGv6AjL/iAVI1o1jKWcACfSj1t3hlGb5kui1fi3lL0E490fFIxqyAoCwEa0auL6R
RREmnBnOyyTPVPVptsPzQwu1Bxazm/4uvPfvJ7yrRFYmOpkJEbl1jI6FRJsaiDVCNCfHmVB7BOUH
ow8BWKh/bPv3vHB9yCCLeeIWtr4KBzlR4XnyfnytUdBmDYKivzVOt6Ur8BUP2UR0Ws8h1IS4P4we
QD1go6XYOM3iAGq+11M8qOwMZ9uw1SR8MYy/9zcyL8srAsOSILPC+NUvXt609HEb5OOCCXU5imst
yYC++gdd9Uv+1Yrp3KTlewbRg6p5wX3SGVXNgnS/sju4huNcIwrHIOkrpPs4V/tTN+aRk+Ku0irQ
4WZpnqFZmil5+zavv+XfzW7f54Ijwqq9aEanYJWHsBxPnlkYSuMVMn5AitW5RnJH2bbbK43FcvRu
R+T7PwzvAo6Lb9ozvVICwHXdg66ZdjC4qAi0mC/YdonM4oJ8YH1VhiFwhvZc0cqe4jPeNOVssloB
0seMhRlcWMTNYF52XpD4QII0y07FwElJI2hC/JjeAWHKaNOeORE+dDBjnUbDKm5jXK+3iOPfi7xw
1YTF9+e/LzI7i6KuovOkkG6flDWzM4Yeke2JF2Fwq0cA1uHR62CDlj9B4hu95tvfn4f5OutdjxHn
WJ0O/cl8HqMa93l+or4b+Te/nI5p9VaR7LANtupdiwHjvEutIY8wzsYMqJeUnkzNhfzDvSG63V0d
MyYbSEiSOlOqXs8LIUXXKT1glFZ71Lr4rjEaUZXfqm8tMDj3BTdVamgDMEpzp2tO9VWVBd4rsoJb
j6JsLKVuHqzYrxwqNafYJJ+350NgBH/Gksty7Fu8Q7ljXR8VnVkk0J1s+ntVOPgYZHnpHISQVOWO
Gnnhe8Y4j1VcozJievKrezSXCy4X1m25gMzDuQhGTw1GnRXzhEwFmuEjK5mw2dZFtREfF9NrW7h4
hDY8SK2IxNwqntxEG6zEl/eg67SY9NeqpddIXGRGJptkFcVIqAaIn6pEQs3g3mPvqMjedoIVFotr
IC5cjL5oJVT9MNcwzV2PyoldjDfYmEXUweHtG/ZgT00AupqpAFN83f5ss/gwt7OQht51ZTlZXhA/
KKr3TLMyt+Mxye2mou0hVafOiqFTYgX+m/z3TUvXv5oLwBTbKB38GwzVDODGnL5DwMdB/WYQiBo6
RTPOxWHc+WbKMgUz3jef86rvrA4DgNqln72UilLXmhcjRECBy6hGP+gOm0Yx1p064PhTH2PyHODh
2RARAayl/CUG51ismcYgpJjvPtAbPG436J/UM6eXInPXUWOntDtD+ntiPdz3LQzjnMxLzbCYCAwb
miZyaUu+xo3396qK1yCcT+jwNVOfAGJWVviUn81fuiq4tJ1/J79eyiifwQUmrm4/yJPHEYl6w+yw
5rMXD2SVpzi9k5t71ERtR+XqJC1wuMvLKipzEOX/xilv86TcSS2ULlGvAdgUb8yNIAusHLYwdgtA
LklnGSkZmb0Cb6OOTzInUobTCBxwL6JRPqnjva5Bak4dDrn2SZ+QCzTBb1h1fhP9BtiugSKFv2GY
aE7NMcD05QO0148TevW/bI+qCIFzfYLdbTD6QAjG7sXofmTvHpV/bmOsesjCivnvi4UoppWfylIP
D5l+oGjH7sbvEz2M5ugqpajecW2PABWCPyPGOTxruz6GJAV2h2CPtzQ/vEdTrugST2QQlwCjGMo/
3TxosZnLttmakzNl6vcYfIXWSPTPJBAxCK46/8UsnoilrpNQ6cg8hIz8qPp7g9AD0c7580gP7Sg4
Wgl8gnEXsU1mNGY6ASz21V09nKT8s9f/fYkIomthERfOUkQ0KuG+1S2efXpGh2NQ/EtiWiBw8YsW
dalN5uBp6vzoqaVjvkTea9brtpr8PTfmtTXcXosWHU3Nfh6y9GZsnaQ7B6nVDTtwvwkO+iJPmCdv
EUxFj+IGZQ6mpLWmN+Rey3NN/7bLnqZotx23sxt/yOymRkHjjpqQDzePVNbKnMxTZMLb6v4+jqIb
KVWsMnyIBshDpSlaNrT9NujKM8A8lBdUbigTDX2DeThiMUZbxhR0L2mSHeV42uf1IWH1oU7Bz9Mf
UmrYRVPYRShoLlzz/pndS8ebKe5v+MshTff0QBrhNgwoYN6CjpMNxkDBNK7lqSUK5/5DjFOfOq/+
JWzIYAs03QUL5to2bQnB+X9typPPZkPkG/JUt0faW8KiHtFg8ZNVa2i4MoGheK+qeqygAeSJVNZW
7dAgNKKqFMrqfCN0n1Gzjnpg1D7oxT3830M8hi6apkPXNGjlbDvgWnJHfeN/4Pju5xoUDrlRAA7F
XSUKL32yH+LA1aBWhueSAbShAN+GXB1FFNLiIIhaGGxzr2N60OQSovUItJIZTjHFzthBQ0MR9ZmK
YLi1fuiCqY9A0z6/uIY/tb+vlNNnNs8/VnDLfA+y0Dqfl40J5zKat6BeAQklkc59UL2ZWfLzfxs0
bqX3vK4NFRNwhrmP6B2KXk2R54kGjFvnCRg2zO73vMR056eS03+f/OFp2451f/szbHzZaV7Tqm5n
kHD3NB63v70eOpdvcyu538SyPM7bBqPAM6rqdrl6qM29Su1tnLVFCQxCcF91bgPiu3JSr6KSnnem
q9dPdZJalV45td9YmWbsIgMvhW0jejmYEyS/OC0hucyTZ7SWpLI13agwj2DScIKi3o99bPUZiEj0
Y9BCO1Yl1pQObsQ+N4MpSK/ymndo6L6TcLnPPhZvaKQODLQQGG6ARfEAKp5PcpNLdkBzp560n5M5
lRZVB8c0c8co+sEySgPv9myQIbXrv1ae8jKNuUj5aW1hWf4qbmHRchRnhaYCsWgjhHhA1nwqNRHN
5yoGeHtRJ2UqDKzW1/lKUae2h76c6QbFLs2d9h+8CXds//k8v9n1wrjEG0Ntunno0ty35amyoLlg
RG9STa3QE1z4rgXJEo4LkrQHm8A4NKbbZw/hoR/OMp7H/+XOZAnCTUtee6gvwr7aVc38GKfyJzp+
NwoCySLRNdCqW6IfB0TTBpQP+P2LEnQJqRQC8esy3gXoeCDqPW0EV3GruzRtgcLZ0ynKlIGxA3zm
CrlTSS5Zg24+DVHTziRPkEDwi+STRGf3GzzccSo928V6rzhapwrmby2BLn8Kt89JBqPqIadsurJa
HdloHPBSQ/TBR5n0W5Rlgu3B6kPbEo5LPKQaC5DZeIYbBalt6NIXHYoZfZJYU/aaK9Lr2OdOY75I
+ZH6IhmStTyLvmT0QinYDOm/KRkXm/8+HSSijcx0x/K1bBPLz14hQF/omlWVP7ZT+pob4XraQME5
WHQ+UMN2NSt7NaZI6dOx7L/JypcoFmx75jTBp/AlBLcfGVnihVkDTvyohsLxgZ7H8itIpZiFIv6+
EqRrZS1pLdG47Umt5CmuwoDWTY2dpHJ9ogVqqEeNmC+eFwxohpD+H3dfthw5jiX7K231zhqAK2A2
1Q9cYpEUUmhfXmjKlJIECRIECRIkv348qqu7MjXqyjtj9+HaNcuHlEkRDDKAg3P8+HEX59Lr3awM
rd40ml+RqDlUDdsICqNn5cz5VhD/rsnnd2cFLSKvMfYz80UlA9NnOm+/WdHwxHZNA5Oyn3Ezfva4
PiQ8VqsQcmyE7QUksIrWHVLZ+1dMrplynC/K1t426G2Vhp4IfxKRPwuR3z+7DwEfFjEkqnuX7aOy
fW282xyoQE1B3f9ZM+HzVYeGGAc2gNHiD3t5CNjqzjNWXVndR1LFQ3Nbi/InWdHnK+HPi3zYwYY4
kAdsQ7bvl/lg2neItW//evN8egUPqN2JsEPADvrxgIyaYSgGLYBC+eehjvPu+q/f/9PH9N37f4i+
ull8RuFWCVAcDgdXBtzR6MtfX+LzWwiIS6nLOPl4xi/EzNzXDdLSS0ym/Uwp79MF5f3r3f/bEe8X
NdGFRCni8ntQ5BPrlolnhkMT/CxmfnY8nDoHLua4Yb3xMTcl2BPMr4EIlouXyo5s/LlKKAU3YaCx
cYL0f/Hcvrvch8WlelWHtQBqHGL2UpXOtfDf/voKnzBn4S393SVOq+O7U6CKam6VHQBsOeGmC+uL
2s8PSDfdpHa6L4S37yBGwPS3hBPMFFb/m6j93dU/RO3Z02PpVagpRpii+uq1rt0NnFMxpnggZrio
PXanqBf/9T1/uhq/u+iH4F37EhEjxy3XJXpuwIgOHLPsf32NT+NrgBYGgWUUBo4/BLlQmSgnuQJh
srDfwukFxh0YOI3qKz9frwZBvkFc7kmSn+nwfnprf172o+Ggm+u2lGOPGk1u1m/Dz9wlP91p3739
h1AEz7JhVlzjrsYxYdBPzAOTIVdLB/9nyMmnSWHw3bU+hCVMDjlytriVPvzqr36af+uJjpVHNhhv
TBxlYq2m2BHTudRvkfJ/ckr97El+ODw4GUNv9nGrK+kuyXL0u+bmr5fIZ1cICcF8dQi+53/rdUH7
zjQyoGxfB9WZZXU8QPz3ry/x6UP8/hofHiK65x7k71aks3K6MjWGTleoZzVgcvVPHcxHc67j8r1x
d8K7L5B6/vXlMWz4SVb2/fU/PEWtXSYC4+f7cKrqZJxrdeaO3E9kvq67du3PZ1WCgl03Km4iusYB
JJc3kmEYGKaWJolgZQpNNsqRICxRMtAJDjWcythh5a2Uk5POrruVpXkMkDsvi3fvu02xUw7RicYK
2tbr/LVflzAOGv3QaJOeWBQxGdnRagJeiexear1MV9bUUJTstpHbP0Ckfq0w+SznmzXSJqly/bhG
9lEP9paWIBFOoepSv5zdS1qFsAwsSgjdnoC2xuviXA/5CwjRX+BcOMJZ1H7FEIiPpG8OtoWvx93g
tMvZ2gQPJnTtxjVrdVmPU5PwHDmQIvkTwURKHEIZLAv0Mm+DstnlErzMvBnhReEWIutDtF+7+n3h
fnnwuuG1ItNd6K5fTFs0cWHMiW3OSDaCTxGHXh8kFFwbeLyt05VA0DtfiJWQHJcqhbaGThYyPkWs
bjeRN9e7JmgWQJX1FbByKLIOLdvYdvi6RJ3ZBq4+Dv06v/gGcrTNmr/MLFKxUMPDYsh+hRn9tq1g
qCtdOFFHIThVoqijHfOQiVNeVLHpVbjzCPe3UVhjzTfGyeB2Fm6Vnve6qY9+s+yGSS1XIxwJkpl5
c+xqUMzW/oI1/TlcGaIYJkATlrKG8ndYoxntjAsEEId+AxNsFExRxxPolCBmWJpfzBJgG56UiEtT
QDROKxBsR+PFw0mhxxvkK4SIdFo7HsbjuYWtcd+TWBcRfSybPkrKZWFJTTks4z1xwAAt8vGhu6Tz
/M1qzHeVvEEjAYM9seob/yAYd7OWQn+K9tBgFbRhmTSsi1EdrSmXd3MBCfFRxHZg27k2ddaO0xtv
y3272hssjiNb13G7rhxfPby8HevOWd9DRGtV5pCzeev3y6EZsVsK0aRy0T5s3tVRUOnsZGAECBSl
yrgW1yCUVlvLl0tddI/+qb1TFVhM+ABQuZ/cdHScu2mGcJCOljwe7i1IlqMzn5OgmU8OG8egbbw4
JDlEOydfZYFT8qRuWpKibN3SER0cQeKKlfG65nHBvvkwzaSLjevF9JumAUOfvvA23HJYuk2wdnN8
LjeuYBNc8tZ30a8v/irlrg36FwYh6KBAquMrKDPZskgrePwuVXvZw/PXKQN78L0eDsDuWMBSLLiU
bNk51cNU1xl0njdNF8m4m8pr7QqS9SdJ5iEIL2UTHeCWVsRiQk+9bLvmjbb2bCGgMA2kgymvx5vN
chKrpiOlZ73gMhlD90ihah3QZm98gA2ThjQFh/I1WYNLH0rYTjdeYdzo3tfyYjjpZLOTYvY8rehx
ooE7TrLeVQHjWRetNh5Oepa86satZtpFV2PpMruoC96vXwplp8wOUGiTPcLOVOkrf+KbwaJ0tAO5
L0ywL4i6qoM5LsZFx2Mzpis+SmdcsXV6h27mbs0aFDYY6d74XRcPwnyb2j4eaXuvxLwn6DMgnF2s
bXXbRfWmXtRmaKq7vlnTlsI6bpFL0tTdjlc6XiO/j4OcpZ7XbibPHlyvvTbSHSBBUW2IPzwWKKdb
Z04w47gt8j6eJL1ltb5h0HHoSXRwvH3Q2QSz+o7ob9wmjLuxO9R+Q+BuAvZLp6sWgg9J2d16rLYb
UgUPdXkPsmFcQm4iOOlO8JMCRQ4pigCSFMNJm0JCpEJBrKJgAUZ2YJkLEYty5alzUrWYTvoWI4Qu
JHglCUZMLnNIYOiTFgaGHY5ThKfererMO+llaL/6CsnwLgVVR6RsrSG/N19NENlAUpEtEN2QEN+A
benWFGbTOKw9X0+D8hNth4s8H/HQ5oomsndqYNNesRnKr6oiMnGVfOIFhvkFPuZCH/r5yxK4exD0
jg1r4Lwq29SdDg7UqDao8zJRGkweYTSO58dgjUnXH3rShYlQEU8ZiM+qrR/LaNku3aKyxRkPCtKK
SVhVZ6ND4Z+5M1N/VQ3hthPPAUYSWn49h88ewIR+YBl+j94j5GJpMpObeWpwCF7DAyi2mMprYJuk
oO+9gtfF7GjPZnXGuYsDSG618F9Hd7OWz7UfzXEzlfUj9fCV8lIfm2DarFNQxKbt037F/OxKIOBd
PM5TsZcT3Vba2wSzvJwosPIe3+c6LNuyrK6cFgmHouAi10G5m8mUiam6wGELm6qTCYYRb5CJr7Oe
BklP5i6dOnjMs1ElHgJiElhZJaUZbGq6XG5sVEQ7ytSRUmCDzVSdtUgNzerFI3TeYjJbuJcZOPji
NDijEGuJmWzehhMsQyY/Wyqq0o4ty8YY1Sa06fF47DCczWV7QTSCL28Db6dYC3VRF9hb39ROg8/l
3blLdb4u+ROANSfpmi5/VF6gYq/H1HeLrxNje8LLZBsu8Zqz88VHaQ1G0bGX0fAOuoeIQxF9hcXm
zqGwBIf4bOyu9BZZ2YUyYkzAALmoXOBAfGJba4EsEIUhKSSHxdrcWN5te8fsu8F7YKWEbxlUq5Ie
ed5WaFbFIO6RC2OHrKhXP25EvZxDP99LRteNIODfsdiZzNFyuykJPCbatQq2rAyuIwq9kMFXZ2qa
2jhcvAnQ01BlYg6mTFr+wAtCdiXEb4jn9HEJx/WY0MXs/G7oY0fpW7fDwdpUtsjGQoNZJ7lCEGB3
EnggyDPDJlwn96Ic6seoRU7RIaY+wQc2LSbC46Ds88TrQi9ZGtekBRvpBvo0zQYqASDOMidrVq3i
DlR9mCA6m6gveKakhXWbUzFIAzsP7RxuRTXdBAseiA5V4rTe7cC6YlvMBYqvwtyvfY6eztxPcTAD
UjvJ9KbSH95YRbeh9e5lXWx9g/HgNXgtFdTgymIZ0px0GHRbgeJBkyuRDIbdkP4fNnoN4S9v220Y
FDs54xwWPs7YSHvhudFA/akRaje6/gboAE8ihZq6smiYrRIHGwK1o2FY4bAMAw5vOfxdY9oNe9ax
NBAS7y6uiD9vC2S1GHirY4oT0vogbiG01S6FFlhtLpeaHLBgtlPIwS4AYTYv/bOoC3dhABWJKRdO
PCxema6BQFU9yWnjyAj+CT5Oi6jahWvZbZkkd0VfunHbWaxuXh0gJ/86dzDkjgZyvXhh3cGSofc3
1eh7sS8meaxMCIGiYjfwIlGByFzIbzTmLaC02lBAwKn1SZRxVl9gf19PBTwYhgK2DI0lsdOQh2Yu
b3zgpqnox2ELp8tzUqIs8YWW+yoycts4IsAdzlgB4M4npSskQq57FwXOc08jCvvl5g2a7HIjBmwp
17Fd6lD9HGKaMJY2uuo908b5PDo4R2o083Ide8Y8BXW9wYoTiFHdsgceKzHwxN0dWXKZzDp6I3mv
Eu2IHL4T7bUYulTn6hn2n0nUT29CqW2kVJ3UpakTlwxZELn5BjDNcghBZX3AmMyw9SBXTKYA6kpL
UvYuRmT6JbYL2Bm1xw+EqUsDaaY4ZKJ5jGqt0spf9H5w/PbYhaA+I5KDJFLk9Nuo+GMlRg8ye0jq
wmrwN4qB0r+owt0GXtVnfIBQIhS0kjVYy2xagksHRUVScnBckfAGSeXbIR1cHLq59i6GHmfX0vEo
W7omf5yZusEAHVIniCGmi2nothk9pBkiYFFiPJdmuufLbqJjlAA5IQnpkTrXQxclWH9ONuvK21Dq
59t67JxkBkQUqVVlLSvxkyvdeNLztDXoCyQOMqysn/mUVSHNY6RuDdaJfz4SerYKe79CkMubxIvW
qPNyrJkddeazUQT0PF9VlCG0VUj7BYc1msZLhe/tMVOD800N5canwfTAWxqllkkvjhrEMSZRQOoF
liaTgrmDWw7mvMq9CmPNmsW0mfKNF60vPVRdsE8US52QLWhykRcb9ruxIn5c5+vBH6FHPk+3hRNc
lmON3N896gK2gAXxBL4BnC6FnNSO+YvMILq8IXZ5UjMksZV2eDbayk3V0j03Ub9f6uZV57OLsC73
ouiHdPQMHEowZRq73L7BbTdIXF2CNlzoh4DJLvZKsJQjj14O1fxiyvq+68nGzrPGdL95K3XrZS26
K/EUGNCLuiJjLNrNykJZoSqXTb8Gz+XkefEsZiQngNvtgm+cQdFM1FUQ28h5IqZ5Lqg+WzkO0mqc
43UMvq2mhVjqgkElv5qrWPj84FtR/AQl+AxU+h4jOOEk3yGQowIttufAKHpe3equRfN9jqkv9lH7
M0Gkz1C57y/1Aey09RS0kUXXIzfRXY+I3ku7XVz2Yqv8sjHpNNSHtf5Zl+/zG4woRvciDiz9A94o
OTeang5yX9XpyFLiv3fugdKfdCI+uTkeEhg8MCRqUIH4cJmm6Eqbo/8GykzW5XHgH5SK/c2yX75E
b38N7NBPsKsfrvWhfYSiiaN5hWsBtoIBTh3jtjjbtO71e/EEFbe/vtzvbeYPzb0fLvcBTVUd4UXP
1mgf+vwrMhLw6ttJwS+I+Lvan0HMOCVZ0cqeuGXvZTXcqxlNOBerNe0gDhE7C4wTclIeIXm15Z6b
P8LrBXXk2lxRgw2GlG6KgjsoaCDJCwOko+glmDgIx3ZT9+31HMnuwJ1oQpRVdleRxUmdzsM32m3t
2N2qmgB30Ky+tyt0RWjdjpmj14QTU8dM9W8hq6FaVhRxlEc2dgW9U2F+TgObtsTqGIn0u2RtSk6k
D4S/e945FI4mcr7oDbTbnOrKHZeLPme7yaotogIMUX7WE/xknX7/lH8XAfhuI7aDv85QC4n2TvFa
2rtCpgJm6Yt9+P3b/I8fDHGGv/8nfv6quqUXBbLyH3/8+51q8O8/T6/519/8/ccf8ZI/3jJ9Na8/
/JC1Rpjlenzvl5v3YZTm93cv3tXpL/9Pf/m399/f5W7p3n/75fWtEdDTGEwvvppf/vjV/u23Xxyw
VaHkAEURQKf/8f11/vijy9cGr9+9/g3/+bcvfH8dzG+/UBL+Cj8bmLYTH1Ot0Gn55W/2/R+/CX6N
QsCnGHVFV4mfJGMwNWzK335xya8R8X53pyAA6fhJTG1Q4x+/guEeYgoGWfA30Bv65Z8f8PiP3fOP
x44H88fPf2vH5qjQBx9++wWjez+AtRELfaBwkHkIPA9WGPSjEGfvTbk31JU461w3dg2UasK82IrG
nLm1vMZJFkswaYHIoUSLXlQB5X1qGowkzQ9lUL3kffeMdjFqPDInSAQT0MlrC4Z+hIqlnxhQQog9
LFagE2uvbDFf9yOKT1S0RJ/bBpVqe4f8L5HcO2NIt2xw54Zih+ZKLEED67xtSwD/htniTmDk29tV
+i8sKpLVq2Kolz8JdOABM2zEqQQvcRXsLjFBoZO10Z1L5GZe6Zti74576VmAmqqNW2FIXPOrtleI
Ai4UgUb2OtaYvnLZdnUA0zCa+OKuhxtIOePty9cJ+9eZN2UJaVw4OsauKjI4xKdO5J8NIcMMVxkr
KdI+CuHgXdB41mRDhpvSIEeeI4zN4ZhGwNI3RcifWjLspTUHLm2GZAVZItOZB4wBlA0Vo3598qfy
xajpxvg0tUU9xCUOLvzZ1AOobGw8de5XPxBX0vRr7PjzozhV1GxdMGSMWTEHKE2wtm+iKtPQFWmk
G+gML+eePnQCIJ27wt9C+A8A+WzsV7congkimbzw3Orcm5HmDTUKG9QuYQginHafZiTmERjp7rLs
gIWBnJ5XyLaaZwMXWRXAm1l54tauztkYtnHEZwJlgfEe3IgTMbl5XKrimVlxRBp9XgzreUM6+MP1
905fvbQiF9BbDRKMm6PY92AD3vUQJnWsSCLjP4QNO8fEGE1BzwGWXEfiYe7co1cXJF5WAJPaB+YV
uV9k4CM7Ku0AYXTxbHVz64U9xggnN0rEOBwDS191IdS+pvKKuJFMB1NPAEWEmwyld1xXPGnSkWdR
YbgVMtQjVqlsNnIe+zPZyT4FVHxGawhsclTbyRCsb2tdv6z9/OYuzoNe1xII+4AEmS8T1g60SRxm
vITK4LZp2y5bAZXIh3Jm18V4PQIRBL2uRnGujsy8SqoAho8XvRrOvCGKmwLV8eRjKLC/d4UP6KpP
82bIljBKFz7dQOhxTL0mTN2c3wcRJMzBM8TJ3EGwxMGGC0i1D7syrZm5ZJNsExKWV2vZwlJQ3C49
TCEdIgDKEYMOQ37dVOvl2nsX0JheYlP6NJun/EKaOfZ9U2GMA02k8d1IfRbCTKKlgPnhpJrVUZSn
YQ1hyVMHBxZJdQpRqgunomD9oH5jLWRhKv2tJt0uCvmj7GoHK2a8RTJxuSUOvfM8s+8NCoyxmQGj
AXySWHT5vgZ2CcHjOV2t2WJaJl6rMcHYzHGFCEIAmZklAkM0GtsYUob7AnoxlYZFwsD52bI297kb
pX3bPah8gIJ2AGiFIETMTlpLQ2OH55upGc4k/LkA44hdPxRpU/TPS9TfSwsNLc/P9PJApnk7ebpM
pNveFmuURs5Qx10pL23f7KyqD9NgYc2AXdyHVTq3LrSbPLeADfC8LwfHgcWW91UZ5xDg04e1o+NB
LseBFOc5fx6w2WITFO+mVu/d6t7NCIJxP+N77SlmFzCclmM12XFJfescoDy3ncs+kRiPk00Da8Cg
DxFCo0e3ax6lAkLU0XN4JwGFKnWzKfyCp1AdnVI0Fc5sS+5CkR+9dr2IqERaMt4B3HPnKcVKjkk4
X3RsuihbBtEeVM7FYJJafHEMfxoXdhk6AIXW0YlB2LutOX0fx2BbQTiBlE5qzTdfQgm2c/g5lUPm
CCdD5yZGWZ/x/G3sAE+iB8SXHkBg3qLaQkD1/hiG//89y0Ci/e+zjOS1/dtdqT5PM/DKf6YZwa8M
JqwkPAlhEhIhOf8zzYDPQQQR9JAEfsjwmz/SDEp+hfYQzn+MXgKegaTDv9IM/itk2UPIpkcRoxys
fPd/kmbwH8sUDDm7hOOowASiH6Aa+siMME5ehmIdl52AENxt3UYHtUTjRkdo+YR2/rqsan3VZqEA
njGYWZSy3QQc/TMI3bcqtTUiHUhWDRY8eS7q+cUbEGcqGso0LEK9iTQ/uo5g8SyJQj7gh0cbuOTM
MQDEYHK5raN5nxP/LM9rfwdJ7xSlBJDlIkTIy8t44OpSkKCDSHzxpeP6oOgI/oucXzSKRRiVTU8z
1v9ult6xa9duQTMx1Lua6SoxZJZJCIGlQ90RL+0HiE2ibaDOhrE68ZLsYL/46PueC9myCxtVrpdB
VohcS+i+PZf1DHNDKGMzTHhPxYWelbgL1DDzFHJp2KTAnWAzWtcDeyxKholE6uYQ3wKEMJRhDyYL
k2c8pJsTOk3C/AHI6AjRaXgNocDoPMDcEwCkNGhaahLQiUTSAIBIJemdY9/wHamjHA4YE7B3eN6P
OLrqwiboU0Z4cOZkTVx1yLV8J3Bg9wVARoFWl04tbNrSaqyiMxiWDtVN4Rw0KykePnW8aP9/q3r4
oZbYvqtTZj78WFP8P1lioFmNaXSGcv3f7/xUtQUqDPH91v/zdf/c99GvJ011Nwh8eKhABfHPfR/+
GgUE9QcmGAMX2f2f+57+inFgipoDJQ5gOhdFwR/lBUICQkWITQqCBV7O2f9k38NI40N5gVkevAtC
iBf5xIP+3484D8dQYAhFThi8mxk6g5x9bXq3jdEISS00tTC2gqbm2qCqp9dDCCm7rgMh1gx+rF3n
HRVyl7AakNpiFtSm3KaVLv1trXoByLIB5ddiGws23q/BqG/Xpg0zsBQA/K+diWcToPneh0vKO1cB
6HX9w+z7Bygg+2jea5y0I8ykq/Co+hU03eIKDrU3udtHMfeLi2iu0sJLczBC5tupgQ4NKM1Lpgit
4mldMqz7PqVRfwfLrSqGf+Fy4hP4sdCLSMAFM5uQzletJ586UR15Od5WlkQ4Lqtzd5luR+BDsSrl
QUfNdtV8U6plX3pN5UAknN6VLb03Xv4keBDtWkkOSz9fQiuBJoXrvAmOwRhXmyrpTkmn6cg7JWpP
RwSTyGvQh8+7rVHd2RQRk7QjEBCp1iWRBSD8dQ50rFBEjd6YSE+B8MGKrQlaYKriZV1A2ZbzhMZE
+WDmGdx0APxxPQNuDscKfs+MPKmg24gguGoGc+k3QeZM0RWp0DAPCU8Qw9AXR+Ozsv0udAGJYLR1
A181SFnwactP/fA29x/E0LwgQTgU7DSP7z+vp/JHK6SsMMFEDwS9EEDIcSutF2v/oAUcaEPIJgn0
okBk/1oo/aV2nCvcDh5GHZ5XDbIv61O7dYEpZk4518ju1zXRVZn5yK93PbMFWgxBGOu+CkF9RX/M
+ueT9ECGzHObibZyX7gImrtp6cIvkDvEbSum37pQz3hRAcEQW+9LCvi2croUKpYdSpcq2k5E6nQe
ocdiywZO2h7S6FBO7W7VUGbpjdUnHZgyZSGoPqXLTNy18mFe24TPaJISJ0fTovqGxgSIkaDqGHBY
Ys3LS0WqJllZdc55gW67ZwE8s/GFhfq4BtSJI6DCCYDsDhrU3Vvr9jaZJhSkwvXLZG3Rz1AUlqVj
Dqh5urDBsqkGJP6oWQ3UXCDU3vplnNsKIgTQdGx8caE7X6fjDKbMEIZrkrv+S8CQ7y8dwKwqbO49
WHZEsF1IciLvl99PQb+6kT0DXDB7bqZG8Zyz8sZ0/andWH6t1nlnWnGnK/siClAzOj2eaWjjgz8D
cwrf7NoIJw6MztMGBHinxv52BnQV4D8zGXjIng2UvDPHV0lZsd1MqcAZRFms7dKgMBze7GQPVc2K
RHcKRrdhITDPh/4YpE537YJt6ZTRhI5e+a7FCOoYbHfh9OnpYGOafONKurFF/wRA8Nbx5tcc8RNU
JnJfMpH56PlJSr607XqM4H089WbvWaAWQMJ+byzd5hbACZKvL7OPZGA4deAgMfVEUPpvwq6qNtjr
e+FCtxtykuGWqvyxUNVjUDvzbizHGTAhfScFepShBOd2bO/QIYvDQZ63yiQAw1LewtuzcLwN07rY
BCI85m6FNpYFWWdeND+HwvJlR1owTYYFBH/xIFr7GPJwA6pGitYNmukjAk4uCnSOXI6eoYzdHrXf
wlCLVcON9ZmOwYuD3cLq31OFG7WDRLFM8PAARqxp2LPLzi4X5epBR8LnY1yRNkCbzoNXCoWsDcUU
fjiVt2DJoElYPZbBWmyxh1lmxmVJFHzuUJqyI/gA6LBFkFacebVbIsRwyMHorOHDV0yejRsTRN2e
T81NBfG+ttBeEhQD9M9JsPEaihgKWlu6uNJC6a99sAQ9CqmOhVkukILmaYvqNoamLhiFMnqoovwm
HAq0XifskaVtvy4OJ+F50dZdBcAkzNEytG8B+jogwQidBsosWWDAEy4G/UVSPQF6DjrEoODC+O59
JauzcqrQkDM280O7G+v6HN5PIH9VXxunzNpQfZl8knk9HxIEzoPUEsdRFSYETZouHI9kdUvM/DSX
5Ry88oJuZbuMieeg6ucmc9A6wknoZWtDwTThsRD2KigiqFpPX9yofeF9a8Hgo++wyn5HuguvmfqS
YNwm9occLdr5qKAEQ31nmyPWeggXMXx9kgH6zaiu53f0hG9dH15T7nhp+JL5kT7wMdrla3uxLh56
aG3+rWgaWMSwS8H03o9wPgEBKKbpobb54xKO+yG3Z0E0HGZvgmZTH2bYyq8tHW8qMzz3RFwKf3np
e3oGQOx27OxTWMIBACyVvei0jbVXZuAd7KcqPKgqv/bcFdRAM52falU5yZsJ97T0cr+QMDVeBNbD
ACiR+veWjsgDurOS650pMETSdlvMfl+Vyk9D2R6XYr2q4U4GZ/uHgdfnA2gDqw/rncbwXe66mak8
cH5cEQft+thEYl9QH+d+c8MH/epwP8WVnuFzlgO5KXa8aXeK8nuxlvuVu2lXt2dFuwYxzK1wQBap
N+SX4B5AWt55Q38TI5rACgVcZPtlOJ+CYQMNnataO9lqxKUNNd66PuIESDVkEWax3FSkOXen5TLP
vY1H+w0V1bcK+FUMWGE7K/fK4e11kLsXRe7W+NCO3eYTyDpiQIZSkhgSokU8ieG6JthYZavAGOva
22pc3rtx0ruu1ZiC0V0q26HbcNr4CQxq3bQS7gOC8aEF2xGru9rkvgqBXdqXtqMDYt+QhbxOtfa/
ydYpY2/EYdiqEhNjRqwJQsAFpA6A5SIexSEHrNIynBDeCZRCs/gq5yOQWSl9QJPFnOVMySwa+yrR
42Q2Lq/H44wTeA6pezV5o92VIILGwDDYf7F3HktyY0mXfpV+AZRBi+WEDqSWFBsYRRJaazz9/4HV
xYxEogNG9mz+sakli4THVX79up9z/H7w6wr+XWpdWhymNCjufZpV7dFiNWjXFBHEjPpdqi/Vh6EQ
L2vq67uipTI0xNeK1OJ/zKq+6urqIAjasBMGE4yOHO36BF5f0VKaN/QCAJx83Zbo73Zg2swQKG9H
QL2SS4PaLxBMLUtv+NrGYFrMAvxX0u2HTL8OVO2+AOg0gnh48sQ44SzMHhzKVCs9b5RNU+BL4vTF
SPNPteCWG1ekhgpS9VgV/dc2Lpq9OCgOMJOSF5WkuZ9EIqcPiKuLuyZjNQW/g7OqZve9VQLsaOMP
uZS5BzXKaY7tfvez5lPa+cFllGkOILPQu/My/QYdNWFfZM33MFUBN4LY2zrUj7aEfhrdFH3H/YyW
GLrstUEAYPJS5ZEgbRraRH2QCjGwK4Bk96pZurukBYyWdRTK1EHmGtXp1KDnirCWqzjblGZvEb8E
V53ARRUCpwzKgrKgWPtcVYr1MdPMcC84yV3v6hz6wjPXmpUTKHlQmC2n/VKaXnLrKn260XJQA7//
YLzyv5EpTX9U0+fgmzfj/5qi1N8vP5UUzX9+MT4WX/7Fve69fzGO/+6fF6P+F4kg3VApPIF8V3gX
vmaKRoFo+lLrvNsshX/zminiEceLkQoznDq0TX69GK2/aG7Ja1alsaEFtRRLv1GQohH29MUoK4Do
eHzSZkCiOsaPOEUGqGlKJ1WxFA+uXAr3cm6te59mqlJefcrq9FGuRJ2Ltx48dV3JEgQbo7KQ/g2S
Qb7LHTf9ZlWJ9L3NUmVbZQAYSgDpa2BB+kUXu82xDUEaEpDX3rYyWuuHVSok/aWyzbaZV2k+GP80
K1YJXT5GjDk4Klq4SUTsMZWilPegqj0kFs3eqPdA+lzphaCAPREFBagEQOEwgIfmRAWxGNBXM/1u
NRYKBrx5RTLvUjSmXIdwrSVyRtpaoGQPsueQh6Z5SJT6ax3LAt9U7SwBCN3Fz2rdpmu96vuNVoWf
EorIdq3wGgQJXdmSGMpHVRakbZlWaEc3jkmprop9fFmQH7OklK6lKm8vNVUgjS0XR3C8gOGG4jYV
4lsSaSMMPHY3PaC/CLy2Lgk7sVGo/5hckTAaevJNqfLQWdltJtREpqGb7QT4FDdSnIK4C+iGtypB
h20cALofCq3xDpmSwrnQA+uJ/JI3AKWMTZdYqerWdeWaI0kiu8iH3P0QVM3wXTScqgGqrRbZVR4r
LnyHQn1Ja6362PRKuTd4V902Wqt/UluztcmfoUqgC8ZVYSiXVVF+a50u+f/+41dReywm/2cXssJ9
/Gsz8SFv/u0/bsT6S9FxIOSIREVBZ//VjZg4GDifMD9lFRGdk8STSl2bXBX5SIQ+QJfyU/5JPCl/
4XqIOkg/QU63aAb6G25kWtWGVqGSCse7cH+J4s8+6SeoBrlujCikqAmRK92oZC49eQDpHW7Uodme
TM9MCf0tk5ZHKaZQStDR6ZCZC238KSemJEFwgnSUonNa4DCemqzAqn3QkmKhfcacHVLnBrl8phBe
/Vs7dZYP4C6b4RiXNETwrO8ypazG65dE6WfsILVCOhF1ACSsNJbodDxm1okusGbxqLjBfSZHj63l
b4B5/n3CuFvnkQfADPjQK77n58ThJ8hxA2fgZvnZ3v1k4pSkiwLeNO2x0ijWIWcFSI82El7coK9W
QAOqnOCj6cTRKqm9C6FMNWBucb42QirMYQpvIlaHZFsB98TdCRrw5Ch5huF1R4BC5Uqh+3zVND7R
EflvX42NVVUNR5HqJGSPMlvnFCCJisvxyfVJhfuz84rwxuyhKbgj4NQ0Sf4ZmXSTjX1p647Yx6QO
Tyf7rFwLrVCv816kA+dYQWzl/ENciR6MJLXkSR11WzA76o7j4K0tV3jmtPQ7sEuXroycejZowYEe
mLyC+p+Fb0rVnnZVJPEx0+ongPDmJY/oF8M3iosoDOpNLAXCNlS6dh90eX7IEyQbBNzjKiMj14jC
j1SjDBemvkMQhtyJNqA4RMV9WPu9+hUygS0Z+UUE1NwTG2OlejHtDoNhZDnA/xgsvPjgEqi18Eqq
MXuUR/UAABgSltFA3gut9ENlFfdiGEmH2gBFXnaVrTQxNRdJvmhUrVsHbdCsoJJcBGHyoKlQeXxf
Dm/1WFOHVWfp8VG0RpZW5tmOqSZrQ1XX9Gc6BIOmkOoBydHF+nWW9tc17e/6ofyaSM33zqqiDU+H
eCMk8ovRxBeBNoglSBNDfTQ9Nf1WNLG+zmmGTafoQCYPg+jakMj7WtGPTRUc5Kr5VHq+ABvNkwAl
e0Hr78VO6jcdDMIiy68cVfvaCrRR4ek/7LORN5YpfXHfhoDIy0S/DxXB1is6FHudxGvQKSIakRgS
2RNLh/pkFde55pdrDRbBKvT7GJCYQpSc8axALSAmTyNdFtrQwdNxap5oAHFKdpPD57MwajdmNzyS
QL+O9OG2DrthneYJeJDKYX+RM93kabFLzIZl6YbrrJSOEZSodWUI2bq3MuruIdBWxaACXcKuQczE
XdPzdu8aCU1B24ve8ckkFeKWothl2LqfK90D+GDJL5Wn3wldN/CYdZx1I/bfTLH+4RbZJtGj/qq3
Oh2JmWRbaPljrkZ7EUAzGAyYuKJLS3MtQSMolaofVixLl6WKcAo13q2upZ9rJ4wPiY6shSyQmIY8
FJn1F372VyhWOrGVsW764MXrwwtQNtkuKgJvFfMM3gSNla0ter5EkhfsZMW7KBXSv4r1ErbBfeLl
AuyFGmKWVe+y2vyk4zGgS8RkVxKf/uSgDhDGQ3vdl57TPv3c9WK6LWL90te7raAXx6gynrrAK/fg
mj+kYpms60K70ioNj5q1uz438lVT0JKlEde134eAASRysaZ2k8nZlWLql1k9Jpck9WsY3WiddieV
FORgCbK0Q66vO8n/ysZwSAV2I8MiJCdOSlNWjNuya8o1BQ53bRUw63ojbjeFpH6nTPiUi0m2o6Hh
jaDL114iXEsKcsIqj61Vmzn1SsW5rBPy6SYZACWKxK1oIFglkoFfd6orbAoZuEQoyv4adl9JiQXM
fKaSNZYNeF/UHquNXLXZPouaeqX41ggeUgoSc9pzn4YIT2oPyGoaG5pb0DEv625No8p3YHOfwoCI
XC/KiwhJrs1gUu6kySg1zsTadoJXbqSxu3JOxMnrOUHXUSm9dSE4F3E7RAj3QGo0E31MEFA8Bfv7
VADiKJ2qJrznj9nzj3Hu3Ce+hr+MqoakTuijmO2OqHtuOmDysCndQd8VAS1SVI1ipkQJQ03VsQAU
ZttGMPHSURfZZTJ8Fnq5XFmhAhDDYobbmDl0k6h5ISH+qaxz5SBobXEzAOBdWwJpOporsg0aqbkQ
ITh5LblzYCHkRgZf3lquZey6MvGoJEkvZq+Faxqf+asicXVbycHmD23T7wBw93YZCLDgBBxfr9P5
DID+98YMj0UJDzg0zIPZKHcOWI11zxz7jmxtfFMgoRLCyU017YB0w+dBFQcylajgAdiHjCleNyGP
8K7K+03bG8I+pqhG1SYfoAdAlDaUbGeA49zEqhruWmhjsBmiyg4U3QKqLl4LYWML7RDvKJqJQD3S
GOkKU/V2eWFWXHfJzm813lKwZvY6kiT4kgjSBu7dNlz5i57gg10pCQCGFfeUmP3LpvJ4+Hulvlbj
6lbj8USFR77sW8u4zAV33+rI6yfh09AUw/F8yDUTOegyOSEwYVQ3IUG9DVGEgl69jZ+Jx456RY4Y
h2wMC1GdNKoaTKITqpljZAICEz2HSRgUkqEZ8tgbjlwbLiUMpztYXnBJN/vAzqvssx755SqXfPFS
lau7kHRoUvr/bjPz/yae5WeCAsLmyVqO0Nw3kNn/k/xr739J3HcJip//7p+XhUYNGqFO2s9rJsJR
JwkK3g9IkhmjkjUbYITnviYoLF0m5GfBVImiM//on5eFOAJwVV4ixF4oxhDR/sbLAgmeyc6gmE0c
zq6QTGRmQdy83X0q8DipjCGsN5XpHaWsUO+DmDZKXYPPXRk+AmbhiKYwjULw4bpbYNlk4TYaURcp
CriclxGKobV+pW6EjhcDfvInXMMImsMwQjhc75MJpKMDfGiXBYkIxYLO0wLvWPGYUVc8r+qdhHY+
gJ9wlTahvpfrQlkTSEH4IawAjG58saTC37qWQEShdZ+cIbCoTAoNxaD8g6ITItMunsp643wxzeAp
z7utJXKmywLydmAU34QgGtE5dIKvjMjY5bLb7kNXihKa1KviNQCH/opuez4kx4RY/FIJQKGk2kMa
1PlRc/BGaSoXNkRvQiorb3aFGVePvqL4m4o06+UQh+62I+24cTMZar84VA/FIBjXYq7Ft1GdeUcj
kPwLngDhMakH/661kOk0C2HVKZB9wpaOfpT1QmKEUKW3sF+qq9qhAg77wv8ReBl/J6U6HvladI3i
VHgR9qa1kSlKblTF/FaaFEyGXHtQyxp9Vq2OLtsmJTXc1HG77ftOexr6mixwB8RRFHicSJ6hPquR
HocrK2sl2rl7LHQg5C/wZx5K8LSITSSU6fvQNmNN3oK+wku6WroPFE1Y+0UsXzdaF2ydSHcJNAPA
TYp3aYrhcUh0AAlVhg5DoCo3loq8AImZPN0D7vuiCN9LpX2IXBeJurqMt4gc5191NytewqEypB+Z
rvYvvaFXn4m3HMQLioHcS+oAkt4hwOivg4paNXIYVDsG3XhJOtO8LLw+UNZGWV3KED8dqgaSeAOt
blCfXVO9EoxK1m+6LHa2jTIipqX+RQw1oiuQyOD7GvXvR+7/BYf3Jmn7vw7oY4F7+c85l/WX9F+r
Oa9Ir+jTtC3OEDlpY0Tu4ORe8y3aX7JB4fBnrkUxeND/2ynKyl/8VSgGJGdJh0AV+McnyvJfqP/R
VAzcPxigkWDwGz5x6hF1XiaKSPaG6xgcoTZJTSCkoUmFTrghRw9Wdmgccn5VsTJA/KTVBW++BSW+
aXZnam+SIm49jz4XhlfZdDMljAa21yXeAAYPHde0XBB1eotgAlNJEADNjuEpEkWOMXt2mg8B5IOq
SiHWNp3a8Ttej3q5cmt11aUoQm925M3J0s/kk+btAZk0ZF0eu/q+tdeKTQj0eKhtxOsy1AY+lLWt
ClfuUv7lzS3272FxU5JtR0tHNSYxFM3UOwBICiAMOmBtg6fzg3i7I95/fYzgTnI7jgzPGzRYbcdx
dudLY2BuAFjs7Ubut1HZf4prUfhNSuHPhToZEbv91GYW4LBbnRGp8p3kPOnrIX9OjfvzAxs/8hoW
vh/Y5PIXeTTkZCtqu9BfPBL6sUhOMX48b2QSfL63MtkDXgjXAPH12vaF4UH4CZca56sz0DsqSt7O
RnKb5PmFSHvleKipu8nLAq0jNO/cUCenzI/p7OxRk7Crb6XR7B1d2Ce8bHoH+KlH1547CrNUUpvD
+cHP7n9OHfxrwm5z9HOnyygVaivT07q2Oz/ZF5K0oYSF8IfGo0LaVP7vtvv4e9cQ02nEcoB6JgDF
Bs2khsimsdNIB8FPRxHN+i139c9qvpqYjIgMIp03Uq+xM/O7o4ONj6/M1ttm0u9y+X6OZWwHBuBz
5J1Otk1ThYnfa2pt19C2nNDZxFDRi8GE551uz6/SWxf87zGdmJpsDkIROnsSdNk+ADSR5MgQevRy
WCW5v5D3fqeSPR3VxAH7rpzqIJJqG5AeqTYnhKKpGntN6uw0l+RV2WsPrvQltIRPWdHed9GwN6AO
HYYmt9XCU1a9Fv84P/qfu+L0bAC45UgpCoGTwmRQrHizSd1Yd7RWDluEzRDr+Ro4e6tSFqZ49JFn
bExl3VsFaLcaBa3degg1Fa15kRXh8/mBTA/bz3GMLxlKGCI82smO0WtqxJkTt3aJCAUaXyuPxCh0
dqcU1r2iLVxt46y8G9GJtcmm0QTZDwcFJSYhDzYy3WAd4VnM620jhivPay8FvQFTsGB0BDOftTpZ
q5b0eSYUaWvHvIfWZWt2GwAXyNmb6Yc41W7bgnS67NU7xZfKVSQMCOal9dcmaPduKF+m8nChDzXU
oWa47RAKKKWq2Ju9+ijG0YNkwN8aOvOThIqRUhhPjpOpB2CyCz5keu+8XSh4GW83nOaHZpAoLJSX
3Ij6B6ComvDb/cTGTf1reagyvbXhyUFlOkHUcmqiaB26MZm4MFlw77O7GnQ5b3WKP6Y+DvQkMijL
ZuhA/9Fg1hM+mRHZeJGZO7+rl2yMO+LEhuHzIG7KHH0jb6ugmI700EJQOL8cr6OYnBsh013Z9YrW
BjvQkS1covUvjWByUlTHlwDL8X2Vp1fJ0WzNhTmaGwExOzRntEok6rVv5yhPkq7qG6m10VG+L+qP
Odlo6mNLV9L4Q6dH/tQMGZvTpWgzM22l0YxWIPyXydZecT9mvX5fYyqRNSpxwcP51V8yOYlsXcWo
JDEX0XvrbyTzqs71DfffJviRyt+9cnfe2JxzOR3fuJAnW01xLYVGVH1rF2W3F+vqNqfp9SrNkFaX
0LFZCHHn3DVkcWqllGfpGPHOlYEMUTq2hZknD2GmbzwtBvk4bHOxsCFxH88PbsGcMXE6ElrdWqiW
rY0ucoE0eCYRVXT7SAnhNiu3btx8P29whBHNbJdfAzQmu7JTygJ1uKa16x+UQzzn69FRpHX1pV4Y
2fwegZYP5Z3mJsrk/PZxIUqGgZ28lm5zGb4GkmQXPP8u/Tpo12TdLzMDnMn54c2dasWC5IpJYPzi
xPcZLpkwYtAOv7Rxmm28FDG8ezeMt4QqIgwgUV4nPT6ZvsYpYpivaL34AmmiuhBcCMPqF1kJn9QS
Yavo0cgHD8k/H5aKHKIX5ijP58c4wW+Z6P2//Q2TEz+kljtI+UDTN6F7Luift43pG0XB46rNhXQl
ydD3m6NglnbSUDj3i/zoRo/a0Nyd/yFzk306FxM3EGaejpBs19lG6n11Gv+prH/37TAd6uTwy23b
lSWvTjvXiuMQmtKK9Gq6+YNxgKoDFkOOx5i2duIdiMRjODaOjJ9ReUNJ77/7/ngkTzyYq+tC4tZ8
3+/WDfnThXtm7kSTffr18ycnzSzNyNcrPt8Oj81DeUySh8W2znN32amNyW0JvCCF5cR7gFZeyGG+
ZO6Cu5jdSyeDmPhdUMQ5yU4GISIt+CR9P78Csz9f4SUBTU/TUdd6uwJlXhWxlqad/TVENONLlO/O
f3/216ukeRA1IfKaCvGriRtmbel3dtVIq6a/9N3hT/bQq4Uxa3m6h0KtrlKLTol2b1BwhWMLx765
PT+KOZeNQokJ28Qg2zhNMoIIHYKwiTq7MZXPg49mW5vtqibfRg34h6D27ktzqZnE/My92pxsLNVs
qx6SGuNS260irySU/M6PasnCdGchS18MOhYoc16FDm0YwqVbfPZSPZk5fbI6ddN4MgBxdi8cq1Ws
wwwWPqSg6hO0KUMQXnVRboF73+eDee81ySbS0IZV8uzF0ZEB6OVGWYntQgS9MPBpk6G0FoxcyRl4
i9jEqvtxfloXNos+uYTS2qW3VseWH5T0c14SkrmldAd65DFlzGocf3U/nrc4Px5Klha5q78ptadH
IBeRtFASjVgJ4imqtJvI/XDewmzSgVTDLxMTVxpSupezSG1tBOTXILj3CKitklbeinq+svJiP8rK
ZkaNDJ+4OW97/PQ0jD81PT0Iqed3jiS3dgpFUq2kfV+PJL1uI9fmOtOsw3lzS5M5ORXpr8m8eFn4
8tIkTpslvK5T7H4QQ3WTiXCOjd2gSmsNFFTbK3eFl64NZBvPj2n2InxdvVEH6nSDiEpS6k3BBtGr
Xa1fO1D+7kRhIU2wsE7KZN+rr+sU+tnWa6sLFNTcdaAZ8aZ3zS+SlC1N6MJaTQWkUrrz0Zhs3Pho
rSiZ/twloE/CUDUvfK177IduaxpihwCbf2wHyQF8r10riXLfOICriiVvN/tzkI5HxZX8MTJZb6dZ
6T3NrzxkerpNvfmTkPLk26Ptk1CpD4NGy1udJWyNa8CLX2SGcX6XLP38yROhRFO9yJArRJFXd9ZZ
7h0VlQTDeSPzh0Cn8Z6iqND8IPm/GYg3cq2GVkDLSFE+lpAIgKEVF1J7qavwRSXr0siuE6svISwt
1TZmd+iJ6cnRRl7VG+V5OzuhredoabSYIpMhxoBaAUwsDHXc8e881y97YMHfDhW4amsq434QA1T0
B3YjwCU4z4q1UxhckAITCxt1WEMqtDUxcdeZob50Xvb1/A+ZHfdYvDUA+fHwnIzbyIs4w/l0ttML
Ty7sZCiWAwLljXRofjYhKJe6qb7vAzK+xF5NTp/vZqfDptTyzrZq61prFVDwQKf3ACHBMFc62I5M
ywGnKM+O/M3zvHUoD7s4lP7kpj/5GRPH1yhqDaKu6GzJ+6wE69p7Oj+z73UpJ+Mct8DJsdRMemc0
XUL436KM20tXnltftOOkgiA6GOM0m6P001Ai2CLuBtj0gpPy1DHzOzpT/FG4bYlEAZweMuuT8WaV
XJhuxaswEG8FFLuIiM8PeNZHnBiYjLcXPctpwBLb+XOArvpv96wdp9MyFMSEaFDzropUyrS2i72q
szO6lwyiv01h0UOjOD+IUd3w/cE8MTPxQYMlht7QiUxTXdsWKQEv+uJ2MLmsuL6Ty36b9c02A4cs
ZVK4Srr0ykyre2PIvmlpn+xF8LnrLLW+KlH3La31e/oE9JeGK2VoahCk8FZY6rg9e4Of/OLJEc6h
zpuF13Z2fHWUj/VBvT8/JbMu4vX75sRVoWihVm7H9zsFZjJUaHRjn/SFzTNO6zt/eGJksjvp5eTF
w8Dq+pH+olRGQUvvxxKdTMHSj2qMEHcSffjvxjXZr4oOARfkMRvKOKRI+mnwDQ6Rs6bpwnlD4wKc
G9vk7n+dQFf/WFSbTnpOeLTJIvhNHb4C2qb6UsZyyeQkJJByaN1GUvMq3ej1ZYJgG7oTJGUFtDPO
D27u1GtAdWggIiumYU4igwByRdSpDW7UvBEC8VsRWh/PW5hNH8Lg5AkD79IA8PLWkRolZK8MwJud
tS+amuycW9g5Ug7J7qnwqe0G+/MG5/biqb3J5NE4RaX7BvYUCYmrlI1hjcqbTbkp4BY2Lu1Xqu7x
vM25BTu1OZlGejk5HRLgXBbIwljJoaO7kLRV1c+B9ezrC41lZ6+mU2ujSzm5mhSzzVXVZes7ufex
MpR+h+qQuKnzykKBC52LotH2VSiGe5+2U6CmUEHUMzACJPrLTeMm+b7yl0pw4xCnx0STTVnXTfRo
3zVfRnK/beuUaR8SVInbtaM+ecZCtmZ2t77amGaEEDcwCklg4LK0oxfJn7jKkyFYEy/WURn3a5ch
dLq/fgS/tB1S4PFLkKKlUUw8F1XEPiu70QyteFfWv1mm/5EDN3ehnI5ict6iEGi82/B5XVs3HfVj
Gn5Bx12ZRrjgGWctqSZJJPDyKu+it/vQU+u6q32wBEinRjslXNrn4y99t6VOvj+5zAORz7uNB44A
5t5Xg+ukLWkEVZkoexoo/xdIX4r0e1NjL1oXeYTGV+Pda5aHXIIXOgt33OwZP/k14/8/OXVeK9LI
p+XXSF1w7wWw8ip6ZNFXXVx5dbAGIXJZW85GHc2f9y6zG+aXZRjxby37cO2iMPdb20UoA9rUvnDa
PzlZGgD5EYwo8oJ7a0KAN+2zyo3d0LDKL6NNkFSH86OYdRAnJsZRnsyfNTSSIxQOjJHaPOjOB8IS
Y2WqMJ7O25ndlSd2Jr5Ydahmmp3Q2JXVPYhVsxeU/lDn+ZGk1vUfmDJ0xSAuh88xDcqdLrZqT1Yb
VK1NO4Dgj9L1RgiHg2zFx/OmZmfvxNTEaWR5nKKIajS2pXWbKNTXY4suB7WV82be4aLG6hMwr19D
mmyEOi9j16/YCH7Y8ZiRjGs/I8Qp/fy2Z4dTyIQT1jykzKXlZdcwrhFnSolQFJMOgYWR8gA09Jfz
v+rno/KdJzj5VZO9ow0ZiQVfq220f4FegcFSWtU/tKCy5Fo+VmX2gzD3KSE3tVJTKKa5IiEkWUHP
0nuhOyJdTaOeNjV2qaxBcdWGi2YwbuouuxNV79rznH1P24xVUAkqAj+GCVHM20KNuI6i9kJzaEWT
ZS2t/LpghLMXezHUv2tx/bE1ygeUuG50B6XsWlauNOGeJ/JKs/xjk/QbKUS0LabB38rtU4R/JFRr
+ioddtJgSFupD4bdEDq8X1HG83Oz33U+AoIuimSrKM6bjSq39M2QAdEHJuxU15UUsqRatq5CaV3I
2sdQdo6GXHufLDpEHZ1BCe9QgXKhPOrF3lXoVRA00l1nigtR1tJ+nJ4y+rv8vU80FMRQE840BQGy
JZjVrOczFZl8Esk3/nvrM+BQyoB+OWD+tnyqlp5es5Hiydcn90vYFWUviHzd6ml+CC0dDsT3WPpS
wpQ9v4GXxjG5O5xQqusywlL21d0IC6mQ2aV4Hca7F56U9Hmq8vFjkOqo4qMcJC24hXGe350/C+0U
FcVN0A0Tr1C4Rqx3KWg3YQSioWLy1MDsheWiCjQJNT+klhP+wZTpIGcVU6KKaY40g9PrAvJgmog1
o2qO9WeagJ1fkLnL/PTrkxDaD0zHzyq+joCTKH3MFF4KlFda3ll+T2tOtV1Z3sN5m3ObQAcZggaq
iNjNFB6SVmZWQCto7DqTV7H4EMQLl/jsU0vXZVkf50uUp/dRPQxSq2RFYwfVOvK/ZNItvXBEC23w
z2p+BwhS1xbcwNwROrU4uZY0VzbLQaqYx/B7lwvwUdOd58R2QAM3ymU0R0sXVm52Fk/GONmKghL1
CLZgUVxb6Uc/+3h+kWY3xsnnR/MnUYpbJhaqgnljQ9fFQayDL4N0iPObsWfYUlw3d3BPJ2+yxWMf
mbOyLhtbrQ/d2owP38+PZWmqJpu8RDa/aPW6IUcq7nKrXYvW5/MW5kdAyxD0VUwTLbG3sxWLgRJp
fkesFZc3VSwcFEO+KpR44SUwF9LpCK9AKgKARBbhrZky8eUkNn3cZ3rDK3sUTLuy6CLLny0codkp
G7k5YGJ0WEyTJXEADjZpGDNlTvQJP3ddZkO+4NlmR4NwuYysi4Ig3uSZWaD8oFSewqXmj6oeTkoT
ZceOvXzvuEhd/sEKnRibHNAsbBMpH4012bBP6dxW9/daVW/+OyuTQ+nIqHyoOu40t2LU3gh3knQg
ERgdztuZXZ6T0Yz//+R0dvLgiJ2nNdQ7XFuszctqqZX63E1HBxxwyiNJG7rDWwtRSi18KMVmrCSJ
z9Kw658EqJuQEM6PZO7knNqZxB6ZL3elKmGHHrzw5T8h+X7ewIxnpkqAVBF6SRLS9JOdrJt578bm
iNqjJwWsm007BDsLOgodGAP5SHeI8/ZmBvTG3sTZ5LGRqoJCbsbT6n2RrHXrh6At5WLnnidvrEyW
pwKO9HcGqDTSoxw15YWHUNkaeaNVpz0lQlkiXDzwh2GOaE5Dt9QsuTKF/FFOEdZVvMF2HeP3N+Wb
3zRZygAGQByiQ2bLfXRstSdXiLfn53bGY7yxMHGzPXJQJG9Zy8Y5MsJu7OFntOSGu4VzPHP7YQgN
P5jo5JCmaYDEanJT9sljIrW8rgZky4t+IyfFoZU+0EpzxW21M4UlLs7oHSbR5Rurk1PN9cLjuseq
MrYQFtobFBiehS5/oWv1PincbZjQFSFF01dr6dqI9o6ot3t9qao7c/Tf/IzJiRkQ4Ci6hJ9RD0RK
QK0xYmFsGK3WRRIsTPb8qr5O9vTEiAS4iNqRGB8VxY1mbH6e+Bs6NPJqHdKP5/fQ/Pl8tTY5OQly
2k0/pqgtwfZ0emD40iYWguN5K+NSvVvKUXxLFNXxfpvsVKn0PLEK2Kle034v2vgij7yb8yZml+nV
xLQA7aQF+lUyA4nYEWaa3tS98qV3tE3AKVyVufRy3t7smTixN7muc0+SQyFkmWJkjrnnNgOO1JEf
MmNTq/JBaCz0fBcO/JLNya2tulEgSUjz25ZSHHI6XudMZRSLT2i5BKuM9l6rUEiugWb9l5M7uchT
TSLDKZM8lqh/xpRngko6VEpyJTuPtVT+d7tllNc4vc4RsqaPE0lkW3Eefa85IF6x5FsWNuTIYz81
QW9k3xwkZrLvVxaKOgJq7fFVDJ/cv6qUx/NbZfaM4YkRdhkv3Wk4TM9WEclg0KSGG9n5UG2N6MH/
dN7G7PZ/tfEThXMSAlVDReZIGtGjxiYQUfOVbtN76YcVLYnVzM7ciaHJvi+NnhKSyGDQj29ufH9z
fhyz3k+VRzUWE8WAaUwPHyPy0hDoCgC2fRPWmxI0gG46NH1YOEyzAzmxNLmfEcH3dfqX4WfF7poE
2cFErPn8YGYX/sTEeJ5PFkWVCyEMekwoTn5d1P6+99CQpTvxeTPjL33nXV/NTDM9haQNsZCymZMi
2bemvumCet/0/g43sY9p25HKwv15kwvLZE52QSIkqeGYwGB88aqJbtxu7dYPsfL7KSwIr782gznx
d1KRB2BbsKL69JHee4gvirvzA5k9N8hPIvJDjyc6Rr1dIhRgDCMvQ64NDWVeKUcO/UjztJ2aPVZL
vMr5Hfdqa3Kzx76ZSqUTsLef4pu78+OQlz4+uci1JKYtise5TDNEaeSuNdbILhbrltQ7z0oagJje
TSBEu7jrj6lcHfWkvaDPEzzVfVfmB5VLI6KPixIJl0UQ7zP2TJynKBIP0dh9sdqYWvOI1HF5OP/L
Zy+1kxWYnEOnsJzUF5iVnAz5mmLr1q2zH0WOErFiXEm5dV/kw4sVuI/n7c6fmtfVmBxOhH6LRqbt
tB2EqV1pn03K5HTNOlSqf0VnHiuASXTe4sJIpyTrpI07vynYa6n8GGXNTsuPpm/ts8E69DE1iFqi
o+hCKmZ+fxMogwNEQHeaogVHHagl4GnbkfK9SzlBbekqBPRR0oRbpeiO54c47xdezY279MTj1Ubb
OME4qQr6ZGoUb9ImPpDl3oqutDCbS6YmJ7fKmyiwQkaGOhtNARAE1Mz+ntZMV0pJX+rz45o/Xa/j
mhxdF/0ivf95dNmLMnvSo6XZwtN8aakmJ7jMXDNCFJYgmQ6Y7qFMfmQBcqlibNf0aj8/nrnNjyAu
7EAZxsm7DJ2ahI2gj4dO04+1J23zhoS3I29d6V4Ysk1TW/vzBucm8MTgND5pHBpZ0PuXfdj4yDf6
29pZAlDMjokUjQgjEV2g6VbPLaVHARcTlM7Wcq5SV/PGPghG8GPkmA8oNULOFfo/WDZNlQjvqJFC
M5/4ETqiZ4h6YDZ0krVQ/aATzI3cd6QIu1VDAuL8PM6FFCfWpj5kVMSVigI3r2c7Jdv+D2lX2msp
rmv/0EMCQgL5Cuzx7DPXmeoLqpF5HsOvf4t6el3sFAJ1ta5at7tLvY0dx3Ecey1VfYo3JCztq7kE
6Wgf4lErQjEdJF1yCJIAwL71HlOTKTid1nXRlgLiXJR+HS00FoUtnbzQrEvXKPiO+danpAKQZZR1
94CJeEDn0Klh2oHAoLzPbppycC2BRgElfWIj+4JKc7QLssrY11F61Lt64xOX9iTGnzEtB1AmsBJI
e1IblbhtfaTVXda7rY+H213ZblV+l9f0txDpBARZRwuqYlg8AMZZ4gnDHukN2Iy/rJt7cQvOdLl2
1PXf+rVf5ZxzZhhdaj5RAI7I0BCCkSrwIeHoeSBa8gw0V8yU1Q8YjwQ3cO/vGQfXrW59XRf+qxS+
JlxyUaumIch2MVLgp+CKyWMn973vSkOO5agrriDsRQkv8WRI8C08AFDIUTsfvDA+sGpJJj5MNqp2
D4rYoEUPcAGqErsvkwMQHe3Eel3/2GVLmRNCPfA6wVMmfSzzo0joBoYCdHRCEMv2bf9TfkkvD2nx
rjcbMzmLrjQTJu2oAsxTwHqEZZK6stuLMM9jvpGUL26JmQipFlA1Wm+NFPpUZQbIwS/MetHRND1B
IbZiqx6+GNNnwqR8gonKrCsN3E8aP9fjURluwKFha2J0dHQ0iKf1tVrqE0cT+u+1knIKXY1BPxrD
fBzP2B64QMDEnD56fXnB48hd09b3VgqGGdEaL8LrFddvyRHzwN+DKIYT6j9S61W3RlDmAZTWaXsN
RV/2DhgvoBAXFZhlY2MjPm16l5yYcLMYC3A0nfsBc1CACP8wv4fdg6if102zEDw4Bjx+ka8QvFVL
MaroLeBY+1iICs+3WgcavMrbr4tYcKwrEdfx6X+MMkcFT4Vjubn3Mxqml+KLau0Brr1htIUTDliE
Bm522JEMFDPXx45Rxjko9Eh/HhkILtEKOz1JJykY2LyN3ODXDJwUqa5ESf7rJWGI1z7o1KY/OuQf
WhY4aROUbmk1r1wDE5aZ8/sJHTyps4uKkRU/bE8pJRxEiNXF16J8jxYqd0z0B501d5iudTyr3yVa
XO5Vw3sKS+o7HtVvlADU48j2LrQARvEIpD3D7w4hB7B5Y6AnoygP68u1EGquVJP2StcZltAKWDEC
iw64HcNHc0if69w8rctZCAFXciQPpyC4jHBvR5OJdeoZmABcoKzeBekZsLDrkhb9AojXOhAtfvVK
XPtFGGDXmz4gSBjw79Bh6rJPND21+lZ3/ZYcSSMrVqNhKCAn681Hi/WPtaI/d0Gxr/KttHtLlJS/
WEEyRmh9xElZgcNSeIcaaK9kzAUggdUtmJ+lIbCplx/JN9gqgUEnbawiBGa7oYn+3OSh7ozCPMV9
9aziWXvXwC+y0QptEDynmERrS3sYyB0Ko7egDq039t2ib84+RNp2gMA1ogjEpmeqjA5a6LxzTIK/
iSIzGZL/m6A8GC0VMqoLEF1uvPAQaRun+WLQnYmQHEXLLSMa1QH4VU30BAd5MIcNQ21JkP2jU0Fu
JaBEG4sbQMVb/ka2sLUS0rnR1BUNkxECiq8Oefi+vmGX0AauHE46MoZBkBD4XoDGyoLBVjBABroI
cfMLPbkCvy8dlB+cpAAdyIy9pvMP0hXfzAEDkU1Sv+G58N03+AeYyDd8YzFm/bNwePW6jiRdaQxe
OuC7xrZ5rvrRjXEGgILrOzExCfjYxvnzuiXWzazLCFsgAgY367SO/K4I9+wr4+66gMVAAgBfcGv/
oiCSstiCJiQxU2BrEVByaCN8Pny0fO1TYW5osuyRGB7ggKDBCLu0pIDZVhh6dREcQ1vdgWlnXY+l
hAku88/vyzP5StT6g6k0ALe7WLdpfmfe83sv3YGvzTaaw4aDLlvttzDZaphBD0MOYXp6MNwhPWk/
u2i3rtGyr/2WoV/7WtYh2HITMrAqO5PbfATfblkfaKO8G0BMqHC4/DeJ5Fpi5DFTzUssEZoubtvc
iuwAuwjv4u+UFm8ajW9Rat9Yt0W3QG6uauC/0pjct8JB/RJ205WP7h7qjT6yrd+WwmzYoIU9TPDb
leYmN9ZWoXJxb84+XYqxcYIhWvATYSocJQS9uzGM6rLZpbClgxxnK4VaRc2xP4GxrtXfRrCW/sWq
z9SQNuaQR0ZWjZDgj6bdYdB4NATGDep9Xd6ihoP50f26wA2V5Bd9gdKOpjeTSomTB68selz//aV1
scCiZgFLnP/Z06W0QL6PLUBQWtr9ANqADtDefr710jyFevkGMJciLUxBfL1MDUjxFfUBKMeYJuCm
ZlNcmUXr/YyZauwx79VgIFFRtspXS41R0O+3jtKi1SDjrVMV0gsft6o3Xzsp3lvwpX7PEyc7Fke/
O2ZfFSfed+Rt3brTL6/oLQMB9ULD+ZikCH3+bWWEtnHA/Pjg7Sx+P6qndVlbaso1ljhAb7sFcqNz
apotZufA2t0mpLR73j9Egb8LsLPLSk1s4NziGZF9Vgbw+WIJSAZYOEIEAbmuuZH6LPVdz40vAwPx
sB1J68H4qe09Bg+s+ibEPiOPwl1Xf2mjAKQR7HaAWOeq3BNvdUAtphxJPpBg431Njus/P8WnP1fy
989L4bHSgrGILPw8a/lObfKHrAdjmYLKOjPuUBPY2PbLjvNbnBQuc156g98DtDWwqmMda/tpbFWA
K9gGe5yjqfkxILSxOwDYbUS4SZE/FDUnfFJ14m+RzxgdTLZ+ZvoA8wwL8FdVZ6N/Q8sZoJC+rFt0
S5BkUdF7Y8pMzKJ5zBUa0GM68C6FL+tCFr1ipo1kxzItwhQlG2z9fXY0P/7bj0tRbegA/BgZ0KBy
6/3r+m8vOsDsw6c/n70hBpamjqXAb6ufze657UEBNwi76jo7uM1vyq1V3xAnHzMx3n3VsJvsVEWZ
U5v+A1hewC8jXlojQFKFQkPfuqxsD+tq/iqZrbibjD9K+q5uW/DcnAs8QHeQVdXqS+wrN2bVPIYK
ulSt/FQ26mcl6D7RwXsyIi+2K2G85yM/tBN5vUq+WIZ3T/CB6x+34TymlFRibEvgOT5E0QUQgnst
aUB+N24YYEuGnEbCh7jSTLuA2P2N8bSuwWKiD8LU/9/NcheZoadpEAuokLPE3OmKSOzEJ3cs9k8C
x3yXKV8qv9f2Rj8eIlh9XfzGFpcbzEBGJMp22iBq4UQX73bYi79JW+cKSlEkQQsVCxAqzxwuANDV
NNxIkKZN/KeDAmV1YshFRUe6vUS81WjgYzQXg58Yh8LUSxw5EUgotFK3y850idgCHf5TJAEYrkqJ
imkLjJBLIuuAhGHcYC5BicTOak1wPnYPnrL3ff8w1v7OHP99a+q1RMnTR9C6UNFgdmBU0hdL8Z83
D7Q//fxaguTnsR8qQe5PEohLX8Gote5pf6ax08+jJo9RGJDIye/PzWgUeLxkmB9rkT/mY9c7fCLv
RGvv1mT/AsTEJGsi/wH3Du5h0pnSgenSSwMNXm3VRzo8G1HxIirxznsVc61nFrUnBYd0Kc4sBl8n
+FHNondT9q8d8/ozpNNHKKIOAcCCgTZGQAuS9F8yLXKAjX3LwdFjgLySMmOjBXbZzL9Vl04l34j1
UvMgk/jtRfcN0N+WjhI0G2KWneUfMfK7qp43JPVUiMnTQyYu3HLXveXPuHRlOnnKiItRS2OK30+V
C47wFzRB2ZkfAUDc2JC08Ep7LUraWabXijit4Sw8rMQeOPmxM4CwfmcxHHEAWL0MCujdW8xqdz4I
Nht2Z0RV76SRVdtdWZzjoXhuQv21L3N6Jm35pQ9zH1yjmOFoGuo0THlbt81i8OGWilZAVBn+mC0V
JZjKI4KxNQ2z13ZmdEhx6/quCnFRMKgXOGMFeDzi5xtnxaJrzeRKgZzobDDbvMeuMuzYZW8/19Xa
+nlp04q+BkJ2hp83yuY+uTfol8pTTusyFt1qpoK0IzGxFlthARl+d9veRC/sqdlq71m45MGfZjKk
HRgPpVqoHWQAFtH1szOwKc7gDH/laWE6fpwBEbst9oZ45arpgrlF2Jae4IEtinfgbnlGy8KGhy/u
1d8fJJcSGz0rrL7FB0WhPZLPSvaybtSt35cOwwHUGGycjEqeTJft1n98wytk9M7Isxo/BKMSCEbd
+sgvW2/pC7X5q+WSh4YIgFf6iCDSMK+zq5bdg0BKP6SivIt47ds0Rtu9gb2kp7XTe6dwoK7RA5Yt
59q+j+mzRpP7OjS2pvu3jDr9+ex2wXNgHwWTUcXLE/u6btOlXaCrALRSMdWo43y8/u1SswRP4hZj
z/VliC/hTSS20K+XYtRchBRUy9ArU9BGIyeLkx2f/BtDKMIeNIaxHfNY1NmTVpelu67YQjJNcCX+
rZmUw3hpk/h1jvHqaOJmeMr0NwycrMtYcsi5CGlhyo4LczQhwgdGT5eq9she9THaqMctLf9cyvQV
s+XPIkBg8xJSwFVcMeNo+cZ+XY+tFZqcZCahADCFKBtIsAaAB2C8xGtUUGPeoufaTrPxUELqusQt
t5MCPDEqwv1p2l5BL7fRcDvR6l3c2xmQRtYl/QIjuL4SwA8sOAL4aC1U4SVRNCx4NrSYTU8KaqsR
6OE8TbyGvEJZM2pqmykdxSieBRZZBuiTqASn9dB+1GZ/E4ZD6Ag1OYGh5batuGt0iuK0uOeOIalt
TDDYDDAqQgPLyEQEqoEUu4hylJrZK+npl0DDeJM+WEdfQ2rJ1fdqzB8KVS3smJNPfh/fhDCtS9HW
uuGZiz4zU1o63ABJbipjA6X77EuY2X68kc4u766ZAOlkUyipPRZiAatvlWkXx/A2Sm5BdpfSQ3Ao
/Y/1RdwSJ5dmcQMuiqaHPkHN9wXckicc1POvvc8O/kic1gPPLJhcBVqd1kUvWxJkjGiwmKAopN1X
GjSKygqSs1Q/4uFo543h+7qIxTACypP/FyFtP4CVaJXZA+xi4M1tNHlEaqDwS7Wo3a1LWlQGuQRg
SNAc+kdjHyDGChV8yQhYEabw4IOWYm41GWzJkMI9V8teA1zyJKP+MKLsVAJqe12NxegxU0MK7Vyw
oAkYRDB9Xzndi/4mNuLT5L5/BA2OOR5qAg8Oz+xSRGxjPvAAx6IfBq09RtaXHnu6wdwkIvGTHlcP
oRqcAjC7r2u25ArIQYBAB05V9kc9N62GOqOA+sJdSrcr7a3h7KJsdr0s2W8uRXK4bFBoxCf79Vb+
Rsv0a11gShoFi68ETNx/oxF6eAHERcFFKa1Vr1QDU2uc/qpyTF8Ic4KtW9uyzX5LmBxydnpZuR4D
43hKj2LLrYLPLd6mSrM6rOsxHROyR4Bb6h89pq+YSSlLdAkZU+Yc/sBNK4ztHjzjCiDC9utypsi8
Jkdam0LP9cETkzbTaRLl8YkR/y7vNDdunr0S9SSgZm7otmVB6YgsWoox6Ay3SG7gRZk0LhBbTxUL
duuqbYmRDqW2NrVcmfJ3ooQuBhP2RYaKTP3636RIW5d1Dd7SpoUqtKR2RpDIE9XBzP1WvXkpRMwc
wpAaZn4bDb1+O2EmoEW0QC7Rh+ohDILXOLZeUiU7RWn98RcKAnPFANS+CoADScGaeSzjgFk7xxj9
UsoRPmgewmYLiX4pjpPfYmSIUgoErYaXEJM2xSmBNmoP3IR1VbZkSLePIWhJaYViApIqbgQd90UU
buynRaebqSEdR1ZmJagLQgR4R9AF0N/81Z2aMAZ4Lx0wO2g3uI4MqajSoKcwlBWSSzsMN+PWFOZi
ERNdTKBU1SycSXKXYhUanZ4PEGFU2kE3khNN9D3vq3v4QbBv0/bVGMf7JC52Rl1+9gx9R9GgaIl3
lYpy64V+cdFmHyPFWzVRLEVl+JjMPOfP+JB1n1h4gybqXNlpRWeR1gu6FMyY+H3iv4hCRIcwCfl+
iJPGqdEYhyGJ13HCthiqwFUSJd+ZYiMhW4zBMw2lGKwOeaUyPq2oYe6Z7796ZbxXsuYFGcOOwMIx
LL2u9YJRqYpGVFUD6R6YliWlVb2JeGIi4UAzgInZuajdmgdcqm5QAKIC3BxQOhRj/dd2BdF9oVvT
uil6mR81FfCMGV5KML3zigrup8SnN33HRlsrrJ+D94bpGEdVq8eK128JLSxH5MF4AkrW1uv5wg69
+i5ph2IUgDOSIsNWD1VAXRZ+BJ6/EWiWdtCVECkNIalflWK6qidoJNGDY19Fw85n1gHvA1+BW++U
EB0VtwCuIjYfjrVnuCO012GFv1jp2TJI28c0w2QITKirp3gfVovSrbp6i1d00Z1mQiR3YoKiJEEh
xPeZ3UAXo98y6UJChEcaBDyuUUrRxXHtTnqcGBHRgC+XP2YF2qddkzsifsy2OoqX3GMmRy5ZRkEj
YlNFsloXT5iQBIU2gp22+/eLMhci7Q3AlCKXr/Pu7B7c//bLkncnlHmWNV3uAjNx0OgK0L//KEFy
bdpR9LkaWAhPOOw5/rT+/Qsd8oB4BF4mA4oYAS2x5EpAM9J97xeQXA06lBJc4+dOwZwc+g/BslUc
9bB51/Xq0R+8j15JjoDPKvY9bk3r3zHFXCkvvvoMKSbnLKoiT41x59POzCycrALX+S1A4jfkLLrb
TF3pNA94l+oV8LiAmzfu9WqX0ehiRupG/WRpf86NKqXCqh75HmA6kVzVnqs0pmP++xnf62WTt6fO
UrOLUmwbahuwEobAPlslim0JQ0fUJgv95MZ/LI+FK55OddQV5Doy4MqrmBAAG9agHMT57fpCd3Bf
QhLiP3T5cAEi1c6KFbfEbMoQRuA5ZhuBdeHUpmiZ++cTpJ3WdA0zgj7CLaYMdkliFDbxqlNRjU/M
L29QYinAHfC27pWL68gBfQhWO8CMcclbes8gHJUAJGaPAgf3RjveokazX5e8ZFQm8BXPa7Gz2y96
F+88wk8hKmBarJ9BU3QcmuovggkAf6ihItUkmszBm1VgozYL3gIl5UPD+KIabzV/L5lsLkHayGlL
BzxBQYIRtE5V/wy1revs0smkQ4QG/Fi0bcvgsejES3JgyrZn3XTq9vRguMFt+u9RCQmdC5G8LY50
XFwYac9KYOc9OuUn3D4gMvl2rV82Tqeld8QrYVKIN0mtZX5utuehU+6tIgA7vHUwWORkrXlqspTZ
pZ//KKnR2rHvv6f5cNf1mu9kmrpXE/OgqFtDCUthEnSpADHFyWAyuYUD7xVeUWLS/Jyx3vH5k5/U
O0u0+3+/vWZSZOgA3jd+lllRe06s6gtR/c8k3bqCLpWW6VyGdPS3NIpTc5KhYbLyEDy2b1vjgItH
6FyE5CtNm6tpWCQgUEtpCaKdCmw4eR/ejzQd0F2rH73a2IW49u3TRs0eh7FqXV6o70lfbGzvBfwC
cqWt5Em/P6VoSjcVykc0lu9h7B1bSsNdodSnWks+YkC827VhKscxiYUds1h1/TF3spJYd7REXxWa
+55rjMu5JotOQdz0G8F8Op7k82RusimKzC6BNBu7oPTgX7x9yOtdbX2se9aS/1LEOEBnI6dBLfz6
9+ugMqxRB7UW67+UyivQfGx9I3ovBbq5CCl6+32bRCX4e85h6hpOuFlN2/p96YSvG1J2jEMFEnWD
i16f4pCaMd0VaEk7j1Q55SI6Yy7a+MyLXNkJRR8PItdfvJCHnxNl0Hbgzh5tnvefgcD1qBTFrsqr
TyYOS94aDsXhLYh6rr1D3BY7YgR4/rrXAMXEcYzDnUcnwfvtIS3xHNOQdt+G+dtI2IEjPoH4CcwF
0d6POjsuhVto5q3ZodMpQ2iKBq9zm1b9LnDTdbhQI1ttqm+mllzCyldtTtBczFnzquMdxBZBe1sM
Wwz3S+nkbHHkpiUMnqnADIHxMqpdwj62zYzbRPd3it+d1l1tMcLMZUkRhlomxZnUtWcg2eJ2HR6m
aSTMouiHugoumW6Be1S75WVU2yTY4p7ZUlSKPYI2cc4HKForO+Nn9F2xhXheV3DDEXUppnRWkgdN
CEdnj6NxCLu/OATm5pNCQZDzqRYDDcx7UTrBFjrgciSYEgUV3MR/VF6iMI/hkKJFnwB8z4ITJh74
ntWKboS0RTOhT58YKrPATSKZiRspypCg+jn75A1UWr36H39fslM4NCnLKH6f5O0BGAt2iGLOX6z0
TIXJlrOobFgMeBlVDWeqnnqjcOOgO6xLWHTXmYTpz2cSwNlitmYLCaXYNcXR1A/5xoPU1jJIkb8p
ChJnA8yUUv2NUHSwFd/+mw5S4A8MpvYkwH4wBJhYUs6FTfPsQnNmFz47rgtbVIeoyMC4hndK+eLF
ABUzzTbioLQ+KT9N42+sZemaxXG3stBEcb0eQBoMQTRjNmegoQEd9hyhJ31dgcXsCK2L/4iQIlSr
KSOjNW+QSjaBQys1A0UlQyGhjY19n9fPXZ6cminXSGrrWVP6yjGN2rrrQAG3/ilLzsemZhFKABfC
5JeVkmk9Jt9Ic64Euad48qjw8G+jCQyz+PVWY8rSws2Eye8rmZLnXQDerXORlq9499jpnbGxmRar
nnMZ0ur1gacaeWw051ZDeRPPLc8FqVW30ME1pmVEtZOOfx1j/jw2XLe1HK+a0dA4ZT2eAG3yXINT
ZN3Cm18kLXYy+lnXE3xRaaqnYRJGKehL44DYca0Ztq4HlU1RDXaGkd+R1n9RSX2eGjBsAwtS4KvW
v2gp/M9NJEXljKZq2oJy6dz24ZF0+zE/1mWxsUmnmCJnswyI1SZakbTp/653UTD0VmSWk9YB2YW5
dij6wS1C6pJOPRWZ2Dgxf9Ve1+RNvjeLojl6f+KWTfI63wdOTPo9Vhlzyl59HKt+57XZd6XOHrla
tDaKG599j33VE+WQeeGpGtsfYd0HthEUB/xnxPYa42PwyUta5/dUz09Jn+79UQS2pqgTX9RBy4BB
mfLU8cLIjdqN/relByE0v/+2nnTqmJXZVIaYtqUevgDx5K7u8xGt+sanuL3FkQeKKPqQ4HB3zCC9
Kdp/PxiDwYGZfOlMqka95yLATjU6LbBTaA/IpUtSNkc0hHQbO2TRH2fCpOPJ19vKF9MGUWDLdjIq
cHfcQSm33iGmU+gPH8GcrWpxTukfVRIz6fLKi1iDJhoQEOTlfVPQFwVLrVqY+KVYfK/LtzxzIegh
98F9CwUCIK7I9TIDnQ2tEeE4ae7rU7+xy7Z+fNJ45vVV5WdRwqaI2uMtZ3LhoQ+//utwcaWAdOmi
KVFyc7IagEh/5NgubQgYT9aoW6+s0w9JyzMTZMp4HMAgUaK6gKV6LbkvMINAG/WWs9jtVN1JB/IU
EuLWdbgBvrrgfswijGgcWTVOQunE4G0dGAGwGc7GGP1UrV0eXNJQ2UiQlm5EIFeFEPwPsHsygVSs
sQQ49djRmNI7DyWnDsoMj0IZewf9E0d1AB2GEdbajcEPGK1YX8KlhONKuuQnhKCLvIih4wBCFCtq
vldDku0VTcWIrtKeupw6CukA5ptzw8mH0dVxvw6raCNKL67wzAiSKzVJRUKDY6drsfl15N1JTIYI
rPpsXYobNfUcNJVsVQ0Wdv1cd7lrpQzjsYo16F5R0AcH+XOBwGLFlt0EL4USPrRpvaHm4q5kmPLC
mz56JGSM0yFGfdzTp7PId0C5JtSn9eWcou8fG2X2+5P82a4fRALsHB2+VNyLwenFwRwe03+fJKAZ
77cO0gkEHIlegKm4OYvyhRSje/Di6m+CFxDcNcqA6Q0YmWs1FBOkanjJQ9w/9tHB+ov+AhO5x9TD
irMMo3DXP58y1SOej5/3+89xATpHMCKsr8OCO19JkNYhqZJciU29OUf83gyDCxf8WEZP3s5UzYPO
xSnZwEBZiiJXEqVVyXjUYNwTOuXJMfCKYYcmbsxtCK+7V7A+fqEBhr1N/DOlWvYpzotio8K3ECyv
PkBKDH6r3ND4rJTsgKEotxi2ssdlRQE0CCwjCxgBMhdJagJiuTdg2rB7qiMS7KKsqsGbkX6EiTiO
zDpX3qC6xASDZeiz7+sLu5C8AsPwH+nytHlm5WrBGxVHHtro0UwwmLYg8ecwA5CkBYyomP7FSO2V
ROkQAm1d5XkZJEZd+dC15pPa04fBy3dcqyNXQF+abGEIL60lOgDQY4VjD0TukjP5Ioz9bhgbQKvk
mBCAHJJEz22dbtFBLguaUFWBewFWCmkn9pXht5WuwWt3A9Wd2tqb6tbE0EKURyvRbxnSXuwsXiSg
6kRMLOkdS8PY6bv8bQC4ec/DPYLXY61h1mHdT5by9CupkglpPY1I15BaJebZKkLNVtr0Daj8n1hi
PPYdwUDFocOH0OmLymDYCAhblpW2oyUCX/QG3KYjRmZn6S7I0d2eplvWXdoQGjilgMY5PZTKNZEm
FCC+mzaETl0RuSPGQEq4S7RTg8Bdt+miSjNR+nXY7kBO2va9QJIOaDgzVPbifWre+m9CJI/U0c6B
eW/og8GY57J+b+psZzRb5GJL58PcapJPBqnXpEML7xCcRk6T5nj8je0h+cbG0dZR+wYz62Vo2eu6
cvpCfgBgdYopc8YJFku6UOl11PSgmm7OtPvG0OjjjmV6n6HF7IbnNQjXmvAnK5UbxQob19BD3VY9
3wUh/A/fHH2nD4pdoqh2Ve4H5UlNNSfpo10meG0bAgQfnaLfWWP9WALfN9bJK95jNjLypcffKwWm
zT5LcCxjFJU/LU+nFKXTsugSFgfOAFDUAoIDLCZ834s4cIxE7x2QO98ReAigg6id4IO6WsUfD9Xj
ulmXHNMArR/oGZiBlEJKV7o2w+VEtLjINanbasRRv+tDuIFuuhTGZkLkk0dVQhUzTB2WDlzu1WTh
sXzsYXE6mT4Torh4Sr0x2rwlVDp8gG9SKkkNzfgI6LYuxGIDTsTSHDDw7Yy2u+ej/nXdmJPrSyks
yIhNjukI9CwQ+ewxTR4NptE06BGDy5HGB/us8DdCyZYQOTqC8BhoCzWE5OmxiLXDJgfWFCf+UAOV
XCiBaY8/SKMUgNBoYZPh7tigV7er6GsdKU5Sp6FdBT53wBIaOHgpgmPiYNg1rf7kR5XusLC9S8uy
2IkODZlmn1l2HBi90wJMIxZJuA+49dJXR7zd3AtQIRZjfvIi9d7SytfGit1K549jwA/ULO59Nezt
Lq91O6HRKRKA4Rmocd9WA4JMbu1Yx48NxdtlR9muHtmtRxPTaZo426UBBkfWF3Zxl/y2yK/EbrZ1
S9Xo086HRbiW7aox/hp3p6gKNlt7J59csfyvk3kmp+faSEodcqzAym0L/+yoXtQ5GkJZmmapbdL0
YmW4UfrkNQ+CxvE7cVrXdSnOogkKNxhN1dEQJUWEGq3DVAPpzrn9P2MGWDxm3PJEQT2/LbYOraVD
eCZObg2J0UfGMDeJnBjNbV7+Cd0u7XP98LKu1GLqPRcjRQMzgLUwAggxd/R9AIbRl+xBVx/MLV71
Xw/O8hJSIKLBiTHw9wcVSAR4ylqUAaoB6g8CR+0mjxVw3XjyYZqCkHPyagzu9Tb6H+9J5R0yQ3kM
/Njl2AhpoN+X2BixF+gX1PV0G70yym3WjdZu3SZLC40kGcMOuoZ9Lr84WWUVci3FQvsd2Sf1h9dd
vK481c0W3BSq4wt+PRclpT9+2moliFMQUQZaOUmrvfaW9wTlVCC5sdAB1vh92zSmrVdlb4MP6qBp
luGyYXj09Ki3RRc8+Kb4mnbp51ChQP2/TVUROmUG/NzMiITjxeVLRPJLh+zEzpSucYkfoZOv0GMb
eEsP3WB6u74svokWoO6kjdt7oLGeBk0/C8rQNu6DvLkKDsJSD3jYeOxJE+PbgI4+jjrAOJQweQzC
jJ+IsIKPRPdOXWy9AyPOQe2ncPzKIocsp7Wj6bVn5z7xdkHXdW6eYCP3IXr0g9IS+wY0SAIQH44q
onGvgjhvNzT5uA8p4qRHRLWLYvXos+5Lleawi5fdWEFanKo4OtZBGYABvP2u+NbnLLpXwk+lGXzz
WnoHBArqVCb37KjKxjOGIT81Q/Iy6NAeDEyHtDZUwJfo4F7Kq0uuoYSj9/mh8dRXkLeh7knbwBaj
90XrIs+J2PipUoEsEVjpG+9C41Caxg+mZgC4AdChGvDRqTIQOfVKdhyHAGA0zCuR1tY/irIUTthl
Llr0W7et8nJfEdY+UzMxQPJbe8ehpx8dNTs7MsbXIvD6HbB8gevr159pMARHozSeunrwbDV5qoGW
jFevWxQAPExTKHcWSA+UBG0rCdVOvgDdwci92zAIb4IeZPIBmHSLiVKXACCHg2NXTGS7Go4aE8S0
hRo2duRRtI+q96Z1B13hJZaRncKGVHtF0R4NxPUMnTGExfsSpGWFNjZ2niS1qxsVCEZKgKeORfru
4d9wMKIeTKs5ZuOtqr+Zvu/QiAA/IDDvDN06NWCFAd25sfeGsEKhie5NMMegs2cfKcZom+AnKcIc
3q63t0kQuyNYV1Ddb50QU992qavHHvTANo9BR+YByqgd/UPVefdtAa4Q9Go81oQcPf07Jg8O6YSz
HwFwvy/6A5kQ+DXsDg+Q/H4IbH4FIP1lgciKqsTTEHvF3mPdrgegv1CQViY1jM3vBEDT/cDvbN0a
3Moj4NWlh7jwA7sEjHSS1bfKqI8uJpJ6EFREvj0UxYupBY9xRy27tpSLZ42lHeUE2W0CvpOwM29y
q7nRFZbb/qg84y+28wBxVwHqTh3YN9r3lypOAmA6Rt/xWKJOLc6pXXvFrk85cNzbcLCZEX1CPxEg
fPgzRgFNGz3k75oR7izTOnaDBocGzrCSAbzDNNonXyMPaaXd6D1KKc3YA/AUXVC4VGb4m3KXRSb2
BA8AOJ7ewuG6XcsA8Oh3Y7xTQusuwPSsVU2xpWh1O8J0cBv9L3tftls5kiX5K4l8Z7RzJxtd9UDy
7tLVGpJCL4S2oDtJ37g46fz6MeZSGRFZU9nVb40ZICFk4O5c3M8xs2M2XC9JcIijzt2X2ilGAf3P
VIVjHo9nVYJCSrw5rzG5F7XpTkKNO2TBOl+zrJM2fJ256TF8M+kwCzG+QXhzHyT1TVC3uGe+1DqN
D8pj1SEM7DaBRB1LoOr5vEnLUN/aPn6MnOVz5Jllt3D6BNOSHekGthlqKXYirAzwB3KQDJP0fSif
U9s/CMkS3G5QkrEkqc4+VAv1MjxAHFCQlJ4Eobs5DV/jVbxI/NYUcNSnOSirE9XqpZyWp2GBX+hK
3JOEI93YHy5RxR/jQNF8Al8/L4ixSSd4JMiViE6T7i7o5FMfp/DDoXXuKqEwhlPBISEswQZD1L1N
CHLnZBChotOgraHnDt1xP4jwFmkOuvAc/xq9+nUzLoDAgNQrIPaIqAjyKgCIPwHNtwDX1RS8StPB
JgA2EA1DXbrigdp4+jwF8paVfsERvdv2dtp6gdiRCEGegf0wyK3YKO7DoEth8V7xIG/Q+6gOP2D9
cUhHH+G16aksnb3XDjcz8JWWCWBx6MPczs9oDwwCIQ3pOVHzvoxnf9+DQC1cQFotdbMkNdsEREzR
+8iLmZwxh8c4ukyryoy6fOOVyseTiJNLs/7p2jtvHqp88Fo4wPI2wNqKfX4Em4PtidDTPGGRDm/1
jBph8osB2/KQppeQ+eG2hcVskfZoMrymv3f88Z609IN0yj9NgbqMyYw6gsRXY7vwLMC0QBNSoH1I
8cWVKOvtEDGs5bXHilQ64WaW8XMXYWcmIbkyxuH5FPbbwBFH6t5SI+9WCSmAHv/aEzVaU8qyxHHu
0ohfubGHSTPIAbJy8tIsbInNrKqvuVMhhc9JsOrrmAPoDDDnMYbYKuo+2XAf8fUdshdzvFdXeKNi
F0inRagPIYcw7Po8sljlbaMPHU8AAKVKX5VjA6P9skyKyQ0+p63wNhFlM6JGDe4Vz/KdDpi7AZTM
D6QruzdY8HrZ5I0PKD7eWds5WcPnqEixma7Pd4uhMxRnsfkM6JNuoG308zamt6HTQfXIonlb9sbu
bOk9d6uDL/LOl6LW7RXCR6qb2TfeoQ2Zhl7aFahs2LGSOKEBDGMPxoYCjtug5Uu7fOZRCH0uptqd
FsmONJ19NBIN3ybJMhd+58QFYBub18Yl93gLXrCZi11dUnVw3OiNIFV5v3SSbuHL9BL59KkWPWah
bXtPBfka9gLeJXF6ASyE7N24dbIk6kmmhDlDhHMfNzQ+GllfpmMoNtSvZYECw5xE3AT5QE2fKXwU
REFmnzD3WZVDeJmI+CzH5WGK2DU8XtjGXRC0iqw5NHd2Yfuh18kRwl5+F/SLwjLmyU3FAOZSt2lX
B4IkU2r+MtQGTo3zu4JGJouHWGbBEMpti3GzHOEPB0756wRbeqPHd9iQjZlp1W2wBENO+/C+Tx5r
s1zUtpe7cnbeWtM3uYrbnQODD2ziaEiQcPs1MM2OeunB1bLPW2fYuLS5HkW9QcF1BT8ZtYFh36sT
1+iWktGeoOPyQWT0VW4mZOIkpvMLBA9UWzjU1dlMG537tZAZL1V8JDI5hDP7sKHtsoWyKUf9edX6
C2qKzkFoF0DgDU7JtPEHaK0r114pixFlyBsey6VXeQvnT4R0Bx004eyJEO0VIEpxsuvWHjwSDxnz
U7kToByOQS3Tc6M7f5eUw8Vs2psytNVmGVuG2QRUqHWpVN74HdzPPXsZuRLrq2AHf0nfYGCzS9YB
SCL522ST+liV8YWgyI/q2Nsycw6BCsx5dNt9poiBuelM4G11TZH0s+gNzgjGSOV0zZHaugmIFbkr
GpGRqcyGyN71zbLKh2XuuSzr4V2K5lBmjSue217e1p6HotXuEJ9tc4E7HEHQLS2Qx/KEibYbR1OD
8In63BmY2CSJ3KwO6xkMb8diLt0DQ+4V7o2xzkvTqIIlqE/DZpQ5s6k8T1ObFOjfzJaycNr6E7Qa
NIBvbTqc0qSOYPoD2rfv+Y1XpTDPa50w110qYS7oROeFgHvtXV8XLqFZFZRreUHBf1RwEBqJQlSj
QtKgy8NTa+IY9HxFcxJwVbRwetk3UfmU1vG7RbYZNob2A7qEBlV9N5zmxbtWqTNmTm8/HMabbMHc
a/5Lk/Yfb/N/Vh/y+tfOsf/7f+Hfb1LZjlV0+OGff79kb53s5dfhv9aX/eNp37/o7/eS478fn/Ld
K/DGv31w8TK8fPePjYCy196MH529/ejHdvjl3fEV12f+dx/86eOXd7m36uNvP7+8c+yPrB9weQ0/
//bQ4f1vPwNsTEO4lH3Tra4f8tszzi8cLz7D7/CnDH/++Qs/XvphfaPokxuhpEAaL6arQKv9/NP0
8esj4acw8EA+IZQTo/wpPkzIbqB/+9kjn1awP0wjgiFqJHYCN+zluD7kpp8Qs+oiM8UlfrxGgP/8
+1H47kT9ceJ+EiO/lkwMPd74Fw7+DygAPkOgyskqQgQ/hPmEXwDhb9AcxCLDUiIKquPEDHmKHJpm
vCqB8g5tuOk4VkveW+dDmmA8E3Qoh5Zh0gmGrWzDakp3/giAx1WReK970V5rCwR18DiDU4Twci8d
2N6pMBAlWHk9WP/STxwwRdVgr3pP7X3a05d2WW5EVd1BgHINh9k4Q6q1f5EYoS/DOJQookxa9IIB
RE96mfMA4Qq6YboYsD5lKoheHCK9rNcj3xrm6NxYTNjwUbk3nujna5lWaDx8Il5IhXIQ5pnjZbMg
2bAnLNj0UJltmkRuh3BGNab7NvcSehpUH20q1GZpSdhGWywkXWlPfdzJDObXyIkOol2buh+V79wl
oZPFTmg2xkIqGrkkoxOaTRV5MAXBjrAFXgZcxdMs55p3BYJrL1hlzi6HF6sMw3o/OY66T+Zxxp4e
3qt2eA0DHW6J7R6xlqAiUgMtQmpe4wV2gXIIydmdgQIMaV7hjs7gQfOOQt7NyMzPxjZbv3NF1rtp
QZz6QgUuHER14hXR1CGFVcZP1uuWfKwrteeOuuIhdoFpnh9larddUu2iZjF5wIIhWyF5dGrylc4c
cTaCFxFtLkddqkynC1ST7cHhXp6mPUoedjmP9XtZpieYq182wXJcapiTwkQCAVePxG+OXTQ/+h05
hzRpkPeORqoZB3iI2re6Q49IB70rE71ucQndOl6T3vaUO4VJCEOpPI551BvwDxFdXvTQtdeJBzSI
158bx5SXDYXbWmyHFLUNi4qhB+HZt0oWvqhtFji2K3Qd10Vq4qukrIK8HP0hiyuLZTXq0ERP7Was
7LCNsVFmOur0WZbhWc7DgHY7bC4GBWLYK93m67zUu0bPTyOFxa5u+MOCPhwixW7ZlNx9B5f72jHs
5sIZsUONfrIN/OCLaeSjclKds8E7LKON3pbK2fdw7s86vxl3wrj6jPThYKvt0BeJmTmKYcFz6cLt
dgqCaJ8M3dfQ1hr6w+SDce4+js20G5cUzmiDvwtUuR9MP236eR73yvSqWMC0BZShiazbZTMOS7Tv
pV+Ipbmq0ccf0CTiNKtI4agqO2UAk1qo2byhkHDQ3kMWyM4TFebkOugTyjqGZIlT1FNwrGVemWw0
mpqLOabvbV3pQkzSbGBh9DkcPXGDZYf95vr1//ebFcf+j9+X8z/tN/d0fPnpnrIP8dN+/PjzprO+
+vdNJ/nkQoMKhT5yHFe73j82nfgTwSDayhNAZvFLsvVvm44bfYqhEMMuhTE1NHlrHsfvm074KcXW
BZdzWHmA1fSTf2fTwWzsD1BrgOw76EBDtMroNiHpx+PfbDqBRNlYGeVBhba4Oa/kCOTRYPYPsNm+
G2aEhc79fjLztaktDM5bdOUpb5csgtFENg89zdAWwQSJqy4zAdTGQQ8V95Am6ZYvKTQrXcMycBRf
mhbjZA42hCysCGKvK4+jQmNfWRzcVbFv3x1sz1jRYowH1wxVIxLQiipuZTFPrczs7N06IaBQDdkX
uBwBbGIRM6DWLtpA1ZrRkHK4V1afLR3azVKK25HR1Q6Zeff+Eq9GDMOjtE26ZbS+6inp85B2uJ/n
WCC1EoUrAVK6qboWM4FtvY0h/81k4Lhn4zrB3dyaBctw7eZYn9DRVD5cx4x6MlGAHo3D0xfBSeoc
AyveLmH8hI2IZjAavgvtcj1Q0hWJBqq6AP49sFGqXWvdTQPMIwN2gEaHh8muDiwiBgYvH3X1LnT7
iFbiFMqhzmVsQ4zE2Z3WoZfZoSHbypCjz4P4hKyjS8Q26ehkZ3/X+ApluMviI6Yz72pd3iLbRhdE
yEPfo6tPABJnNWKzCxXg+0gWM/T3+K48jMtzZKZqn6wafCPEQ1M3J78FcSe8aMeYdwczhnlH9YST
CEazmOxI99rAyD1zgEthk/cTqvaCgnneCu2KL7zF+HxOR+zD1pnG6NiiFPa+OIaHV8yAq8PuMt2E
0tx5jmnyJkg/V55t9zFTHZY2FAWsg2kslO1bxRI4Wo7AF1kXk7wSLprcgG74GN9IboskmgAcYTja
o9UtdJXdqZTek1TVntR3wRhUGbrKKyeN051muDB7bua9W0pgq5PD9lDdBtfE6TELrO1BuNV4NHUC
DKf16lO6MFIEC92XAm3GJPp3ZComWcpHnvvKjYCF+e/w2Fn2UhKTYUZ9zjm8fXYYbsAIDY+fgYKu
rbzuMs94N0Afloy76cM0L0kew7cnx7R1mEGHW+cLG19NnU4bYWDipMJu3g9BDQW8dXbAcG6Wtnoq
/fFQNa2Gc6pDQRq5NwoJjFuG9jVjNOhPJHLL40yccxvIbaRGvuuQAomdrwZWJ5xLHJfnkmD2F0w/
zyPPWkx0CpOnDaqxuKdAlRqN5ituEUBoDxZPvaAiesAmQrMFYH0c4P4nWpz1LI4emqJ80fXR9riu
2vEdrqzPU+cFWwmYDkdPw/HGC8A0YODW9Bghbc05Lg2+bJ+eDGWXhsGo3lflnKEI1zsnsRdVHNtr
PTVOHgti9xBqRei7UAcJ4uhml8xwXA6Wfil65b0D4H1t4wjwOwgy3gPGD9Qz0lhPkRnDHY6rn/V2
OM/LiFVrDGBcU0O709smRxZjX7TtcgchRZOnQEJ1zODaXXlXVfDUhddA3dUm1pfK7oDhfPRcf40H
7K5UXTL7mgAkzNpBMajHjIf6m3/EES1Qd+8VGOuthoxaufW+jE6tGx4iiR6x8U+zZK+Y0HwzwQfk
e/lUtfuxuQRsIAsxuCd1ppS9NyP83MWkcrTiJx4dUzVcJa0Wh2iIbxu+YAzbmM9RzMZsXPqMxe5L
pEJ8E+OdYok5HxezEYvAikXENqrdO1VjhnuaQQxxUz6VWsiT9cy+tdfwq9twyQu7vJKlP7uuuVr8
r4xOdzrpLpc4wlpFZhRLcdanLsoy1tzb7kL3/kVL+ReQ3M+TM9/aGvoUR1G4FgIE8qAShLa7DjI9
wAqEIt2HSVOY0P0SBfzDqX2xL6seF5aHym0IMfDgXXZzlhJMq0w4zVnIzBlF110V2NMcd9EOoN6Z
GQjo0AABLCLmrGRwZEvSbsQcAEUNaYhLCJUoWvFbGAjdpgs59b67g2VeCOV8cNP0wC66ll9iQ4o3
EOBOt0yFb2Vnu12PIcR7xFFglXcgK+aNV+ZkbF+jpCMF7ikMKOoZ7ETrLmCxfMQbB9VTm86PovIv
FHJ/52CJfmXY/1+usRx04UjMDNwQ7fT/vczKXn66ZS/Owyiqn+5fxm/rrO/e4fdSK/6ESHRMoyZQ
6AVYZP8otaJPmO2L4MqyZv36Icqz30st8gl2xhhJgEYd7DvU3v8otZJP0S8DliHySjCIjDLs3ym1
vhcurDGegZuQFUHAwOZqlvN9oUUZXwChsXgvHYiF+0BeTRyaFacO+o2FQzv+Tz5+c7B+gxi+hRTC
72o7fCRgBBjzpDgiEQ53sEqevqntOhG0SuDi3KcAektiN6pyMQjW/MWgFiw6/8kHJWtRGkAdAAOZ
HzwxU/BHdm79aC+9Kc6TVKMKlBwp71Wy422J6Sk66/LS8brqaYYKYos7qSvsFEWPXp8u27gWALZr
qLXBSvEMJj5gxEwNcK6fo8Pow4wNx8m71I1ynqthCV8gTBY5VJ9vFSev0MNNj2FUs9MEdOBB8bE6
waCfw4oANvB+DAIyjZIakphJ52DTkQcrQYGAafjMq17zzHjJeK2oDMHSliCj+bwXQAkzviBKakjv
OcQgIKDbYIMRp71NITfXYXsmEcRLQoj7FkLwDa26E6trxOZCkIPqEuiuhAW9Oz6I0do8iJI9erUX
IDIFRl+RDMIE2kow8iljhzXMK+zbDoop/5lXdieb4dXpgaVIxIrnYijRKddzpqbVc80/VgCvt2BA
4cgxTWGOtZADIe+bwtdKbOYA5joN93ThN9h2YKS2aVJ6TaV+FTN5AzIDcHplYnS074LLet0dGzvF
WeVVV2Uw76xuaAEHMJmpNvhCE33hs/4yiutndKQPVAhgPGTczTaGOUgybSNsRjmDVsu2AjRMCyUF
SXGo5zbvbHjl83Aj+uFsY/9KhbAJG+0Tq1K+hZkFcuQ9lJPokWfUCPQBA38mc1gM3Qt7nqkAguxs
G19WsFcfc4TeATPxNJCxKAaMMwIZB0S9m2Iy5KiqYdddql3iY1ZvqFDHE3mgzP/QC5LYfY1COmqc
eEM95106xF1jUs68JZc1gsL3YUu/MOF+Lq1/z3xeOwiph/NhnWy7mO8mVV8a7YLLHoa7ZKQnxzNx
rtLurm3odZDypwg+GQDjxq0VsFVOmBegISpn+LSCvVKuuie+6IppsSteXqO0aixo67ktfM/cAbNJ
5rpIguoi9WCtLhP3lvHqCpX0JamjaxE6p8GHLiThVbAbHO8SDHtwOVMr8xk0QoEWYymwVaIC6lmL
hE5USwQM9l2djJ+jSdY5BxkGgr5hO6cM/Z3TpFMR8ek+bZISezbiv3SafExDH+BEKLJLmvbCidwb
ufCilLrbMnfBkCxku2mavLVO5+Erk2nftOSe9mhwlsXBHEaAJKC0j3GF2JBugiUGj4aqMndHrp+m
YGI7TtK0EM5qpg3Tc8ci2XOAaCYt8SdES7MVQbNxA1mEHhnWOzlEoiJRrxHD6Oxk4BLZoESxSSXy
WXXRaeEBxoQnCh88JCaDVBnxe+BUg4sKrgtuo3eLA80x4NXPsEfy4U/mDxtnLC90tVKrk8uLykdr
1Dvtg+PXzo519KuV5JY0FaRCcMnOCC73X6H675D6b1fn74WZv67O3y6aP2wIZCwBWAEy3SP7MFtc
fG/ny79e/7//BAza4fggImi1VSAYuftRrOvYgCwhOMM9nfqrOnZ3btT8hVT3+y3mTx/xo1Q3tsgi
G5iLDkWDE2wlpgskcWEiGt3/69/yp4ym9ces1vUY2iGYlUqxhX+7mYGJkZ7XoxeqjfOIYcgUS6U5
e+US5S7IrG0tgzsOPnjvLwMaQ0JQBdKj9QIKv27a5mhB34Zguelxfc01BuErTbo8KcedFdGLUP3N
v/7CfzoyCfyFMOmaBkiJC+Ifxb2LSWnFJ2/ee5Dwp93jMLaZmf5KAhr9qMrz8TGIz0MlBVMuHJ4f
8BvZuNC8GJxjh5Yn6Udqa4CNnBvOLjG4Nm59Gm57V49FzeG+jZSrr6yJ0QeW043rw2bHga5z00FY
DSuxZVeJqQOhlASbuEO/Gi+T2RI5hijZKdQxfZILbq4Ql1B0TfgV/c5ewL82WwhKaC98AqF9rGyC
+EKz3E4VFuAEY/ZQoVJ3Nwr3vgH7k+kAszzQ7EEJh7gNmCjnjiMnTAbEQa7Kqt56kfDzeibPlYPl
aNJIfYjC/hCJ5GrtardtBVJO4BvHmHDfRra/q1P1KIh/JZU+lKbbQr0Q5akkd4FfvsUofkzLF0zQ
Cn/3759kkEkwlEpcqOT+nBJBNI9SMu+X8NbpnRxMvbeU2f/gQ0BKgWSK4DT9o/AS8ResbmaUcRhX
x3b/MGISYQ6Sv1iO/qREXa8k2LqC6vJcxOb96IKBZr2zwi+xWngLdBdwnEvhIn0wuhuzvu6uvBmc
CczAtzwN7mO/XqCViBRgIwYSKho3Q9wCtlaywUSC2x+SDrqkrupthpyh9EEY7y+q23925X/zfX80
0qCIFAoNtsd9N3cvI/bO0SEPcyyPdn791ydgvYf+IOawyK1HBoZZqxcKaLofMVK4oGK+1dN2H8Cq
OUd+MxKpG+Ptug5gWO2/Cs3/YqTpn31iiG4FXGQIuPfHc7H4Ttg1Cne1mXHXGrMUVUOuRgOSnJbD
bjQJ+x8Qx/9rKOE/mj90Iv+qfXz76fQi/nnbiFf+3jZGnzyQwUhSTmGkA1euP9rG8BPaGXRQ2HW8
2A++oYU9IPSrqzaBFbIbwUnkH22j564dJW6jNPE8/MHK/zuP8N+ghVEdfXf1rbQwwaUHEx74AkBx
92MXZ1rJYcmB4F0F92jECrnQjHXoR+ABj1LGFTWuQz5Dv+p6N8xRzUYTVh3bCIh0ky4fbS2QmzjF
PKe+uBauSho4RGEOBPsJdBdwNkDDVtoCyUYNAiC6Lw1eufeGbrcwrqDD5N0WubQGEHT/pWuq8yRl
tdUlkmonv7pWLYCjlPYX2voGbrPJfVP3LEc46ta1FLm/ExCwVhzRr+ksdJZxr1vf7HzmQHEpXwdI
QXbOFG1JN2OAg8afBfwBMhIwZENJ94E3UJtSv0RBrMKbQY5VJsKozY2HziDV7XEN2G5JKzeowLu8
cpGanlYWSp95gJDHRTy2tJGT+U4qobBLIhwKefQVcL9wasqi9iI0FvFCt9LSx4o3Yuv1Y48uBY6N
DRsfDImOMIi+pw784hwugJonQCCb6WWCVnwDq4x2pS4/xwQwHbRY415UHTLweiDDweDbzTxq936Z
AKinywZGK7fADt/1NB9o56B0p5A2q7CxRyhn8Et7LL1Rt5ii4pqd4P9gijEYHh0fySOA7Z5Imrzz
qIkerJivJ+jLgZEiNwjJgTsadyi8MVtasEmTrKw6ZJ8HEgivAPcMcNYpllVGk0JPgy0FTKjXnisU
UZkI5I2qlqdmFeHEE08KLfQEFFXetlDsgDUFP0G8C24gDxx8777WEPCFnYBEdlX+jO1YbSTEQLC0
Qau/6oM6CIV84XjbwTj1jR2Gz3pVE/mQ6x5An7zVfgf9WXwxr8ojksq3dNUixRAlxap6J6Q+gB1Q
+Ir2speTRSsJJZNaNU1A436ZgKs2qYGVDYRPPXDEXbhqoeIIfm6aeHKHkVScpSiZD+DmbE546wFX
ZU/OOHfbeUy8rNRS5e7kP64zDfjS9ipYFVnQjpgNwrzgAE1iP5tNB4MGGlwZiEnzZVV1RZB39UF6
EKveC0FHoKZWDRiEezU0a6TaNpT7xbRqxfxVNUYXCLToqiSrYDqRowF/hREATBchNzOQnXmQn81p
v8GAZ5+nrXMIIVBbIFRjEXihCoqVDPfwbl4mYNWQtTWrvq2B0A2zyn1ylTb+fbhK4CZo4cwqiuvo
/N4SBNAv67U9QVK86ufCVUmXrJo6varrMMX4ruhUaMju8L2SrI1kCzYIXlCgSKDOIx7SzHst7qha
kuOyqvi6Vc/nrco+3J5sM0PspyD66/vwrH9RAc72GRbae4Q0wdDLw6y6XDWDlcvNia06whmM3Sae
6GWyagzF2N6DcsA0giLZnFAHlUIIc2NIE6NVo8ggVmz6+r5Z1Yuscx4Hrl4Mkpm2y6pwrKvgDVMv
6qChQN2h3ecFbnKCe83Y3FtVkr2FjN+wiG9SMtknM3l71ZIzS9hjX45kg4SQ6nWU7VVLscvKuid7
KPJPdG40riJ2dim/57ObZDBBe5gWVqLTXrbQ+NPMhPprO8ZN3mn3lusAh6R1ohdD0F4uWINl6Y15
zcIrXPXnAWtOxph/imasTHXCYjzeQUzLaL/ONkrwjWENZ8DJvZotrw6xdQ9BIl4W0e7d2UlwvF20
wH1zV1qx8eryOuBNckiF99A3BknrE6k37hDD7ruzTg7TSQLJG/kKlVqyTSP2Fg4JRmiqj3TVysau
ewMfWnFRLc2FncKpaNNlKZIR8yB+WDabFgYLq98R/DmlV2Z4l64IZHUp44hjs3BfzdTtmsa/Hkfz
PsdgpTQmczpjIQby9W06uRpDNPDAAz+GADwKpMpNWAZtdLQffZBrdYr5tLDDgEHYtRkG+y+Nkjgy
OvkC/jDKYptMRW35di6XLlM8FSfflR+2HgIsvfxZeXOza0qN2MLZu6NO+h6m40tIor3i4XGMq3qz
dHxb+yxjhPcgjMKdE4+qgPd0hmGso2HDg9NAGe23yWs4uSetveceo/O5g8nCM5CVxzLyjovbQisk
LNSjBormBnEZnoouoWLCt+55AkctX8FKRtyWfNn20j6ULTAmNATyMljCaxz+BwYxCoSJINS0Axfj
DngShnY66LcjTjIet7gqMG3qp47KoL25jjt8CjL2FswX2c+YrwBjOILSdbkL+wNe5UuJeX6/Sy5g
oPraC3NZ4mi2CTh7JyAVSBfIyMG+B8VYKygYtTqDXz7Cci1+jib9KheabAbsyZCUsq8YSiyzaVop
XhosOVHAQsrQPbpVrTdmzUGktMTwyhhBPKnH+uSWPigpD1f+WFtMaHhxhho1uU9WR/umj6IsiFkF
s1Eb59qpxEYiUzkXvsC4DRveaTWAh+3EI4FbLaYeMEai6qemZ1/bqDunDaHI8wMo1LfICx3xU7cW
Xo2/FIH/Fp/yv6bU/UX9CNjir+rcHXsR1beV7h8v/L3MhdzEBwkCDQr6mehbdiT8hPx6N8UNkoAb
gaTkd3YEtSwSLAFiwLg0wbTPSpz8JkTBQ663utZAUQkLVTRF/0aVC0rlT1UuRvRAB8UYg/SQnfwD
V1FzTWy1aHFEb9oeA7XuLQujBbE02vuIMUFMKDCdyjF3i4Ph39k6oMsVSU7TXKrcSRO9Q+mIkRLv
Xg2Q/0Ht6zhxXjv6TWD0IZPu0G71FD/MjvsWdM47SpHnkkfwI4gXu3NU8tGpcM5tJZ4i6rx2SYM9
OXZvxjkFFUqjbdOMdeH2MZZaD4L1uWsx+4Zt1DQ+5NS+nw8JxrF87V0ACJ1QH4XmmmLoqgIQletI
3XQyGoquixqgKOlhqm2E0rfsinpgX2SMeDm1dBjaolENpfH0MqbzbeSM7ZFTmG6P9SEyzYdk/Ghm
eQXyG5v7WPU5fKvOEYwe9y1aBYDkwwvKTnhCzxFoV9fcTdFcbzFfgY29hKqwpCyvOYTRXtc6RzE3
1/BBb28MqeYNAkXgwLw40H0C9N0lrpoPvQP4Z2pQOSNENdk6DfY6OLmJrGwrknNrGRaa9kFiIqVL
OVBsRZ50hP50tJO3QVGCCjZ1vSvezV+nYHgQXXLrJf2093XsgoWIVxXRo2nEBx9cAK0uyHkMZ/Nc
hP2du9T3Wi0vs5WwUAYnzZYhySGFg+YBoSpQYb71qZrzJfWuoI1le8I8sZdVcwfI+RE/9XrUmIeu
TACawkXWdljdtAsUNLEaMdmPFmjLRnIROBSz552+WAB3296CWaga9D6iek4UUjrq3qK1qm4sSTCr
5APkIQ3JYXz1ubcyzdMxhiuBaIo47Z+prqdDHwZYv2PnDgIR6LxpigBpDMcfW6zZB9drvuJn3uEa
H/MmonX2f9g7k+W6kWzL/kr9ANIAh6ObXuA2uLzsG1GcwChKQt/3+Pq3oIjMECmmaKrhq5pkWgaT
AaJzHD9n77WXzGqOZSlCrzcYffWs4cfIwUZmOvN+Mo1jg1kPlwa+OLDbgyssh89iqKJgMLj+jZKb
Xq2PjMYU+zDq1oJpLAp3jEjP0nKdzKRYV6X4KnsSVOaw+trFlB9xgUUpnK2HQNV8gOUPS0Pj3Bis
qyLIqS31IXKZ8LRbM5Xgo5PJPsdM2G/5iNYAPFK2oEl81SSM6QuB0NoILV8k6vdYROq2aSoq7pQz
Khqs4ZGfxNqOink/js1WkcGxi5OTLvSTWk57KdRtW9WfHQPyvRYVZ6FMC29UGxOen15sJkoHdw7M
yQUsx3YrcTYCqYRr6YV9EEV8MuIeZVPDDKKHNuKOdn/uNOWL2i66ZykmCNnZUNzALjiPPGbCqEEZ
R6qxjYILOerzbswXlL0JfocB2C0i0i0IljN9Mp1NnVnPVLfJ1kidAumLgqlntA5TjA14rkXpBXQ1
waY32BHm9JSOKSqESH/OA804lrMTuLYszZOeROWeTO/SjTLddoORZ1SipZHhuLhBo2H7MseTmeUv
EDmlu4gmci1buRc1wu95aTukOemDHRcPC5Mnt5LCYAhJPzWI2NtbxnDWl2nrdfZwha8YnETVtN4y
1N9CLfwm45n6Y8n6g0zMOwwN9iauESpNAu9nbCyXcT5dakF2zSZkrSOyQ4mvjp8oJ5gN96FlfG8E
DeFaVly8cuncVE2fk3DxCdV6wad54fTFiUJEZSIzbcuQwoFWi1hdNztzSo9O0dHCyukkUkzVAiFP
hkZ4sS8X0NVEZ+DcjbM8dhHfneMAxiMTKndTOgx79GH3VZJdzX3qeLpJXyDIyk+2GL/0CmtH3EgL
iHu+TXHiFVV2NJv2vsFhSVSBHLboZH2CmDqUjfPXQsyfFIn/cJCSDKFFeZ4LpTsNcf6cjwRGGmPf
oepRDVx6+vei0Ea3LNIvogkuwgGQQll+hQyMPqu03a6hNikqcd2p6XyRizLbpPQivM7ILVfRjcht
W2S8+AnU7eJ0d6Zl3eLv0s4hDSs4ofPnEmDfZkau5DZT7i9MP4tOurWWnM0ouAnT6dkiJdTHul1e
qEEQbyydroVUuAIFw+nCKT/VTnWf94yu4gYxvElvkBZCyA3UkJ23uu+U0RVWzcNgGBxhqnb0XAyv
C2qxt6EQszdFHmgVi6cmzt4aUkKy2/FGZ6eulWrijlp7qWkozRT7qRYQ0lUU733PFQdsbezCTr8K
MdxhlBX3UY6NNYba2IX9c2AtftCXJ7xwctNMznEtLrO6/hYtaLQXuzMRbwYXOsNl0Y3tpm20c1sE
aEmZG9NzGk4MD/uzeI79NDZSd5CojSiTd0Lrh63U42sMmFfYAj1ppcM2yD5H0zepD3h8b4yyuquH
9KUNC7LFazP0Qid0dgkth01nNOR926ZzK9YRUD9bN+WYthtjKVY3kOLibE94q1emre7MWzOb5dau
0pd0KL/oYX4MBl3sh55Wk9bhzY21ofSckJZ/1sxHixa5Zw/yVDVISstA6/ZakoineCkughB9fYhU
ai1tO76gCkQQcFjsbTUaWOKTMVrbTlEaZtK4XKHs8I3CCqHFM/uNsvOISbglPifZRTmB6TpMIC8M
ajaqSrzsZnVw3AFK16FStOSIXPJbNQsTzoBzG5PwdSydVtktkz1jZ2ROSk9fpe2VRJtUZA/DvDSP
ar3sMb1SEUSnUcDRomCENccWSm0ylJW9qp6AcMe0+FuFIfg4XS1GOyNNs/eYzTwiH6KNuojcDXO7
9aOF3WagPyu81ddLKveWJZKdseT3FfEmZ8qk514613ezxAutqBb+zoh2x+JUBE1kot3hd0u3vcXY
yc7Z4v75FuB/pU3KokX93xviZ9EzPqlD+fzLRgHy8D/9cOdf0qTlzfwYrRIS9X/64UiioGkxBFmF
58jP/7NR0MS/kF3xQ8jC5N3y3//ZKGg/+uEG82dClAWjMvFHO4U3+wRLwyUFGYm5Nn0KOFT8/CdN
kz1Wc0+Qde+zCGyFmMinGbaxIv96QP7rcP6NLt7iX87YB74VMwHOGBXVm+M4g10FccBxlqYjCae/
oVPsz4VNz52xj0bwYR88pM1dPY9oKJMbG+Xj7qeb845+6+2e6O3fsP78p3Olj9yV0cz6u4zyPMQB
xDbHMTbYRq4VtS8+GAByw3+acv19xqaKeQZmK9B//fXRtMR2mmCZepAl2e2SjLulcXiQ/vO0vXNC
7x7CUk2L+T+PmL2OvX46oSbsLdQ2SY/31vADLCkEgN79/hCvx+5/nwU8VQQP3D/deHPfGBAMSsHg
2zd65VrlAxEL87akgfXHh1k9Hapg0sOQx3xzseIG58O8DL2PMH+vasOuGbR9nGofHObXC8b2Gw0H
AkTpqLxBry9Ym0TzNCqcTSZUJh+WOAsz6+VPT4VjoKpYsT7Ym9+eSgajoA4gwvtifmpF5qm6Z1Tm
Byfy66P8+iDrif505+esomxwnN63jPs5mXdGcRaL8VCPH6FZ1/f/n1ntev/XA5HGjOxFYp95sz6I
IkOA24+9r0bzTUQhETMRcVHlWxdIEA8U/d/yMTK9tqa7P1eIIhFPLJu2cq7ygkQihPdPtqy+6y0O
+KSpvjIYDtwuG76oGXVeoNy2o/m9WJT7OijOedTik+yNB6OJkl0gzMnTqgW3FsYPl0jJW4KgrrS2
dzaSSYwHp7dnk2+wdwy1exxsT2lQ+mVUWFBLpptWlaeyLI5FR5Xd22nqodFKPSN39nNqXuV2dzJk
c5bEQbj//TPw7nMGPonmCheOZe/17XH60KE/Eg1+0FJYZuBuPkqmffcBAAHPy8JN4T69PoKuNvXc
2H3v53PowwDfaHq6k+xqDf329+fy6wpgsv9d7b18azjem07SgkO86rKg863ibu5eghYug/4BnPHt
THZ9ynBL2XizVLzJq2j458c5WJggilJ2qBwYW/TVbG2TNn9I8tlFqBYzkup6F3DD7ven9s5X6Yck
GZMFWqhV+PP6uKbJU5tPSufPcUXjmabzgvgkDNMrUUfnUHbQ9E+XsS5Im7CfkN3c5EX25fd/xDvP
CtMzqaMpY4VFV/z6b4iMxBrprPe+o1seHUMvDOs/UpX9eIl/PsRbyNtgm4GmDlzeqWJyKR+Yo53Y
XnywJq036c1SwTkgWjbXZ/4XeXTJDEWZGqLvDK5lUd1P3eJN1p3eNi6YePf3V+29gzHGX/lp6zP5
9s458YgXeYo6H4bIrtTFqYbf2Wb9lfYNnNXvj/XOG6ADwEYWRr/XpuR6fYcMNTbEnMadr+EwZrfs
gq29MSbrgxdtvdFvrx9rBQo3EEWsuW+W2jpo0mBIuH5D8LzkjldHoa8G35HZbypM5wX8QRX3x+/P
7Z11RBesuSg1+Fpp+punb876Wdc06jJjsF0VaVI6r47060b/9PsDvXd20AwN0zBVeinqm1dcl9Og
Rhk3LB/T+6GNnwEK25umah23KLKLyij9yo5CTzGTj4ia790/Ya4vGA8Mur4351g6XQAu02ITlcXP
ghZVlaUPMO+KD56T955JLuLKbqTURUL4+jnJqqxWjWzuyJbNDnMK3KZv4ntFm2kSjum+Rq/8wRHf
O7N1E4CQBS2b/vbuGZOjzn2COswBrJtY1qHP0bVU6f/NOqlTYPKk2FSBkBlerc9RZCXxEOadPzDT
DJhmxkxgGZSbpXA7A9SY8VIxTegnul+m46rYo37/9LwBSP61hP38F7z5CrG/DXHRJZ1fxHSBavXE
FteLFum2S7eNDJ0AkWVDFXCZTx+ta+9dZKY8DqBG1jWK+dcnzwerAgzctX4OGK7SY8IX6UP8LRj7
rzuk915EZLggK4gW0PE9vD7KDC0XsAC3Eokt3LNdk5rbpvsyh8oHy7S2/r1v1xkmVqtxZ11lfvz8
p9pxnGeBypu3rGitM6fNta1RpXtlEPkm6OMDSJc7URa+Uum7ojS/oXo4hLMgnnf66K6a73z3Jeu3
TQmDHsx6+/w6SqH1lmxbH6CAp4R0SxRtF0P32pii/+qkLfbFrs63tdkySJGBG+mHQh2STR012JEh
ytiL9m1Uq2kX6vREIrQpM3QLbDMzMuXyghRXH3hVjWKhHzejMd6UWv44juVVY4S35EeEzGhJt66c
a64/nDmbXpAwGJSP+XZsQZKb47wtQrtwu0m/UEZ0kWY3gtCa1Jxh2EjsSvqZhedSBIgEgCHMwDSK
FzXMHpk9nMWd9slundMi0nB9PXylNZ8lHpG+ZPQsrbZ10YmpmxbWGy7i+JuuRAJInmEzLyhihr/2
vUOBshnzrnVnK3n5/Xv1/g3A1kQviznhW7kzBmlsOr3sUU8RP1oV0Rc0x2hpHMB/Dd8qLwvw8xBE
7v/5caVFhUwJi4ns7ebYCGVW9m3V+pY5PNRZfgnkbV+biyuU5TosmeHIdvpgL/POGyYRvTMShRDN
mPXNIpZ3NUC0IWt9JRvwQ3U9cqts1DZjt1Db5sUHh3vv0v58uDcrVqp0U242LBuFGV4WPcaEbmV9
5sF0XvRMfIwGVKqThR+1Wt49TSS2Bt0mXf3lQxvZBFuLtml8RytML8pzdGgSsList2Y1fkD5fvdg
8IjZsnMTkUG8XrWMQrQ2Q48G8/QhnKbLIrmWkXU5TYffPy/vFMm0ByxkowR401F5c++GTk0QXXGc
kViJ0dG/Kply//tDvLPMQ4GQcs2gV6mJ3izzumqbuR1yiKgSW4tv+cYOMV8vDHp/f6B3KiGG8msh
xH8gIHhzzcZ2GpMqdRrfKNTzstRYm6KM/ODm68qZnrGuuNATsVlkw/b3R37vK/rzod/aS7pwTECb
SC6jdYuTvioToJvQgjJr11ufDH1ypwTcie7+/rjv3D1DE0T2YYFgG/k2rszJozGO+rLxgyXfZvm3
bvzomr5zBLpHgDegfJhAqd48H1nJNk6PVFKngA16SCaTrT5+tKt/52HnMWejSPwPBtC3+4DRUYdK
kXkDvtJHtbdbqm+yh9xXfvAkvn8ce/UOrL7bt1/FMTfpsSx27U8L0J7yxizgzFloFz7aRL3zyMM9
gRfNrltbd1Ov317MRiUN4L72E+0hLI4IJMBZfBRo9KO1+6beoObWTCpv9NasFW+OkpdITbKl9uva
vBkqYFlpdSi1CEFfZSGly88T9IKMRZIaVPMK9S2/leuHFBHfNwN3hjeL9JAVjav34/Mspy9xlz8v
SXkGFP58ytTHPMU9HogL8jc+Aorj8X1VLtlAO2hKWDBlBOWZMOR6EX8ul3orSJMlrH3DaTAeDmoz
o2tgatgn+stiQfpoIvEY6Rmab+j5wYziABvV4GYRkzaoT7vWcdAuy+tab8MbgOPVZmYg01QhwymR
HexwbN2ys241nIiiivw0y+WmFBKPDwQlSUZGbOk3g1qP3mSOXlXUcj931S2zg23IXBv4bzofbDP5
VIl5V2al6Ub5eN82depRiDxXAbVPAEd7B6UFdnRmfhaz/mUKrfrAcojMnKERGz872dAooNZQqeN5
D64ZTFje4CSHJFhNglWEcs0CPzNJx+vj4Msy5thzY/W2l9ABu/TMnorHvtR2zhh8tuflpAqKSs2C
3VzFzZ1kRLqd2vqYKtl+KeRnXRkPUYfiW3btedtVp3FR9mCPPaSDDFPr4bJzOg5lxAgz1Hu8suAX
8SVuEwUJ0EzDCBGHdl+pDRjLxlMaVAt1iPgOwU60q1PD8nLy6EhG4C4l2TAeNA1ZnUiHZz0cz3I7
u7CTxDdUVJ2ZzbByOU/K8BBk2Q5K6R6dQe+iho0OzhJGpzJXPmlqtq17DXJUP+8qc7zDLrWNTER4
Zl082nNV7iS8OgSoeYfkQd1rjTNxJt3DYFXaFtZ5eZCGNV8HafAlnMBdCzlurWn6qpArf2sUi7Y3
dYpMsnEupwB4eVinvqbw/W67eNOp5lPTdrsOmaFHsuUl9P5mY2f2uYlR9kD6Q0HN3syMthlNTkpy
SdP0W9UlrVvbgY762TlKdSVvadpmaOw1tu9pNW3GPWqbKj6k4aR5c66cJ9MkPYwGT4aTXUpbfaSK
LTdsboULi/WxHYsnPRNnOXg9DZMuKK9V/lCb95YefF7S4UGxwH1j130QC9IfUfafUn08BhNYB3tZ
Lgwlu6oa3HC1+hlO5bgpB+1CLJZbiBR89qhcyqzfDlbpYckoN4attBe1mkDbi9CK5UIgbVq5InIc
bye4lm5M5V6XYrc48sq0cEwH/fx1iNR9OtKNijq4E03JPqPeS6O+UoqebSR0EMbv7Vc7i/TPVoE9
dYcCrruP2HRc6IpArxObcIJio3DNAnBuO8gXJ1C+mIpIPDmj9Z+wQ5wZhvLFlooXK+knWeg3jtLp
OyddNUYy6A6hUQ8bE0FBXNWgtPmthCDSLeCRaBsmSnRajMoAYrckSLGKW2MMdly0iyXvKIMDFo8o
L4sdoRCOW2XhV60Zg20hosYFVWeAw1GOYYbcRu3nlolWU7o1d6iOW1/rNAj/gzA3Wtp+7yE8bOza
wUHdDAkDYUfddHN8pDmdbtLacifUSe6caZ/mHHrTIJYvRoVjfukS000iG6mCGrEw8AC5vFWfA9nH
d3o2HXB7JXslVrZlbxVuDX9vr07FeB9N5AEF6ZqmM+3tmbGADOSuiuTNKNSXWeQXPUjf7+rQXnZW
vOWZhGAMNnzXO+m1bKJPTSd5Y3X+KD3BghwCZGvQr7gp3N19a4zNBo/fRV6uy5VhMECsrnCsFKvu
3SbLwJw3dWUj76rQTid5epMrE0T7Gn9wi5rES2K0HfEAD6DOo8FtwgH9y4iSF8RrxiB++eos6dcJ
cP0ZYvb1N7XHsekuQxq5W30ub6MOt8nQlgfQkFdtK04ORptdmaZ3cqFblxU2j75FDM6qf3ODRfls
6mHjTWVL3lDbRVuzFeNVmSWAEEbEUH0gLzUlPTmJJKaqbE03L+VVAilzR5xCA7KgPI9ETAtmNjRP
YKbYIGcvcBhaeJPKa8VJLsiSP1ptcz3gwYkCpjDtkO0WiWHc0OUVEglc9Hr7mNWK9PHto5Dp82Ma
Nqjm6uSunZOXOW6P0wypO3PMT1qQs0+C4JL5uTLbUFkR4uvSeqz76jiZOeOTqt8Lta/dyLLOmiUQ
B3WIqYrIh3KzivM2nOkiMYddlgbIqEAguk2nsGLgbIha9PBjZeNpJZ4XrpXkzwBjBDaIr948qmdz
jB7GCfr6Usap7lVOLb0E1lC8CY3MA2fxVQvrT51pEmTQ8L2YJkjHBtapMgxv7D7JN0RCflUDE9EO
uvS2AhJBk6d2Gd+xno7KdolpYPWIZtJc0qyr040WVeNutMLvWqdeCT3gUTMLNwvrGzbC/KlmDpKK
XcLGYXu/EcgvJiOdXDEYz1ocNnB8CegJGgMCmjmypo83WgaTqGeFJ3hkaTZJmjxklpw3cWhcre7O
/VSE1babcZzkIYAxxEmNpcO0SPOzkpmabI3Zo7naeFE7sDvpseDL4QEZX8zfNT4QAveYkMCzifrs
UakIlyekyOtinRd+rsANpTh4mJVxUU4FA7c9dDDLowkNmT8LlQ3Q4qelCw6ZKNtNwBPIAoUAaygv
+HUyBUbAZrWzb0lRULvsOs30U1waEarB/msheUkBjrihmlKjzhhNko6lP61e8CTs5jqgt5w8qYpz
W5bZxSiWrbUshwyCUS2zC6KUrpK2I/oNv2+daGdDm4DwkunnOjHPiw4lS9mqBjyCaf7aOMlNw9cx
1ScUQyAPtoWERmp0KqtTOOoQoQt+5WGZzc6V0UpBCuLD3ErEpVrrBlag7aI6m+gEqRdCXV1/xZjv
Q9WuLx1258dO7xWyY3Vtm8fGuJ/y/oTxdpe31SMiWodmjfE4BNVN4MzfkmW4jADC8aepdzRxro26
J/19qWcYalRJlUgMV9JP3ZZGAYS6UqBUDeH3EeFnWDARmdRI7JICj7858H+wpvxGGKTXt3F1Knrj
rLVLON61fKnTOfXyvjkNZu244zyGT2tNFeQFwuUEylYbqOiwFOe81dkyjCVa5tFpvhmDscsmqu2+
09BJDmh952ECqUplwFugwbCwDLa4jeLREky8Wjgh/yi5zlT9BNorISwlhT2yQI8HBDUf6mIJ3LbX
XgAE+rD77s2cB6YVUe93mfLUpfBrAyX8DqDlVCGvbLNycMdWM/leBTdKI3O/C7A166yppymuL9Oy
rl223fOBQee9sElzGPkuBJBlkVeXrBdF8rktlx6ovsGOYIEdYdXKfaQ69Vk0KM1O5kzy1UwJToU1
odKrzdusn65EHp7VELY2RpLf5rl6po1hui2wF244+cprCAA6H+cIyyJsXquknxtm67s72sUuyJLo
3m6Bs2JyoVBSNTr4vX5jBfHneimc/biMGW/F/ILLEh3sYuKyWMSmiDVIAcWXRVXPqqWV+1ElAYZV
/U4rkJAmRf6VG/isdnNyrky26fJbBJOnIE9p0VxK+K5+5EDnCpA/RpXW3iWdGZxkmA9eChPorDXx
oeBd6vYGAneUrwrJBEFylrAaAIE1cJXW3Vlm8XBFC2g4zeirDdG+N0nJlzsO56epiDIvU9qDEuj1
nknefTWKjA8RBeEyhldFCsysUdRtECsXVuycA+eDBTnrT7hm4NiMpzki2MeeDAA5lnKn6+0J2Phd
2JnqDhStulnK5mlZLTh24QzbcOkWtxMoG1WpmBudD1umZze12l/11BSeRrFKlACOm0aclA7p5FL0
N8RCOCfw/AQHGoFxhl+X0ygjGAcBlDyD5WOJNImHp96LlYwEdfmRLjDwTE0r472eOOdVPxSunMzL
Qq+uKkcFjqK85EVwnUym7QF0/E6qkYPGpP3WLuXRqvmD6YXjh1oRkrnqTzU0v85EKBzRNjxL0cWf
qYZyOQfVWecgSqizjO1Q/ti3pnoaley5mam0eBRfLIJd945T8KmNQzZOM2kdeRIBitHLZ6uqb8Fq
Vlt7DC7njg+nFiOJsiV+2SLHxGPrWA80kAxLfYHY9KzOyEIabZynZma+VHbHghw2wW4U02e17M4z
nR1CoF/r4Jw3mRWInSFIrQhFHe5iooPOSHoo/DmL1MuiRVK96fpYHKso0t1hqRcfN+l5Gy5Hofe2
//vGz3t7Z1Ls4K6uTnC+J6/3znVeMHiPkPXwvGyV8SGVJzSOviOiP+oP/rVJZ8FC2L72d1X1TY+B
HbFOARUOyFtxLvSlF03zBwyB985FWhZgV4Yza6z763MZ9Dpk51Cuh3D2uczO9TT1x6L3sIM+/P6y
ve5m/XU2EsWgTU/Gwib/ZhbUAB6Ps95ELId8bGR11qPy+sch/si09b9MsWlhVsBX9dOl/pUzvBKG
f7F2/ecX/+3sAhdsSwEpwHGQhqyYgn+49owAaZlBCwahb/OTf7h3mK148CQfqlWOxz3729mlqRCL
1+4aM5YfzPs/Qgzj3XrVkFrJd2x5dJ1/IVN7Fc7e6wexE7VM25Sqi72qP1bZsxZ1z/GcVjcZ6m0v
R6e/GfCd3qS9CO8lSWqQZiamswtLerwMxS6qGs3PlPSzUyt0JQqdoaaTW221kX2YPnTOwDI9VHKB
KV7rKCTzsb3JkNG7TPNar0fkvKlUAe+rb4q7QM+xuVv6ssHLiMmBMLbLHCmAh8mxdGkMRhdNwGIM
Ev66H6FoGkWdHiZdz08mpMdu3XbRQmNJHwLCJBo/71tSoyxMUGxTAdUzjxqNzG+JP97EJUCUNjcf
mog8lkn17RyPfNHrflWHvZeGyb5XynJfKdHNIthuy+ROkYkfCmrICf3+xky6PWjNA+zUjZ7BU+H0
sTtDBq3liqart1jPX6IgxW0xaSaghB4Cjqld4i1Q2CgEZ3ZS6fRTxHNH+lkCwmGxet3LrPlRihjC
rKMeEy2MvTnOKO8kTUALKwZJUUcSYoAeK+MTfm8/DxjJlENJIJqpEFpnj65tLSaa/fECS9+jNBqO
LtSnaFLHfaekBi4VYvCiyIHJq18XsWLjj9DcWQ791hnJBjIitndznlaunZdEReHZoPxIm63EAlIT
77ZM+GlD4o3aAqQFDeVaIc7KxPXHh4BG6LIp7Hq1vfUqykW4AeUGYaYlt4ohs/ukmnVc5+2sX7fh
NJ5I03WiW2PgAdh0tdMkN0tgsF+bcraudjiFu4wW22DE5o3RlCt6LGYvYvPpFCM5XoHYW4tT7LUS
BAGRwvo1BjyS4LQmfhhCCHNdqEEpU3LDHwa7/6wVU7/PFEHQGOI6LD+gSZMQOb3Xzk05uuMSzp5V
NqGvoGe8CAvi7shgDmBceskiBsyMBn6FyhLKySoM7RqaUsIWOixzPCLZ1bLkAw13KmTYbmV5gHOl
Ndt+5n8blaX6SRhWn0eryB7JujhfyFY74vwZSwxj+ggwvoXPphplc66UUXhIo2x6SrJqbQGYYpuM
WuL9P7+G/3DZSsm39z866F8W8Yc1nORUvmPP/fGL/yziqGIQzqMqsP6iwf+ziKPiQm6sS8bPiBp/
XsSJDtaoH5AHv17EHSy9yPNY4OFGMy//E809n4pfl3DUhoxoNaTwGvLM10t4WedxNyS5Cog6HtiL
NEyB1bxkS4f+5LJLw2pHqBc5YE51xdhJv011Mu/SqNa3y0A/LHbC/dA5rHAEcMiGoO0MNIp0SLyZ
uytlIEBrFI0vpTLtocOPXM1Wu7DYaPiIoQgSnhwcs11JxoY5WLQ/Bu16UlrhpzYh6bkxqOcLEOyj
7NLPRjfPHpMX2opW+eA0jms08pjnUGCIcwMimDoH07aSg9mzimUDAY9xvZAU1Y53eA+3imJgbh2c
7bQ0X+HT+H3YXdj4NF1MTMYFTXJ27ZEYAxgrvQkDpQtAELNLG9R+MzuWcmkpAwvlQpdZw6bk5WVo
HZqR1mYlR+gEmkKIVPjUSsX6HhpTeG2FQKc2YTD1nmhws+pWfC002yFtDbLzOMhsIyI+Aiy7fDmg
1qQ/FhFlXU8GmJkuzUsNM2zd4+Hq+88kc0p/KvLqy7iuSvzZ5bEgUkbgmWXfkh+0Vr1Iq07fFhH2
MyAkE74yPdt3zPeOPX23YxYkx8Wa+BMIwmL7q2OZbayLOCBxJlhbllEoct+x+6e+LADIrfvgGGI5
1h0/lZiR6KvVRy2CSq3kEyQRFRnulA3kVFjhkBzCii5dQqv3RNrKrkiD5dJakUK5GjTWdrYIJTXA
tmJREvo2ojF50jtTnA1jO35pGGRF8PyK8ljT/9sl1SpZx6t43s9LcS76SD4EfYi+O8sCqA02Vi8P
dgxMmaCbt/9/TfsRuGRQK/73Ne22LP7P6flXG9H6W/9e0Ix/IQ2jumQYiQRizbD494Km/4uSEAWV
hpYKASIl8N9VqRAwClTqTsE6h3xO41/3b96ACtxZ2mJ1JP3xgqb+KDr/GfKyZbHQPYJ2QyinoqFg
gXw1Ja3UtKYK0BzCxPqRT25velNufUpVQLNVQfJtC+xnA0jpKg/mOzVaBJNt63sLmIcuIlJMS6OI
qC3tIdFihggKxrcsn3a9Mn8C5Hpqg5o2Av7eWLRXGXJKVyls44A7MNh3Tp3sOxws15NWim06RVfm
XJ3JCQSro3dEJyjAkBA2mVtHmUYa0jMKxkC+zFOlA3HO4QS1BUj5Nm7dhkzXAPI4MZbTfTuhzCgM
YIex0D8ZFIhrs48GLKng2y5ynpHQ0Rpq062TTp8QXgqXrTkhCzZEYFHpKp1x+7Yr4xEpKMPEQHUe
RYccrCSEhyres2cDX4NBBq5GQyQ173MSQZjCirtsFtOVY4/fxoRR1dIKZQMuqvXSUXvqKltA6mJa
Y6bVpaED72kpiwMd0oE1GYckjk59ShWYAxVxdQUHddwpZxp97GNZVF8ThubHidRHn0PHm4FoNk9k
1nSlMufcEt4WeiK0xsdFCyP6nmB3+jSMdvHcGO5CS8qtFtIfqWxSPLLNLREbik/xc1XUZbOjjKcJ
JLUvYxTNHoZf08vYx2xylVDE1Aizi9qRR4hFrUfq1hfNGb8lZX5ZSG4i2hQ06pjQbYLNtvGkf4Fg
0myyiTTQSS3X0hkWil2Ig2MvxQaO4OwClQZsDcz4BhHhJ1C8ZzHDeIYHfBecwpzdIafh64yprxvN
CwGT0YnAi3ED5RduEN9hKJOazh6nKe7j3Gz3ra0mx8EBJlAr9iNpgpTU8xoQWkIsaut08ATj861m
LrWXxfplT2iGoxEj2o3FdWstGnOBeaEpbTw0KhMyPTg3i0Qca535nDHR09Uc/Jh0j2WEMTmSU7FN
h8QluuKeLwbjfF22LhFfQxj5bVUy/lXwRMkb7PMkVze4xYEsLNsYf9lRbQzCAWobVBAtoI5ZkivG
qdt0/8PemS05bpzd9lX8AlBgHm5JgmORNQ9dN4iq7qrEPCYSw9P/C5L1u7tlWaFz7s6x7dCNXE12
Ecz8hr3XLrWvfvUe6eUtw+dPTWrxtqDhPfkDYBy9SsVW5G6xKausIOqFXStjaUDqUmfV7FYxRCy1
tX1+hXD/ibBhI2ECMz24Wa5t9Mo1Du7cPnWlxvd8Vp+9bqqbwnjSnGJYM9S45ZIg1bsG6+CnlghH
o4cfVsXodkXPCtmtLxj9yGFxBEIBce8Xcb02oWWhR2qvLF2DHDR2x9L2nvRYPUFAiEOWSfm+6FgT
pEMuiIZUZ9eJHkSHx8aXtJ/ke7xHU4AeNIvW0HolOdXia6LgOMErvQ0yNsxlYe89nIZola64i/3Q
g8awEYCXV3K20EPIsj4ZmXf08CKFPviktTE6/h7BGPL7MQkrfmjD2IAxmpuHiinaSga6DDuaakbj
oLTHrtZX5Jh9NNjYiVv0xrUPeBteAIxVM0UNPmp0CkM5phC/8ydnbmdISuN1w/ornHVorCrt9uCb
9U2W6NC7MyhknZDJMRsEqG4SNu6GwRwObdnlp8Dj+fH4Sqjedh5Mu2H+6ywmeOer57GLEPP4nMBO
2EwkYB352i3yDHfxiI/TpnSSF9lRVXjlQK4LYgJTuFetRV5jLluEKhGj50hAB+50MF0ze3/qFVGS
um0/QOajWpNGzg9I9mdqkKHXVdCnNKzHQestVVt7KiLmtVZPknAReSVAAY1GdVigRpF3dtIRWHlJ
jIYuyyjUe+ezSsmK02RO+m1zZAfyBSTWCysz+DQlWx2d8m0KpuO00JQMi9WulVpfXKx921wST41N
knJI2wwUrutq2QQnTWmFjdF8g4ne4NVmwRxnjzIdXy1/vqBXJBPZRAY3iuYJJDhamal3gHyUW1XA
WwMBw3t1yBzv9PzQzIQ7zVnxFnXNgazRL2pIzU3daEFYj4C/WcW8oO7b+qOdh4IEvv0IdGaFc5z5
bcR2rJ6YRffZZXDJeO3kfd3oLyrV7RX6+r2wwfR6aDfkVCEB1mD/2t78ypIn2jYjhoksstIHsgXl
Kc08sWqn3twEhABhXlKAPXyOodhkt8cxr1+nU9AcJ/hh6BhsazEJFBvCY1ghRfzWtbnyQtNVZHVr
4xHdvNgnY+sgGEheVT5gJfPLPZ8iq+hEyzfKgwCuiN0NU6yHpA5OSxg5H7SQHGkaIQP7OO8uae3c
OQWsuqhjMKOy7mgzIMAa6HLHV0uiCBniaxSYLUdLn/GFKM5+hWOPr1O0kUUKeGQm+7dQZFZlpl3v
vZa/VG1HT/YoGIg4/GULj5tQEj518tourMAWF9TGV3njXqWwAh5ZWPmMOcR4SAvWlWP+5MWCuddQ
DQejkVeiEPkxssscYQRrTDkEM6kqOuHHDVa6JvJt0O/NW2oTuehoTh0Kog83s2iNdVtDNwmIb7KK
vTkm11QUEzIa9Bzs7sDPRe514g0PVl0Tst0VA6pvCGxjYZ3Vwlmu5XBmSVyufTP7ApQkIKi3OrlF
94CAZF8YWCxUudcMeewapnJTOgDkzYY5FD776jnmi0lIZB/qEwlBfYsuneGDoO2C75UF8ZOujUst
pWdQCm30JKTUk7tYE4HVurDEVFmzE4jKQ9dmJzbaHe0QgsmGA5kJDmufto7OepLwxbPTPtQs45Nn
dlqTfVis/Li8zFXUrUHuKTBz0JMd8dAIi+PDmj/Q41ho3do3CVim1/1PmCN2aLb3SQFnf2qq+OjV
RNaMQRpmsvlAdCaYwEUXbi9ChyQsvz5htTmPrNvqIPhI+gGuRGOSCFCMu3yYgosl/a0j8/7WyPP9
mALddqtyXZMev9bhdocZCxr6FZLj6/KbjJ1vIvHasPL1b+DhndAZqESdJaBILWKYxKjTbe81+tqe
+UjtqCWRXBnPbop2ocqjYyyS7Mms3AI0SQAslmCOVdsnfNEK6j6wwS2IxwAj6jR/yybHurIyap4u
Vukx4PHfVoZ2P0ysX1a1y2yKjv8rZ//Wn/qz3nePmaXDdATusWLyhEyNxyVkq5DRlCcveBOsMEgd
uULgcrLJ1eHn0bbZRfWAoA/FWaW9D6V5Pxfmtezci6JMWpFSdMXvjgSkHmvtgmRpzG3kyxspi1ev
yTdRMOy1kiaUH3miDoC+NYlbZUXrvjP3VjDfRZo8eQB61opP46gGKCYI9lAtWE21dnzYl1Ni7qVZ
ziuzn1HEGIzPpi7eaGl+Qn13LgaWTpUKLl3jNeymkzu+CKyxBjgXdfmpD+n84M6gOVRgnb2y67eJ
Gt/UHPhkcDe7pprv0K+99yiJ1mmg7xx9sq9BPW2Zv6errANnJ0tkZN2TN48PNi3/ioDQFfO2g2Le
gazNReXXOjpM3mLkkCJ1bw6KRzsVJCLlkCr1We1dq3FCixdcaaru0B+4NltYNt2twA+MJO0+T5Iv
MUDH0IGBiTzIeC7A/kx69xqo4MqrxrvUy70D/J4XGEIvnXLu6y7bB6gh1nHExS0QrHHMJukuttWj
dIuR0k++suY9A14J67oz17k2hhOJG+R/B6xGpzXQs7AQTOnzdL4IMZ6N1N3HnrjEHFeV37RrAl+v
7arBKxFFHFbRJ+fQje2+OmQq2ZF5jVpzlzA19x3/oZ+hHY030Sj2Rjtwqqljq+pPO2JQDGZk5Rpf
86g/paKrroCg6rtGRMBfL35L4alKME0AaZbZsU86qim1TedUlzLTdCrhMt3MUmPKoT23LYGlztzf
wl3+Egx9SHzN+yzHw0CYLUOto5Yk+6LFY0iQ1xDqeamRGtJ9E8NRtURcGeZ26u/RzK8Gy9iWzIJm
pz2bJlqBGZiVzLDdLAy4wDvYrfFpVybPiW0+DRLhIrmIySpV4sNTbIAdjZQ00bv4cFC+SBg0Wcxl
CxcOovzWqrSwdJpjjM6DobGzctHx1PqMZAT85ZgK6GN+iEruNoqqreNPh6wLiDA1aQ5KVi4i+eLL
4qroOQb7Ah2uGvs125UKFQBqMk6rgFVu7XPKVoQfUmwVicvwXoTMTvoFd8X0rrVvRZLSgrKBzanY
OX1CaEU36Jcp8az3YgB+ZZmTGyauh8nOBeRkKrUhX/GjybQHOcBt1jMPWnxahTDa8buji+QAITwg
6T5K3SUDyDimWYSyNQY8mg/UFIDoznMLOZTcxxORJEseOL8m5EfYSXAgDFp07qX52ArUPGgIvnkS
Zk8xpekpzwhC9wOUcyJzKp5PEhCqprzGz1Zj/NAmvvzWoYowZ4B+rdlYbKw5fctG+Lec/nekNTTb
vvd7ThnGUsHs3mSudNYe2sKVTgHEF2twMEwWzUPeZRNwq+boZcFn32HIEIt6g/0QOyXcszvPFv7G
lMhsXW8wdk1mPxtNwAPk4Vcys2yLDpH8RTP7Vg/tWc65vgXDdcPq6qEsVXdrQFSDmFM5a7OKH0Vj
XKrpGwJfNm47M5ufXBm8l7nDKK64ylnAD1UPGLlwNhr61iiF5abyaUcqMq1O6Tx1SbVBN31ltwgj
VE3oitlpX3uflFsjIg0yVjMPeNrdNQEXbDN7V4nr9muoR+QPGfp2rMajYyp7ZWbkN0pRnVtB4nnD
LMLijx5oKOPev0088eRM9sqaGDBEWkygUEkiUVJn+d7u500+tuzZWMD1wdd4jC6lVpJRWINoKAVm
Iy8sG3XPCOAsRnhJfUWX0x4VGuowqt1bpFgrhqMYNd755hv0gAF7dIXm1j3TW42kHtkrJ0KV5/aj
vo7bjGOLUrnPOevi6gOkFRV306/NzN01Y3uvNOuj5TjG6nJJC/nZz/ExRUC/b0hrWrmWfz8VxofU
k3WUGOFgxGwq64oYexZoKGEhNidcOfW0H7qGoSPG4qM+5o+MR/SNsBExUb5uc5DrlqMEocgob3qq
a2Trj3lGbaSPyNmt0toERo/wXXTjxiR6yCnchO8a0VNBkuv7Xz/EmHViPaRPxjDzmScPRjN29wbu
DA6VGeJeJcu1FYtmbwQT0wJfB2s3yFMp1VOsCDV1x9bYOxqy+zaK7nwv8TkcF8z1dEidgVAgZLoE
wIJxL0pv27X9JkFrGEJrFTffDQ0Rgk6COeF3oeeM876zdv42hcN4b7JdXRwLoPJ/mMLZpQsJV2e0
79AbBGwwHev5v/PZ3+azrIH+fD77EL8l/7iIfvr4If7gt3WVw4/+PqQl+4AAE0QigH8My2R3//uQ
luwDluA2XxyWT6aBfOS7IS3jUzzjOP8BBjlMdn8f0hq/MFgg9AD5MoEl/t9CPTGG/eHx+DX6AN+j
8+uomFppCQv83sqCaL4kQL0rjr6qwgAMm7fw2CInncNxYbQ1wZSue4J2Ni4AN1HE3UqBdCuWXmZG
O3XfLftTLKz8w4cBp5ea2PhB14UtgDgXUJxf3tvOEIrxI5phsDYqzGEGjcq4AUF5axnQ5qbASLYD
ADq/CFiNg6RrFzYdsVVX3UKr8xZuXZdZZ4hwHUYK+8u8oO0kIjux0O4ysHcC/F0zBsdx4eGZWXMV
AMjrAeUlODvzyZLgUOzHmNJlNXTODT2CswU3gD42JSOwBr03DNprnQ2HauqvSQ9MOWs5CNV05y/U
PoxZO2YVBICZzKb0nFZrYfwBneMSiG0S1wAAmoAA4zK9sTvrwCtlWz2+hr7f9ECx04UfWNQocluQ
ggDnnrWFMegutEGFJtpY+IMU1JdqIRL2yNiPmHtl2IIrJOaNmFG4mUk2RGsxC4qisX6LmDGsotY2
zshT7klMeGCVTsPWgUXE8hqv6wlNqB9FchOhX2dgs4AUISp2C1px9lV3VxbcJXaefzropIFgtmyE
kvIRJmm2r3T9Y3SG/TSS4EttUQBAzw5anJVrpwfuWpANulG9i8enDw5p1oNo7/rTbMsL7oqcuTNg
WIQjxVYm4xDWRfGY+H63Ib6o39n+GI5m8loQCb3WvIzxZiSe4zEm+w4RntXSBxVWe4vJoEEMC2/f
S65jV3/TYtSdYnGAJIP97POi/H/Jfi030vBL0twQlA7Kh/pZb+vBBM0R9BdHGFeeRjPzq+C+fqiF
d4ThWayRczxnPdMljmYQ4WgQHdldWxZLL7NJv2Y+uXpNBsig66mSRDwhdQdLvvbn6NlTMTAiOJaJ
Nd34jXEa9JaGmtwNxhMKDUPX7/sllKNd4jkMZ9yaU3yyye3IlwAPshMe3JSeIO54WkvRhYq0j8TS
3FBEsGUt8hyrrvlSL9Eg8RISgoGGwIa82emapu8Jt/jimjBxATmyjk0Ta3FV0BK6RI/MCuHPyrCR
MNQWakgjVXyE40exhJa4masdkjLLKBoM8xZI7bgGjZvuaqez1u0SfYJHQ2feV6vVDB1cLZhwuQDD
GZ/bmzhlwoxWbes4tUTFnL4MsXbpUoYytlk/5x5p5Qkocs/pSuw4OVGylSw280IsdxZ2uV9ELuh6
WrKiMPpNTLhJPcc0hm19iSa/XfUkS8kY1YkVjGdzAaJHCxpdBRP8WXC7Hbm2pDDDTe8KEyXy2K15
/w35uvpxqLob8gDFGnHO3tDl3TjQI3cLhl2rtY9+AbPPZDjuRqmdsxFoez0VR+Ygl6Jk4RRL296M
CdGFwgH2PrIAXWmsP1o48E0co+R1r/QFEG/kiaB3MY49okY0TopJaTI8GmVh4puheU+8a0SlqDUT
wn9NYqOdRQM72tM2alHpJ1zMa6UCL4QuzACzqMutV6e0HVF8mjPzy1ATx8iJ4a47vFRYBHAHpr18
dzR1LBNs6qJHOtWnNg971NQrVcADrUj/q3T/Me6h93aJdKgEhcV3teMD8HpoLj5NY90M5q7WYSD7
4g7l+3vlJzrK+WU0CqPWnlLAIT3dcNEIQsBBcyYD9Oy0t+zVkMKT7XPziqEKemEbNq7sQYKn6Zdm
rDsENjHtg6GRmjPPtD7ky68MN3rxZHYxezltKE/ns2sqFw9MPXO7YF7Cz4Q1KpjuoobZqQGCYGUV
83QH+NpfxTB9QyvBX4fN19j7SO1flWY8+rPT7CTJY1urzN+C5dG2sv4jr/DqxCA5qsbCCuQ2OxXo
UL95SyeUmvO+9euWjlLbJ378Opr6eLI0daWkGpHpg+PMVSv3k2l0m6gnqr5KHdI9q9QI+6bttjGe
hRUYrnETjWUQai1xpk7FomTyT76PI8AINHOtl0zeyLJAt8fIIuI66ebUgQIrbxRP8sB3K0ypIrnl
D6pob8u4iMJ0TJ7TgMuOQlJu50bet41+R+vJCCJN7mn0AP9kw03p8tsyY/82sDk20mVJOGrXes6C
yp+1cKzMk9nCx6jj5CqDY7CFF/NI1Lv2f8D5/39MMvpb/RZQJ/156bd++8f5x6zkf/3U71UftZ0R
QIdZaqrfgP+/V332LwALLLSiwAYXsdH/Vn3BL2gGAav9HpH1z4rP509aKj7bBMoJSYggrL+RA8An
+1PJRy+AhBVPPJpR1Es/gxPIAWijEe36njMDvaNQjLwV+VsrC8Y7DHAOMjpHLVpTzpIXqIQeOmzA
LUY90H4zPGTgh1Zx1uonvEX9FSJMsZ/ckpAU390q0xy2Xu8LUPdL8FQnaOlVNF1mRY049SSCeClD
Vdbk1hbm3mvZlW8Ry7zVmFh7Ul/bdy41IjIsxoArr1cdE80m2g1RaT80hWVt0tZGwZclYYoPeeNw
6b+NNNr2Yjp5YEO2GgfyuAYb1D343mtqKG+vM2Z+ZLM2rnWzB/5rz59D5nRbttaIH8fFZhn1/i7H
SDcWtrGtVOFvdbt9DWLLCQndQMsnc3Mli8bYtJJZjNNYn7kwTO4eFmlNot6EJOZ9xq1Lvohce32h
sedoT33XUD0YqgPHGD0YeWacs3zCdzqDdgAkj9+qEq/5GDPgIqEEFxq1ZZCm+7bNtK1dZTXA/yg+
yzzrtr4zG5t8BgnkxXeRsN69Np7XSsgzsUbtDU6jK5ryONHPWKXpbNtrR8WvzVWEFJJUgq7IuNDb
Cq775JBrUJAfmai2e2pMNL2zMzRb2XT5Ifeb+sbV/eht0D3Fnx+lFwcTDtaBcB5iEEtO9CqczKLS
5jQORW1VF89Oj7lUz9nQbBpojSG7HNP94kdVe68XTNkLhKTyXiF+OmXm8EwuZn3pWuHvkVb2XLy6
g+jI66yx3OmqYskUO0NwmkhsXMfpYDNEcVMbsZdTPJSedupslqpL5BLL0N3cq+wKY8o2baONEiq5
rsdpQJhlM9SbggrBcDMdlT+Eju5ge+5JTLhBtaW+Qa2OunA2ymQjeUK7RtQg18EMmUaGJ10PxhsM
Q0OzsqlbX43KZgZnCKR0WCmNVQ+IERUERux4iHy0KOBRX6SVu1uLR+s+tU0Rlr5mvvKIMqy04+qY
V7nawX7X17NhbXGc1/DeSQQG025cGFUnoZYb2aEfi+JZaGKX9+ZZ9YP72hGve/CsAVKM2TjTedC5
72Zr/gtKzR+ViCbkRd0HJETWO/fPjy0hQTIVY66m29dBstZmdt8Twhs/2pXaX3hBjD/q1lEoeSj0
fceEpvczKyZOu6BrsOzsBdvEumsfhuFW1OI4S2Z/aEyEccptgpZQ7GXGItuFtz3iTEN+G9TGqcDC
lvYT7nT5m+bsT9Fbf8BA+hZnpEM8pM4JjoLpJ2uHtOIMCGhV7zu3KvaeVyxB3zC4C7u4Z91DmI+D
BccsaobJttgHOXz5obD2POh/xZv4w+exvBUXQJ6PZgvG80/K0NaoIcUXbb33pT5u8jIjzKqLPpvG
uHLyf8at/v9sAvnnRIbH+M9v9Pvq6z8e2n+X72Mvz//vlzqjHDwbjGQcLnBuz+9HOQ5YELDLC7Pb
5F/8c5IT/MK8m/AeMvDwEPvWvwY5AZGYNpgEwkx0h7Ag3f1b17q1PAb/ktstHhCIlBBVHEcHTIK9
6sevbVDTVHqzN+yjKmte9FhyIUexo5YFc49POq6QWE2GFZqeaPce67XIAUiwstsi+pRaYZ1mJior
DPbxvsIYjYt50DrqToVkyyqcHYZCAk+a/NWf436b653a+vkIl7lD9DWNuXOBal69pvPYbOFMcVlO
iazJ5JLNWlhtcxNVnfkldYk9dCmyU132H6odxg0x8tW27h35whrkoy0sAZpD2W19NrxIqlUm1fyt
nRvxnBpBfVJS+CyS5LjuTHyiq64IWPV5bho8NhYY/44rb4+m1ntOFzFqs8hS818VqsUiVjVgn7Ka
IM6t5YvPDVEdIlvSBjS8L87iKh/QFtTj01R4tFoteyqtDI2gunIF4Q9aMX3zmiyMM/jEc3zFJta7
Ar27o8Vt2fOWdC6VIMTeyp1vlibbu9JQduj40ggNaxzftWWnu9a9YAMjAWtmidDZXAkfc0ZDS7+y
2unOmgm+z2Z9AqOI8SVqa+6OtEXi1oAOsdjR53JmNzReg89llG+NN6oanWPUlY9l425jjqTGw+qK
7C3MisjaVG320o7LzszXm1UuGEjZWruzOwAmdcaIL/Jeywk8AuQNdzukeF8sryJGowjYMnW2Uy9m
7uPQFu4a8ctujtud12fVnodJrzcZkyHEQj7v2lD1KhDVrSi9UxWoOhzH6BXgyzEdiYNMNbYHSCGX
IQQTnNRtCJ9DqGwK49XuAqql8TnS1M70nHcmMdmpbAsEDcHwxl/HB9Jg6ruqqrWdNcgLe97HPK8e
9YRkJNG8tBau67i/CWZ/X05qWwsTcVnz6Mw+KUP1mTSGMAjUjQ3UZ2WX2i4vgdKYzu3gM4HBbpt5
bO9l9CKJ+CtrxaPnO2uoFAz2tduiNUnm0cDgJULHWTKY5CZg9fXsrZ037Ded6BmuDoWC3gLQyRFX
z0J9xnLumXWom9yy6hVZ3u99q78R2Hijj7rJWNNhbRvXH61DzTHM8bVeztjD68c5KtoVc4BNac5n
fUyvJcUgi+FkT9LzsdTLc4K6Ki6b61Krns1pJEbU+UKM5+0gEyRkfFOWfRoTJvubkROsBWKbbpYo
SvtJFnxlCt6hPZi3dSHM+19Pz/9eI8uA/M+vkdueK4SlwFvyb3Tb/OTv90jwC75UvprQ+Aysg/yb
35tDn2UBTSCWEgDQ368EjCUoGScKZA9IhSwHKBP+2SAadJSc/QH/oWijWTT+zk1icFn9cJF4yMWX
16ck497C3vLTRdIwXDBYTRz8OKanMz3FHjW4n7rutjL954oFnD74GmpPZ+MxkWBjWxaM75nfxRN8
KbzRDYnhEMq++1X+m03Wz8Ui74stig/WyTK5Tpfb9/tVRQtuYjSRUh8c91uevRclQfDDSmvPNp0Y
Jep/fjVS3//4e4ANDJ2Mqx6M4c/FqaoSgRnSnQ+DpebVaAacNzopLMb0aHUeqZwF4K0CAk/fwQzt
grlDe+jdNEOb7JLRJ7g0GnejCdt+MpL3vFXuOrGLGrjCgFJt9m7z/DpuvHc5C/R0s39VmfXZjazr
2MLqLbFvwmfQUWl5uxHVDFfiuLVRVmxk65wHD9kluRnPeVV1u9oMHttaHrS+BaOWH6ZJJ645aV+H
znoSE9NLBpb5mlaZeRDevDWU83UeRV8yQii8GDcjJkdCRsEC1FbwoQ/u2bDi0xhX6dZv0pO1fLh9
bDC7W0akYizqba4lJ9SDHynyhUA15BrF6fvYj296r43r2tQOhdscZZQV+6ZpX1PPbsNsHi61T86z
UMOnXSLng6LGajSrGCPDL0PTl+8ap3kw6zJMbMMl7jqfzlpTbzy9/0wb4ys0Os7cEXJQF7u3vel8
dC4RzikqMazgXMetHrptfMqy4STq+jBERACWgiDUqN+aVAkbsmf9VeMws+08+m3HaBgVd8ahHudL
QWbTqkaybmUBom4ZQXCAcLGR2Tiv6WLkXVs3+YHojUPmGqGtckX4tnbnl9MxZ557SFB/UCmxx9fM
FvxwVX3GNasMRqskD0fTXlntEa3oHqCav0qniDHp4BjsZWk0p5e2jhciQpHDAe015R8KE9Ex6bEV
0t3WH/hDZtUyLV187QaKRrBNwSb2nHsvnXGNZnJ+MHHPblweg82UzV+reEBbafavYHJQ4zOv7738
agyCUAZgEpqll2KbMK/SjoseoVyxzpz6IUmKK4LHIeAzYLRnksqCobir7QatHbzNceruSz+Hr5XL
t7gs42tFVq9cyyVwj71efBh69ywcQsfQXO6SwDg5tXssYFFtGlRlq2hYhOsjgei5g/O3dU9xpw1s
MVAS6DLT96aTpy8siMA5LAF/cWLsxl7bKu2gDd3rAgUudQJWo5kQcfb3RBo/UgJDWOIbtGbaMK3M
scnB5CwAL3WcGucT1i0ILi3smYyt9KR7cQIXEbW5M2sPR4EsndBrSjgXDZ8cGZlbs08vSZK/4HMu
wghVyA0hsy45ajVBh3YTpxu9IfU6JYJqQ2jd0asCQCYxyh+nbp5kMz1WTb8PnOaOI+RRKo9Nl4wf
5nj+NqbQFXqC4bV8PkVN5KKdSV/yfpn0esOuN3swPsGSsF1a9ovmNm+RwpSiadbFa0sAZEYVb038
JOCD9KekIlCxpapZN8N08QL4TSJFKDwF/cmu2+NEYsPVWIwX0qeZyJvzi5eSRW36igrAk9T60nwj
um9CeJOpvcJAiK6sRxo44b7lijCOsrH3A8aYMwDzZ3KMJ2SvxO4OXg8HugFkBWbPjneClA00zu17
LoW10Qb57LbTsO4UifJ4mQjsLuQ1gfblykrE7ZAJsTP0VNvHWvcoZZ1tKi1/yvXpodDRquiVRixy
f0ZCWi9OIbkTUbnVxxEBSrSux+KYN0j+ZfJoacVaJwjUZQTnkRdiHqK2vcaecuTqPLXUeiNwNRpn
HgFWcnheBtSxTXE2JZnVcZeQIO/H+O3qtKScC55EQiTWZBFhNiCIa4Wmb0Xk3pdGvYtZ0ohJfOtd
a9q4ff6omvnesKu7qJcJMtXFCl74R8+uni3f+BJr8aFxvdcOWSPLMvdhmvn8EA7vHUhvq6QQwzqd
8mBjZxNpJkmoWvU5uNopMqjEc8aFnnkcHDhY+shwIe6qZes1AO6xpQVyLtr7Acev4KhEOaoI2qth
PFURU04QZpFA0tf2BH4PzoE9rDwLrTuPWckGL+h5TFCLN5LAYg2tTKhHlJRS2c/jMH6tqzHspOex
uhxWBRsGuD31N0yV+ttgBHu81Syuyyu34Dsf+9OwYYgd7FK9wGk59RiG0gw+lDWGc8uk0K7Nfefb
3d6dqr1WddnaSudTnVCY0gLhrDe17WjL63jiQ89x0VA0J5e+NEuU3KysI0AhXC13VRscxcRsWEN7
u48nVFJ6Fh9pSjZlizOoMdBr2xU9VdWn72mQnVKpP430orjHoq/cfOJsC/erAtyFfg1WlDfk7Xpg
E7krg+mcTmVxSyhbvQnwS6562+o3TdTd++nwMUf+BXlT+J9LjYVE+33nDqfI5n84nkzTIyHmpwFP
5sdDIXWNj0dvLloR3+dBvdVbVtfRjOvWdH4b8P23OF8K6T8vzvfodW5iTOL/YFY//bFAX3769wLd
+4U62qP/twGuACj+V4Hu/oLo3yWvgtHNEn3wv5Me0poXCIzFnsb8tXj/16jHBPdBWc+sx1gKd4gg
f6dA/1HRtUh2LJO3tqh/wPSSJ/1jHTzOnUzpz+sju8RvI5ZhQb3xF7X2z7Uvr2FBFdKJmsf2RJ71
j6/Rc2cldV/Ux7w3ng05HWoQ3vHcPxjSvv3uQ/g3Zf0f/joswXghRqwIgZfi/seXQtnSudIb6yOm
jrDT1M2EjOj/7iWWt/Adr5etSgBueKiPvantMl1+SM37TQT3pwPjn5umZZXHTo9PhaLBsb2ffmFK
SmZNAX8LAy9eVyZrS093gdr/57/IHwbmv77MghwAObNwXn7qzQSgj4H9C4ke0G6HKr2KKnWfG9GX
oraeo7F+HqzyPS219ai0rwNms7Vh9x8dQbepXXBct8W6TQpKx9S6iaZh9xdv7+eT7Ne35+n8F0a1
/YfVooXbpvWMsj4GoszXCNsu3ZKfPQQkXTvZqwgIhkXGruU9QDXzNnd1pitYqSycASNRysJuNkTS
HPAy9uv//N7+7QcU0DUyG9X5gv70DBRWM0slmvqIKOBqrIs1lIH7Usuv//PLoKrkYfr+NF9+Bywd
bQ70hQ/x85NQOnA5yySojrrn3o26fd0RAs6u6jTZ9lF5821WiM/UNE+WSTFeEB8qsXuu4LvRDYFi
gHiIf5mwcWcywlgfwyYh/yDxt0NC2rBv3prDDLVsUUz3lHoZsokEMIvKIcWih8+cFln03GKGFtvI
aHbItVB+OTbhQWRMQzJaw6+v1oXs6+28zE/HaXqy4hTFMhfVqkwDNoGpvm7yEhplSyBa7F3NQ/XM
pumQBP7T5E/ou6cHzF+MMbXT7M6nFI+tG8W3lj7ttGa+o7K8JXfnayX8e+IHDkbnHzJ9fHSTLkz6
+aiVrVghO3qTMPJc1L6dsB7rUhzw4T5NmtwP5fA1HTvsZ9FV6sfLBIJ0vqF/gtJ6hsF4yOruBuv7
dZXyjEfel0G2O0up+/9h70yW5DayLPor/QOQwTE5sI15ynnmBpaZJDHPcExf3wdUVSszyWKa1Nva
yEwmkQgEPBz+3rv33HZILwfJmG/GFhhYzcmW3ZcpBkOidYEuNGD1PQKJYbWj3MVJvZciyOhpYpkC
GHzlGP6dG5RH249WdrltolOr0beD3bC0Y/9y0PHsoOtfELK+ww/eIkgGUjMYp9btcd1O16lAkeb5
W7PmJKWircagyh8MHl1UL4bcfME3CKYouA5FbG/rXB1LOz13nekW9fHGC/xvXlp9JfbgvKzGKwup
n1eZqxnCnDn2mZg0jblocZFPA33MYhdb6iZFxZxbzq2CxcedLZ2BF0IMww21164UuO9Uug5lf+aq
Go8HBhgtJ0u6TtJFneRnqAsf8tzeMr/aIsHZ9JCBPMqY1ZAT6j4OW6T4F1qSbYBg3rMDEoVinMAP
3PmtvvJKdzsK+7FvsjMZMeQOActhbS3GA3px9H6riNogLy0sQjiGCIQ/gCXdqDzfWUOxtf30oja8
g1u3OFvjDaaFmzFol4GUZ3XYLGVunI9us+3HeJsxkJ3tDWLuXN5XdQ/hyFoHbb/Gs05TVp2FlkME
MFRzUpGRD/rWNsmnTVo1Z5GnYf1UzNIb9ShGua/QAXlzyL1rbieZ3YXMyjunWaNvWzcof2qaACrE
aFboq3yMwIJ2Dc3kHv8Fh0y3deEFuOO8fo/AtrZTUi1Ty7rwbOMpz/xLM67v85JuWW5cZEyUKby/
BWF1qhW6ntE/ThPeyFDs+7BYB1m1qWybg6iFZiczwVA3dCAk7VkBN3ehCRRBFLIPfpfelD7ZMMgz
8uWYT4+tXZ4NEh94qTVLTterRHV8eWl57A2Iq6YcDxiLD93o7UfPfYEfeV5bc6MAxbmbuJdTKu9w
yDzoRbrO0+yhcG2yrf3yHgTpwcUnVoXasdKtpwixUWdPRyevX7SAFd6isG/Lk9fX53mMkFCl2yGw
r5LEPdV5pjjOYwhr9C9xIq71QX3xM1aWNaL1MNLXRqVXjQXki0yNK89R68llw7d07UwnzmyKsd/S
ZqHCEc1Cnx2Dwj86Rn/W6uMxBGuD/E9fcBWTH5L5VKBjSwva3kG50jzrJqUwXE4WtdVkoCu2w4tR
714sX7yAWVbA52Hi0EHhJ6w2ZjhdkkNG8dinpKxF1+wZ7C99x5aZspG6dypK90nAuUFM18XQPQoC
plWAMCYx7nONxOu6r9a6o12Ugb0ui/CpNLKbPItNzOvDxsaIiHIvOzADXHPQhHpfHqPJQyQpTpwY
13Wqzsbe38G6v8kNRy4yZW1wt503VrFii11Po3zIZLhu3ApDm0yAKIwjypYWAEy5axOwpDy9xTTE
N0kVX5Jf+zjE4QFq2kUUw4phJrYL3TxZW+6YYRY2zkJd35UN1Xc87Yrcv2dFvfYS46JO1lMtjVUC
ITcYi9tYIb9IuhNik1epRSc9b4qlhKPvGtkupn204J26xPNxDPBlZ7O2gUiBhYi6q9ykZYD4YdGP
3S4Z1FPiOedtyrvJEOd0R0Ht4skCK7SlkfmMWyhfgnS+xKuz8pyYQUjlXNPAecxj58yLrEdV2pdp
ZKGg7b7Xs9sEGwzMubU1y9ya2t4JszuGk30XCXc1gqxQs4pJC8iPMMIHLzXdxSidR8OtnvrJeDAN
82QL6EokSG2kZn1zc75Q389Pfeue1RruP+j8Je8MNpSIWPcVZN0TPRUBxCw4HyP3KL3mmxaaG7Os
L2PNgtaGZhcp8d7uxUpzp9tCRQjWK0pIJ7p0Q++8DDzs4e7NpIMC/v2x41enm7eHDmqPtyfcwRtT
UnemnAlgjE6DZlDFxpAP+99f5hdnddJpDMc0bQYE1seI0TzPWWpFUx7Ciuh6PYTYbqef3MqHRBoc
KyZtAuafHPQw7zE3f38vBowEMUZ1eaAAG2nPkspQxbhgg/g6GNrouchdTAAN1iQtGZ7tpvz++5tE
gvLuCDd7ZpizUOERbgsPh5ru/ScYRzsC4mykB4aP3iLo2uii8pyGzYJttzL8fNVr2sGLMS3ldb/3
8ixZd52Rr8DroPO0vGlT+pkPUU96W1sj7z6e8n6lnNZlpxjjfcyhZFkXiYZsS4/x55e1sc+rloAH
8iKO1pjiatds1k7latVjpstvpWvftUl7KEDEukZ5ClDSLlQtboMKw1SeuN/dmg/E9B1qYTOcq7ba
11J9Lyf/yRApFIkgfxxdeTAHk9gzK7kO3Wxj52iWxBjXV1bu7bOheIxpaQPJbf1jRvzBqoukfuxm
gpQbaBuEDvuZ9bBs2qzdDOWIZSqGkhvaBzkyZcaaS085GjN9bsNspsTFip/gmZit/jFduIU9BhOt
uFl57mzawrkLLeWvvKY3Fl1HE7QOOOtW6xAkRtz2B5eXvV1op8Ewp5WJFQL1Pf1GPYcaoIS3InR4
fkFw9M0OBnbscUKinuT7NAPxwszG1HcdyOydmgbIFjQH9kEI57DD2HhJK1ccXC0I9qFo5LqxQSCn
dWBugp53aERWCP2ysbjEQPdMwql/FkHmxTwiMS4U1bgNgzHcUif71zTNM3ahvn8adekuRQ1C0CjL
bgkgdsDs1xvrtsKbOIbhtwHR00pkMOmDxjwklZ7gmDWWXQHs3yyZytZ8rkU3+mKh4xNfkTmkaGXT
QA8LaJEIGbBcEJGecLZDTtm4V0hML7Fws9VOfr6mVXUXRna98AbrsowhSgeaNy7gDUl8HnaLpT2A
gG9Oh8mIXwgnyNeYgJ4a3gN6Ib9MUXaUZnqnivKmpC3m1v3XniXLkSP7XgzWJmf/hyU63lCcrszM
3WF+W6GeC5a20+36kUE6NtLUsvejgGDT9PKMfM3H0QJYNsacCw3UBm4nt3Q10cBXerFiZG9u0hpH
nA+lOkdjCGgNXg2Qym4Cz1nVbMditL4mvpfjEC+OXe28ur7brbyW97jX4KZEFLrTRvPGSSK57Evi
ZHSS+TZDUBP0ILsJrAW+Jg+PjTXiywi97sqpDEyKXbVPR0wNwh5N3uXILU0s/fT/2nPMAcMqqzQF
qRNWuTVdVkENX7x2UankciXHwVh7ofvUcFgvmy/YTuOFb4QHFO7V1kTUtvBK61UM5I0ovUEtqewv
uW5fSjv+WknqOx/u5iBRADQ6ElOa5OE60st4FdndC25jXmVdhZqj21ayPbPQOLIh2PKsbIcrBsXR
IhdTfxZnYlikVg7HQpenQk8E3YciOcElSRc6i2GNPp1aMuV0UavEXTl5v0AH8Wcj579txVn895/b
iv+a+T9nP3cU5z/4746i+wfUyTk5Ski412+lYxJUG6y2mUwpZ4rb/3UUhfMHijKb1yyvdhMZG2/9
v0b+5GYhmJyNe7wieUn+DU34x9ODZPLCa52YFj7en+3Ot6cHui6xmKLR3ksP+FjqTE9uDBKB/7f9
5OX+2ZU+dGEc2hR+TpDBvuWXUsEA8TVv6VefcLl/fRWHaS5tUvR4H04QpdQ8H+svCoZ+BrWk8d2U
IuAFC9t9cj8fD0TzN+fS96PPg7YP9cX7kwLsI6McOiYrVpKeM294MDPtk6baLBF811D68xouPTWk
Iog7PtwNUxwrbDI2VE2rXixgC8uMAoJUXfibMBhajCftuRGG/mlwMDiDZrpPRXw5tsUEx8xy1k6E
Hl6QNISRJn8dIXiIEbWZCIsTIq2T5kXPHCTW5Afs8rjZOrqCuWU067bUAXd61rlX9A99XLR09Lqd
Ygb6SX+WpvnPd2i7jkdjHWrZx65m0vacWDph70GifKub7r6sp70/13l1iErageZWt+Luza/08mdj
9I/v7W2jbv5eAb4SNasbqDzFvIredIWDxoBzEDJ2oTrcyShbhrPK3yb0QB7tjEi2sPvSV/Ypc8kg
rcK/vUZZM5hGibCkJ2nKD78EqJpm02Ud5h+PUAZpHzTjrPLsT64iTf3dd8tZFn21wzFWIJqRkgb1
+7ukTgdTxvx+PzDoXGnKxMok4xvPIugKqV/JCS+fjl7poy+TvLCCODyT1MkLnVyATY4+msldPltD
aZumhWT0KLZASU601GCjdjj8gDlSi9loYAg4xbbg6evU4l3TeJTReeblZ46KjrkxPlsD6UMx1mEV
kiJV9NZr5PFv4TxrJUvlnlxlxrvzHLb1lLj1C8vYpQxprVgn9qTs4Z3OA9yyRbsxy/ca80iyzEFj
1Bv45j5h9NsQSKSv/MZfjCK5yxgPe9SlinFxU01nIePjoJctc0lkimgjzpp5xpy5xTaU+i3Hhns1
T6GJe+K8pd1EtfI3wHqCrcW42g7LHNhOe8GkJ1wmwk+Xcp5uU5Y8ACdnGNuoF1I4hnWk+SGoBTpf
cMfmAfk8K4cNPi4NI3no5jk6xpJdozLj4M0zdnBT6arW0SEkTcNynGfxKrCfrX6Y210InZx5Yi8Z
3efzDL/PhvMoL4yT5TSHcHRfQWev0Oscut7MDgDNzjWdVm84CwP61rgXs1TACboQtwRAr1ra54aE
J+GjLJAcT9p02kM+fxxydZ5pUbVLZvGBb43RskKPUOIzW0C0flRuTEpQ1k3HjJZeKvSDaYmvciIn
apY3BMF456J3CIxuF076nYUOwpgFEd04K4jQSHQAhujxV8YKrhoHnTlP0DEzzjKk/hlyxWxgPsnO
alkv3LfSrNelTuPCBdBhRtUxyu2vHcFBDSUISL3oeewlTbMBLYzlZWgUBrkLdX69kVFJ8qpIZfF8
HSmVEX9Lq7HeDog7T/EETlcFIJ9WjKbmIyKqGTLWRDSSxmNn406Ls/w66VwUuTwyjo9e2G7Muo63
1jwHWltAol74dYAp46yFQKWDXllN9vckb7cjv7dk1M6yYHyVmTriVvqWdI25KfR+OU6UQJXX7Z0M
ZKAPmQJtbw/4Xl0ZcXTsVVGtekU4S5/oUER5hS0CRyLCboi6U5yvHWPFQP1ax5lpQFxDI/NETT5X
yOMr6gCs5iXvAfDsAZLcbiPcsV5ScMRnUtK/KCDJrMbK6e6sYDIeMSbBcayQWYdmDU/Gm/yFLI1L
ruttPX04iTCQCMD6m470HzJiAIy4mn9pFbCgK4eZUiHkM1Yg6yLrRbKpZPm9c/xOLXA0QTOptSfS
tDTeP4F1qIbizozqeC3TOFlIiS3JiVN7STjQS9x1j4pJ0XMXyHSr4cm4oAUxrUfhnyMfOR/C6azo
+FmUurhUVhkdrchHJBNhGfbTWYHg9xziU28N8PApqemx5JNHIwhl36bwc5r9PLelzEp47z1gnnSg
kolqAEMD8NkFvXy07Bq63L7vLnNmD1rRwhDD+bKbInFFoXsAnQSA2sD7PlqTs28g5RtOcJmRWUDs
4SNA5J5jNj/1mjvF9CrUgb6avhIqfaHg9Ze9Ng5Lr+KE7kKWvTXyugaHYr9qwKUIZyjlukqzM32G
FtWNdTUh4F21pqCJMB5zssBa0JvXU1buhQ2ZmnqMxNTJJYAScb+ld+fY4btV5OgUlMlwDgza2ca9
/D5zFVA0has6gL0KjHqhK8ZAIHFCuZx6tRwwnxaTse+MbWjGexWuzSk7oAt71vzpcUzytTKfA3VU
cbd1OhJuXSs+c+Z92J5uBZ0PnATbzjniPXgEh3rSRkAOaJyJRFSwE6C12DzvHtLcQEpqT1qaL7Sl
lph3TUNtEy1cExWSo7atMey18hVw2gWkgBikTGFmpD9ix0pOYqi+ZzoZjGZPBHkrN2OBY0u323Uw
b5yWTAE4ua9DCAVYsx8cLARkBNEn0bVybbj1Q8UG6aTN8zgGL4X/PBV8uKlFvq6PN6l+ZtrelVvX
9xO57XYI41SMG1LYj3pRHIj7u8CyhYXw3o/s+zYxyGILnWVS2vRF8wdQWmeEchFUWGzqirZw7DPp
aNongiP5vep9sx3x1RsBeWRBKretp32xU+1bW1W7GD4G4vnllD4owIl5dEMXcscrRpbW3kdhtKhM
b0mbfWN2t8EMZy+cdZ/SPo/EcJT6eAbXYg+dEjmeeCGn1F0J6cBrpfWisdi2gbQUxgJmDrGhrqKW
j+c23V5qMtvbDa0DY4L+EIjilKXIVPHa9aCDdUjtkYeVugBx7sr21iolEiOB3McHpLwyTXmEEa42
jesdCBuxNsiGrxwHClzcGQLAUWUBCMetEA3FAZ1ZcIpTlV9VRUtQRB+yrxn2i4bVmcAr0gghjsFf
Cr2T8jECdIrjrWOc22H8WvTNI4bvfReX2cIU/OwHEX6NXFYxTsJbyy4cKFPaxmlRf46YOM3eZI5A
J35Bg+t19L07uwkekS0LWPLhV7ufzttgOk1mft33dQCLAXt8DevBgOzBBy/ue7oguPmYUJcyY2ZX
bBhpp8uqUj1HqaJbVHoleG2U6dbQnWeTN78ZWLt0tA+WFtzZdqyvarfCtzHx4mhinCJmfuI8uPBg
vprfKuOV5KpFU9rbqvQvyo5Zp349lvV6zMdlKvVVa3VMJb7mtnUTwsLlLzoMTrGt6zsv+era35ja
TQao3i7ML6bBeknchDFIuDVDzOhheB913zUtpHGdbHO/Wjn6qqnBPJGg5jGf8zrmLK+pfZNPI4jW
ZosayswuIrNZD0HwKIrnHhe745abxGNz1fnPhi8QRgXfRiM8j6po49CkCbLp0JJRRprAgrAMzPJs
WexJwY2v7vPgEAkLdvVwDZp1XYSCGVm5VsAPYo8unqWfTIwT+As3pfQ2leJoZPDZovELEYiIRK3q
ORBmv8pnAgQJeq9eVTxzDMF8ORFa5jG0gT4WG0uLTQkZJcvKk4IyRQbrKMgucdwStSER5MW6vR36
SpGNEIQXohfYesRVPXYsiMKNUWaPw56kkju3GPCPptcwd/eF57aLrpqPUWa0dVpraXT+9yCJNlGe
X2XNcArJEcSYjBQbBzcD9Mg/EE/NOShiSgQA/XunVdZFYkbtGvmLgoBmyk1rZubSQ4B8iCKm1KF8
yAV5eMaISk7TAUslrrnKgesuPa27J3222fheRAiv4pMDFaaDVUTMk9WjN+pIpL3W+85RxqT0YxjC
GUIx5ldiL8dIAu4Lz6UkZhSVAInPUJph9K6CmGdmeoTi+DQa+34+L3ndCJ9GnMKpmD/7gGq0VAdz
pAqq+cmzkYPaHRznViutaMnJJ1uP0rvBJvfgBvEprfU7ZCUvXU3QLqI/q2chVJZcc6C7LgR3CeFP
fxWJTiKvGgbYYGnDYchN/xTJ/LcP5VD5/+c+1GWo/ufpVyyq+Y/9uwvl/WGBI8Ddi7gNSwNF51/G
E0dSCgODsv4Vc/IvB6Mw/yAyBSAW1aOpO7gY/+pCGX8gRDMcj94p1lQirf5OF+rngpywAokCci5X
pSP0D82UfKqFGwg17HULWHXGLuj0oHTcr1Vm3+ZW99AMGCNqr3ucnCBZgTx7ePOF/aIlQKvtfR9i
/gBEf2EvoduC9u19rZyg/a2sfhr2ZGAuwcAsKzzzafkNjt7fHKTJ+Urosa3ZZDPbbN5fKRqCLMHO
Muwn5HfMSL3bvM0+ucbPd4NBgi68yXEPKZb8MMVqqpj/MsXDfojvkDku7Fl/UjBazZpP+je/uhKL
aTYz0d1E4/j+bkrLsVFTuf2ezMD1aHjPzNz3dd8cG6365BH91HCb20MuNyOJroBb9qGdUeZKwOv3
+j0szYNq7TMzrz+5G6AbP60DrFdA2RhF6rZA1fn+fjitu3kXtu3erUR/HhJq2un9niSC13pOOwW0
PO6cOQG1olymM0IqaljbJ4LFLkiiwR/AG4+T9fCCwidfw15fcZkYvToZq1UD6sIrRnfZzQmsQ9qU
AIbtDbgKch3QwjXsi+vaBk1UcAVI4glBbKS6alCnKMyGy3KcSTyCBJgsaU9OYuKhCORrPUfDyojA
ZbJis9S0tg7pscQxmws6POmCca2x0TImLCRFngnIAt918mcpB8Glz5G0bQv+Mv0RUyt6JnsBAM6a
DFvGpLdtqAjxJZ/Am1Nuw+aasv1R6UTP8vkf3Z4GBrm4qgyGrad59BKniQieOT5XmwjSHafoiLKD
GaBplcuEfspCG5lW+iVS9Wnq0aJEqyxwQsZmYQEQo0CVMp6lPkAS3TeZrbkJ0CezGLErp+VWs4ec
MiYN4BDhUSN/88G3bZotM2DezBwS0wZrG+JygaTTVAvTqDYW79elW8oCdZbY4Ei5qa3sqDc4oBip
xGuGnEtHxfEdh82nlITFsNNuBAkYE90Xc5M7trnqhZFgwYdBcG92hPvUkhJo2UeO9YX4NXvXJ3F9
oRfNeWRP2orzkNw6KV7T2KEXYKqHoJoANnnwVMOERkQUbXG9PGi5e50iBlz2XdLeJqHenEOj0B5F
RKSD0w41aLTJXVKak28h8Uv1k/4Feit1TRvfG1MANoGpr9nGL14eUG4NGEeLzrkc3eoqlD7feNjM
GGlBQocO3DYn4QAMiH9K+/wLwWVk1ruUSoHG3DqehThRz2g1AHxFYuhBBtm3Cpd0k9GUqVzzuexY
mDVOc1Fy4CM0494s3Z3fGV9q0osgJosnvcXhVHI6SxpxwYz00tNmZkLu0qVJ4kPhDoL5GCV60VUg
HKpLFaKPccrhZKrsHHU/OZftLjZNtbErkq2oQIY7NRJrn/flWvOYjLsd40XW55lbWisZVFDiKlzY
zhhiNIFda6qE5RTb9wDjgNrZE4PWUb3UqXY/eoj9aC4w5QVBGILaDSP0ljQbwr7bkELOYdNNtiJg
NI+j8c4Q9TGyrZdKTcfcyW4BaMNpEenWCxCAMGbLFvRV70Fig38LSdCuJ3WSPqTrmOaYaKBYBMPO
7CFwKlf7PtqAzAFK5GOLW7s4ayWPssk5pQqFJWgIFflRpGaspWjr5UDC9UqvyYfnvFSsMljWtRtv
Ok9zCGIKbvC0g8sr/K0Vaohx+m4fT0xxkqY4KhcKcpcU9UJ29CMGSWciZZjYZ+mhEIIYiQmpgk0a
wEsj0+SrdCp56THjBKPFDHTS6ov5DUNDBWh1aCrsXpNNspRH51dzdLLtDVhmgYZaDBdZbYYWgC6N
WnZAt6V6iKy46pkcECRMxAH5VpFUHHxLmPhGOq18HZt1FdJc1mQpLvIWuI9maU9yBCge1MlF0NvO
hpDrpziiiAx9+qJ+5SwnbQb3+ZD8rYzum8jgtQ10seAZzjytpF2WunUVIWC9T2h0LsoB7Jnvtfka
c1OMh8pgDK3Rj5Tsz3Nk8QGUL2qBIXyE2ZLAso9J8CGjhAbF2B2HIbnTOyYSjRbeDU57gKO1mXpP
njJpnJyS8i4o6ss0JOGwjn0828aIajSpr9nAYxSMbbrK1fQc9JiCvKQeOBW7wdZAXLaQ7qz/i/v2
Qnlg0lQzrWqV3sZNuuOt+i22rHhVd7q5sPuwo4CiJCtmRrf02PbyHqd6GAC/Hfwrr+cbsMnVWDo5
AB/6Q2vXHvRdk3jnEnk67biGuC7fdrdtI+6MCTM+grBrtqRmSWq8jk+/HxdVlrkrpA8IGGK6dkjN
N26IigKn/CZQnbGMZuod/ybYZqLn3Gx31eh0Syzxr6jCLp0em/3ow5seZq2G0Nd93050poMTbAoq
EOuk4w3C96k/k6Rhr/O2bZd2TcZDLrKTjBEtED0hc2tbGFm4nlADZNjElm1XEQ0yarP9zvHR6irn
a4b/lL64LjZJL9QRPgqPzBMZK4gf+NRU3YKAmMum4z0gyvFJq41badTnmQV7oKlJ4Ewc/gjpLBtk
oHcuqc8Y7qOQqiSjnPUIos5mpY4Xu0+aBxFQYS5cEaJMbofoeySnBbLA9DIromwhg7xa5jbFasmY
cUoLZNQ1gskM1bPMHqRDonNCIsCyaLSnyc2YN6FEXtRm9gSu/g7LXc44DyYV0VXaOjFNIANOg6ab
uE63PPDDHuENVO2yCIrvQWA+hmV65kc+ykBD/xrorODeUvdw9OawaiPdNTqshrIiJzueEGSmnrtn
/117Kr3otPDUEbWNLADZtzIp/pFQ6AnGQquD3KkyQJN9gNd4tBNEO2X8TC05rjPDxFwJ6nDfI4Re
lGYAXpmMnnWSow4iEW7fFN2+LW3YocxXuqbZ5QYvo7JpXh0/2SYeWMZAxd/MNCQ/xp/OSvSs7JlT
tRa63tCH1MJdPNU0l5ArblCK1Sszb63ZGDzstI7bism3GkzxYBJ2dKVpEKw0b7oK0YQTDMtO32ek
nLczXiMi57r1n60Y1nN/jGVyrTvkjiRgp/osvEgyA416d00LC9Wfs3L67FikabhKx9BbN5kEMu9Y
X9lxIGknkr6t1nn8EIp83WbmJ4f1+dz6bhgp8L5weubcOZ85P0J+NLfMJj2Swz4asguH0jrK3Mdy
+G9p/CfdZy5u/nNpfPxlxvNff/Lf1bENR2FOB3UcYB80e/+qjs25btYpm3/oMOYC59/Vsf7HbN6j
SKA8xuQ187X/pdEA8DPPW8kFn4fLc8H3d6rjj4WPi+NnJgMCILJo3v4ont9Mq9MsjozMQUxrB8mX
VMs2UqXHN1/KL8rfj2vwxyWgEfGZBTYm+aHsaWo9saOk6nY+5uNaufSfjYKYXywa/+RCDtMx1+Wb
tj5cKO37xujyqNtF9XjLngKnV16XQFb/yXV4khAzTAJuPjrltC6GkKynCJDrvt/40O9xxDskj5lf
f39Dv3w4EDNsIN88IeNDqa3AKVYkW3c7XqvrSo/vSq+6+f0lfuqO/Hg6dGeQ6rBKeUbvi9ISfwki
D56OmeWXld3cUdBgFJhedRPGUx3Jb0zLn+mQhES2eXCXqJN+/xE+lvl8AhBkniERK+Gh+iiL1RMD
mL2Sajdo6RJK3GHIrsokv0nHT2xun11o1ou8WeuGWQe1XgXICWfTmlQBuAt3b8JGIziyWv/+rn6x
6l2IInDEwWe5zo9mwJuLSb2CiI3ffmcSSA4+ODXtZV79Xabe/NXNvEz2AexxxoeHpyXMIpLcJGKG
Gxqyk4iJV2zKxSxl/ye3839XMmc9yJvbwXdSohnwwA4EQ81IY3ic+i5f1FV69fsLzU2dt2+sH6uB
7RJ5lY5x4aMW3AZmUYdFz5qnzpJKW5cdYOsZvJ1kSzv/rCnzq6v96DChoKWlPD/FN7flZX7mqlJ1
O01550YQMJWy1KNulHf/4K7eXGdemm+ug+Q5KqoQBgKoxoWHrKO3tp3UF5Y1z+s/Wee/XHpAbSAB
zY7Ej/3GuKq7NFcdN2VX51Rhj43XrnNZfxIB8fNlJNNynIpsg9YcG/D+nvp6KEskFt2uMNRq0B6V
EWOvsT9ZePOP8v16AE879035GdFJnj3Tb7+5yTC83kVFMZ/4VkJP19iWFpZz8sESCEQqUfqJ1fLn
Bfj+gvOm/OZR6W1kVVXEWwT4qrUBdUFToo5fYwvGaSG0i3ZEIPz71fHzPj+z/Gz6pkgvsXp/uMfC
bYTdCl/tohk9pNcebPLI+eSt9fNF+Jsl73mUn7yEP/ofUh/UQqXPX2QhXwuGgKKhtPv9jfy8w87X
8H50+6WF8PT9d2dNhgaCPux2sVhhTbsykhdY0WclKp//34U+bOVTYFlA0PJuV5uvGgPqNK4oO28K
8/n31/l5jbP2GBl4AoACjMYPG6wT2w3xfPxuoa/vC4JAFwR9PpDE9MkK+PV1ONeZAn6znEmPbxed
39Wesoht2nEOQNZBLIW39bXgk93uF4+Hu/nrKh92oSovPKMp+Nb0qAcn/qWChoEbZh1Q/v2D781m
DuGiEnSZ8Ly/n9r0Yg4KnFziopkWRR7f1br9nNZq/fvr/Pxj5flwEaJo5joHRNm7761NTR/JFXtQ
N57XzncHySAASHRxF4Fm/O1z7OzzdljgNsJOrvf+Ws6QFIVtj80uQLsEQUrY/CO50ALf//urAeAm
ky+HqQRr78Oqs9OWTNw+bciVSF+5kYdUiO+t4b78/sv7xY7w9jLGh3c6feQqcREB7waypJBNM6iN
Ytv9+0vh3VU+PKJkKF1rzKJmp9ucHpkTCNShfT1tf38zv1jbXIbho0tFxGTow9MpdLCVk+AypUA2
x6RnWBSefY5E5aqk5P79xeYH8P6l5L272Icf0qgN0TRCxt5Vdrbsq2hRWckuCJ/jpt5WKl+bmJCC
z1ADv7xDBpkwWBHVC/FhcxWj7YGwNJsdoqdmEUQmiQJAByY9PqIXMT5Zg59d7cMOqxxdQzhj8Niq
r2Hl4Yx7AmHKhN/7ZCufH8xP3yX0EYpPDn1QTN7/rEw2iq6KaenYmgm3wESPjqDBND85FFGe/f5C
PwyCb17s/KrzoTbZy50eAI/0GFUt+CXnROUBKCigy+lijnw2LUIXcCocsdl/98S4h8b/jKn3YPSV
hQzG+V4S8rYIJ99aTKq5INXoLkeQsh618rEtiluEUqARcGXDx30NTdRsUUE7ymgcXAOB95W+t7FB
XgmeL4PFOsf/0TFvIJ03QExDHIGlQ2I7+sZiK/Wa6s+ZxbqOxcQtv4sxaW9VrxCmyPJM6cbR0+u7
tEfO1frBV4THZ6DjiEu2we724zQgmxAbQ5XPoUGyZwmsYlmMGZIWP0flom08lV86idEuiRdPFo1i
Pm2F11lJwnE3OA+oysoVqhKsq3boHgqtuBG4hfiypvboTDRO034gTyhmQpk01RdjaDqUOt3aVLq1
mzS7XhHGC84xDe+atiVz3nCnQ2ZHjM7I6+ZvsU7pkLhfHEn8JImAqHn8st+aczoTWlUMXrHxDdzB
dykyEq3TwVgo9iul+VdSzhayIoqxLJpUCjVeBIB+dlu9eOG49gcUvqk9w7YydelH5d5O1SX2ybtO
y3YIaja2HW6C0T95alw7Zs5kxxrFQa8adUcWdL1nwog6FmL5tTURbk7ITk02a5Smq8BJgVTUbgi2
rijPW5DjMVLLWB76OcGV5LigWHk+wcfB/7J3HktyW2vWfZWOfw4FzMEBMPgnmUhb3psJgqwqwntz
ADx9L1BXLbJYtxjqnt6hJFJIgzz4zN5rh6bG2LuyklWOZtryxxagrRsOCATzHjhhq1nXM/vbAzhX
cRZSXzYQa5joGtObslLvYqrQUYZuZ8qL0pBnlqZmcT9Uhn5hqQpJuhaTaBWxWliXo+uitJHOG9aL
+JB2DMARqoLo70mVFrTgJDHYqJPyQVYPumV5Oc6ypuFQnqyrDHvpRoc+SFiTnLdxGdk7mZAGXM21
+yWG5kGaZSUPSc+eLQiEvsld1MfSzAJ0vqnYh0xWo1VPht7WGpPqeo4dWAyIJ3dVwg4uTKNNVyhk
nOSNQ1kmKNwM1xOy6xLuBXiQYWfP5bcgh64vnbRZBYPGGjYcbhFrVqTEVicExPiEV/qpbVwgcWZl
PTujfck0Jn1MG3jGTpSczECL8ecoEqKS/ugBofYTAIrroovqzdCW7dFRUfHqGO1TZfU38NKuO/6w
rKb5imDqY1165HoFuOeld5cW7l5p9mVpDifCAtlsc9un6sEa4ydO4q3ZeCeYsF4LR38urPhrPwTX
uc06UXnqNl7+oWOd1WiEyfZNDaXBeDbFfEIoAvlb3VWukQY70psSAKPtZryvRGah45WwNsLBjfzS
6G/SvnwMySp23fkMrtf4SP514etRSyha77TXbR0bkAVQ+LO6S697tiQnwgApzF023Zje6A70TJPj
j7K1j6ENzXATRYN1WbdR9FgzcD+MeRFta/LLFSVhNx9rzQz3Sq+ueeGGcWZF091chJs6V2+ayYFQ
ZeFWi1A0Mz080RFhwxgG0ta6l4PhnjC9PIfzzTFYdYPvuONDRBzGESHObVkzd8mRp5gTxIRJup2f
ZDk0N9S0V4J0hWktbZq9zZRG9qbsu/mG6QeMGqe0tooR9zbnp0bORZ0+sOa0d13RQKbMS9LO9tjh
rHv8tCQc1Z46GwlzR+1J0kNok/lA4BDxD0MDFmAX6ksshFnbFNtNQ1pEYDDAT+P5YY4j+yT7HipB
4HG8cpakieR76MTnVcSvrS1VxN9Pvvez14BAhHmwUGh67vRsqZntqqy+pAGnnGz1a9UOGIcAev7m
gSs+vq5HT4M/kKbmXSExKGmGJAr1+7rwriZnoXGj38kHJ4EOCpjAGGc/xr61krl1PmfVprbMw2Td
m33pF3F6gKawnYtsG6bqyjPcFQlzO3todnqhUuJWEO6KF2/WnpegdmME2tp6V82YP1tsWq1JEbgO
NmZJ8QQZHvcEVvIAGliLsvPCwmudTt2XJJx2Aw6GCNJ677D/dg3rYMAMHb+HdqXwQtFWfP51fFjx
0H//9bG8q3gGomCCzAmafZ+OKzFa+8AqSWKHg+5FvymuPq55/r7Uu5pnslpbTaPd7olKeVUhvJai
fTF0lryfv6UPSx5vYa6xlaBjWV7HDyXPSEET1TMlo6QWkPxsh/hJsMfykFl31fybq334rn642ruq
OMBnPET63O6b6srL7iBbtITbff6OPuxZfrjGu3vXy6dGqBzcYyXdzYCHS5nubyrFD++DHy7x7j5g
MRdPPCjbPQIc9pDDPK0GFDMFTIV11aMY+N+8I+lgk8W1J99vE/okGCwV0LgEdvSod+pgNb/zen7w
xUi2TAQ0cagtS6WfbwPORBDDE19Mah56ZDm6ce6QwfCP38dPFzF/vkjeG0Fuafpymg2+CqcT5Qab
/9sl3k0Vwq4yqmKmJ4mc+iwgYj4M67PPL/G7j2q5/374xQykC0M75hIkTCOwsrBmCEWoYPa7H8v3
0cS7vofPy8KZrdPTiffbqsTrl/1BT/eNhYvcl3Eiyj3sbxYKVyOCSzsjQrPwtAsRTdirkt6351Hb
qw4VuwtpNuojdsvuQetMiNEZysio/FpmmOLalkhQcKy/mX988NP78QXb78YFZkxvg6MLmsVY+pXd
33mN/M0+4+NP/38+E/vdjYqGp55iMpH3c5aXa9GVGJDHverJHP38a/7gYPzpvby7WWsUdqnsaDor
WsEBOQ2VDoZGIlPz2B/RgXx+uQ/flyVYtTLNcTk8fr6r9LafRKyn7b6rPd8lpj2X0YWozcfPL/PB
WAIPgrnsMTA5OO/R8rqqMjsuZLMPuvIpbr/kuJAbC2mSiwGsh70O0G9Of/PePjguf7yo9+62gNiS
K9ny3rT8eRa4a6bKvUZ48G1O/6nNH9Uxl/JMaKfw89l+//wx9kNdtl3N2KV3FMHAoQIykyWvnWt/
+/yDXI74979NCAjLWcmGQ7Ji/+kUSAJ4Y8GkF/tU1845ZB7rTDygUxIrI6xx1xTpYw6r7Teu6neI
Isdd3h97Dqb0Llpkhlk/X9aUTZ02Gue0roJT02xwUHbiyktE5NvWePCkOlsSykKzvBmlNm4+f9Mf
3KSgXx1p6ijI4cq+O12bFpcTKLuCLYS8qwMysIz+orbaw+eX+eV+MdGkuCYQMp0D7hcGbNSFBvFl
jGzNfFq5o0uP8oIXMy3+8WCJC6EXRgZvIAkAefHzp1kOY+21BNTuGyYtBsDDqSHYzXv9/O388qkt
V2HLyx1pQuJ4PxXOg9DT5o61it3UPvLgU6NrsZD+rmL86FNz8FBQyFGw88H9/Gb0uplqwuSHvVdm
N1pgE3LjNkcVBjro8/5/8RVxUPFkoiDhlnx3sTF2ZzBsTO8zyERAs1aWfTW0L9FQ/ubs+PDD8wTd
IGP8hWP87l1VQA/bwu33gaL5aBPt2atMb92lreZ//jX98vDia3KpfqCLge803h8dZqjVFsJt1vEp
U0wolA/aYP/jCe1yEdoH9qJ4L9h8/Px2lNe1tgRwvzfreFNR+86NXMmu9rP4NwfURx/cj1d69/xC
8GWO7HnYF3Wo29mBUCDgdCUgafP55/adEv7TUfj9PWFmIE2Pn+17iUEQOHo+YgsggFwgpuwjbdeD
lV9FBW7gsi4vWcLC5JVyWCW6cz4M0Vmi4fSya7hHZcVc7fMX9MvR/PPreS9EkKHVE2nb0NIQkRIk
RuN3fBprvSovBk+fNrXjHjOdp/nnl/3g98dBgoYLSh0GjkWP9WNd2OX6HMns+2FyFVWRnzqHEdYE
zNz/23WW1/FD/ek5gA0RPaKzGC/r5CFTb06fr9Cofn6ZX+ofE+mYzoCVRRair/cFiRcuad7fL+OR
qTDbNxbBEWh3TwvAOXZf/aau++DX99Pl3t2ulUZit1styqwcgEbw5jq/OYU/uCu4AKc9YimUbO+N
T23sBEzWrX7fiNSj3lkE7k5d7oMUNOZkPRSL9rrySEj+/HP86Lb4+7oQtH/+uoakrhXDK9qF7t7t
0+1Yu95KS1IysgH9fn6tDz9EA1kMQi0L+sq75xmBDvYQk1JCUUIqWALaDmK7XH9+kT9Pwnc/eNtA
UYQijA/UfL+K9jqcNbKkj5NAwFeuNt3kY76PSW/g5+wdMtXq+7wjc1oDKRiYybESwBpzJ5uQWoO7
6SsD8hmJFeFoaauuoOgUBWxYAjdiX2juBfvaeBMU0bxtLPbQQaLrmE2nzG+T4bmUebFrQQ5uJMNz
c2VH4wPDXYF1KSnWVdHGmy6biiuw63BMNaLewciz/u2c+Dyo4/QlTcPRT4NIW2lRj2quEDFbhKzw
NdvKTgFlXReVjX1hGLZqYgDVV0rCiDeee60XK60U0aFPa/ueImiJ6yn0re4YYut0rbvBiVAdAubg
fpWZpEmAKmkjrz4bzLnbepCCfR1LMQKO1mL1UthsI1rGuEVMPJMxFthSunqxFZFFN001CYOigpw6
ob127JtAOMHKA1C50adUP5eypKUjZmbGPIjvejwy/P3CnsL0CQ+2yJgTXziI4fVCdF97bRscp6lU
NyjAO8LgLfdIArOHFaAd75ICeCT6aQLcWFslh6qH9sRahy0Yha7vwGdVMzduN0/YkNz+wcrmGzD9
W0dBjKhA0669mDScdIEEKM/046r5MkbG74BNH55KlISUUYRYUg/8/GtyBx3YJG9lj0/qIo0KLEOa
ddl65BjG2UuT2s+f3+zmUsi8v9dtRqAu+selFX9XcM+58BqDofd+sDWJAQsvB404oVE6Om9NXZtz
Q/qWK67HPjhoor4LZ33ftT3bp15c2QyI1lWNtSNuB4wmnvMtoxZT0eD4+YzVvsgSpqkJvJq2fvv8
pf+aJMs0x+EQX9Q2bE3fD3GTJI9SA3LuXlYwMfLEZnnq8sKGSWWbwWPPVg7iGSgh8e4O6Bsvu5I2
mJHKcvI/+5b/OKMlz6l/L/9enNG3Ufkrn2/5a39rv+n62astvD1s0NzRfzmjxR/MrF0ckCj1dLRS
/6P9JvEDs7BAYGBZuFGXBNe/tN8kfniIQmhK+ZuoZblh/wGfj7Tfd/c/3eYidqOcYQJFa7E8Vn+o
NpqmAIgwAiGbNBYjpnK3SCiylabJ18QYiaHrDoFTvGEbvCoL68loKwCyZcrwPQ+2eiIPfTDeyxhk
ZVztY8e5JsN19vsi+VqZ5alq7Je8D+5TO+g2E9E8+0SH3xG6KgHEH8ygcupXY8TGFYEx0SMeKTGm
tFGwMXchaX2zvLT/mtsYLOsAuEMEkGerQaM/q1nVnhTc05fhRMi6zrbixK7s+YCVSbtLDDd6HIUH
gq3t4xtbht0BovS0ypwW+4im41nCKKpigtkpFDw3Ns/GqrO2g7VM/kMmy7KYXLVqx7bcYNf56gbN
WVJM+S7OCavrElxzdZkcXbO6igN1OShEToHTIVidLHVtAc0CUxKyw8dyGG1TLEengxmA3KzCM360
2IZ0dM6t3unHehjzS5hLam0La0e6G+bdsBlXXoJHBcNMjSbCti+6PCjBiNoJNAm4rgGn5NZ1h5DB
lbZ3MY9sPUHGE3wjeGmmjWEtr6+ENbj7pLLibW4bd1ml91se0fYKs3MJJdvg2Q1Jehdp4T22oG2T
q4MU6V3bxC+Nih7MKkDU3stNMGXdwYlYDY5qYEnZjtWud0iIc6R2TcpnvB76LDjzSBIEC74NbZBX
tgbiOIlvrMDe2Hmor5IxBqSbGddY8KYdoLp1qXk81pu1HZkPEqfUutMw5DviIcERs5nRnPtYjFO/
K84JVOpW1eKAYgy/azwmP5lox7VZICrKAmyqKH5OReLipkMSEHIUrlmUElVWkdUQFeRLDcnlCIC8
D4D1Nu0pFKE1eeuPjrLOQC9BSWuWEAMZ1n7qkhTcSvuhs6lASPw9M7IwWPd6QVhCWkCpL0ADda3v
KPPZHuYbOckHUqXigz3S9MVNcynxSmJEyu8EQ/G1I9JnrSK/Kk2tt4SFvlPlz8FcIfHDOGTq+c5T
kC5iKLQ0Nz4Grk1qxqfBzL9w5BezmTadIivAyTHWzaA8lKWz5G0UQNbJxVGlZzuAbtnWBiO8dbK4
9rE9lKscZe5G6MW1CI2v7Idu0Du/GbODarZXJ30auMiU4O+SZLfKC+8UHUePjTl/7OX4bUgRXEN3
LDD6Z1dRD2JmoJAisE8/7ZwwvRRWct4kRs1nXJ8o9jEPgsFUbEbxZmpITlDDQMlUSNxuLBrBE3kr
22huulhx1EzODIl3IkdjVF8KcizyErfu4DFhUxXJfV16PQ6h7TdFTsCWSLvtULIXqYIhOtEqx4Ft
BmbdUADDZeXUW/IhzoDzWCtuSV4MTk5w9ti69TFb9x6ckcbVUS/kst2xoM/vlAXYRMwl+K7QYDrq
cHOnThSdCrt5cVV6aJg8r1xe/XpUMKUiIo9ZdNonsRfhG+9EfZnr2JQz15jWSOOBJkehuUeaEa7S
kSF8ZRAUopPpEI3WVxIsuo2qUBLghDjkgFF3+GcvdE+9mWZZnkyFRylpeU+BC3nKqutbh9Wd75bZ
RViJ04pJ+Lqpu4tijNsV0C7fwB/vJxy0K9E691nWvk4xD39wdReawA+pT8i/C1G/lm6pr4VKAryM
4ObLFp/+3PV+iOt9nZmR2GH/LiEOBCQY1EW8G70aglCudjVxdno0XBdWubHbUVybuAaRb2BnCM2a
2LohvtBTwHV2jyfTsCDn49KUGJjno4j6a6Hl5kZbTBZuaW/dHsqbdCRmRbOhoQVH4AtMJetAxOUW
pNbXNjQmfiDpozCi4s+u5j8VygL8/fcVyr4nlexDeMvy9/4qUeQfoFYQ8FOlSGCzP5Qo9h8Iaxfa
h+7p4Eypnv9lT1tCyXRGg67E/bQgOigc/mVPo0RhobWU1FjdTCAk7j8pUcT3+dKPJTrTRzaXUixV
ysLoeFei6MA0E3Nwk2Nqm7hlkaG5oX2ZG7mJ27saeMIyX4N4am3SKjjVq4DGq1sBDNjU3WT4QcwW
gnpgF8T1aQJ/wJPZtiz7t6mAPT/Z1AkcwVVZfHGykvwg/SkAXtbzglZGMxf7oDFAjpAHhPWJxHdg
cpiLhzA+ZNFwrlXyPIr1q2GYmXzhx24LRc5pg32cefMpUSkI53qNwBtOhvY2mHmN8xluv84v+TFi
OdURNmTXTodn2HR5WGopObzwzPGvO3vQ+j6MV1BcYQGYxNo5vAiido56P60JCdoEHMftmK55FG81
29iMLs1jXvjzgIyR6LBdnnVvPM1dQGztk9b3+iqFkR/bYNU7Lz4b2hHneHVRG9EtO40HIhcvBnoE
6pdz3D1kqAsAhd6crIosPUUNeptZzt7Ob6vIXYeV589axXMz3ahJuyowIhcOX0NUXnWZ2BQ6dJAC
br8wdF8m4UGiNpcpOaj9rR43vlCavi6I9nHD5gl+vz949d6Olb1uTLzCTktkDOiQfS3wncMKC4Nx
m0X5VWfPt9P4BGCdMJ1i59DIS5DEc5Jvc134k6cdncQ6Eml1QYl9nHIiofpJ32XTSZiRYZ/FNPjq
NLetlylnuyLTQ65lj+Dw9tEIrdThfgCSrUilVNuZPEknnzZzWxzU1NyIEdagK44uoa7aPDxMaXvf
x95XJx+uKzIPpoB43MDdDXN9gJSDV30a2R5PzaacDsoYdgVktZyJXl9O226admwLQUaAYMn1W3hE
l25+r0f5zuI4Hrv8dRw6v3bJrW8HX7O+GpW3HYcG2eq4rx1B3O2talwKNzAMlQaLPVS7xMrPm+yt
RVka5+OxNZpzfZYnlIf4r+GaCSivE4pJHpKrZg4YiFO8DqLmCCd/qmcfqoJ7Me85MXZpGzFeJSF0
nrmjE6Sirzxq8gBDe2PuMqe7NIPWRw24F7l47TS569PyvIOsSHVGFQBLlbyAJ28gRiy1uR762lGC
2XMQcvItr0OjWKPe2sSNxrdSfB2G9LXhEToS/gK2uqQP0NdlX/iDW514zaE1tI0En+G5wZo57SXy
yNOxIM6AR2tuyRtTL6p1ECe3gCn4wSbJYcpDEofs9UiIWZtrONawbOrpEZkjsu0gI7HJW4eT5oP3
xr70rUVy58QWGNnR762Gptojvti6NLxbQSozCRc3vezPpBp2oYurfjzVEvOIwXsVa+mun6OjXkX7
EYeS6Q6nBUiaYn5RU3EdFs9LjVP3u5TRHQogHOM3dQXju7+1x3jtmQ9tFz2JgGirLlzXYYJNY9RX
9pShvPumOU9ieCbJgXCN5XdzUaImniMowjPTIZYAVTKg8vSClTHfOykqU9fbjKmTEpoqtkPcoHMG
Ok1+lTZ8RZu5Hd0z6Dcry9yJlHliVBxRi64FSWa9zTfuvDU9UJsoDPcddl0rComrHpG6xyBwrGI4
a+3oSgBj2YJnvsTBSXyDFx6q2rmz4Jku+czWajbMO011aJ+ral+X4Q4s6tkogiMwOMsn0gCCrJiH
k7YjdzCZxZWeutcqdnfhlNzGpXFmmoTOiNjV/B7XkjfSNDYAO1bEH92wwV/e2Pylln3rl1b6NITj
RWAF5FxAfT2aIwRGYac1SWfqcu4hWiiwsSP/O5guSwrdQMz4lK3byjsnpWHT6HIvSQ9b2SOZH8rg
vpCqpyzkJ9rOT7ABT3Jj/sL6lMAjyslVk3GQ6hmzO7ezlnknQmNvGladbPEtzuAtjQmkj96/Dnr0
3MbjaxS37VpPYSlAsT4iYG18Uoya4wyfdaszsVxHSWf/ubv4T/WzGOX+ffWDGj5iQNN/KX4d0Sx/
86/6x/2D9SO2KJ2tO5MVBjF/jWicP5ZsBf4Daz3BCOd/6h/D+AO/IyMaD9cC5vllU/+v+sfQ/+AP
Y4Mj8tBghMPg7h+MaH6ZiFrsZywWiljCDItR0c8DmqTh9+eFGThVhrTrRngng2Wdp93AuUA+fNSb
/yqV/23i6K8LP/zEix4JWgQg+1/288xly6ZE6ntwB2flMhPX68uB+Phc32v6MdYPrvnCCbaZOUxp
GKDV/maX8+fW5MeaD7UzJaRcSIJw+wht+vldmwOHnxU43r5WY7/GPsSURrZAdsH/Bl+sKrbvA8bm
d4JYw0NcAg/CU6vSTck2g+cUyrA1ifPyqfKAp/ee0RBKD2uknJliqDY98VoChJyqTr+G7cIgGobq
m+ycZUcgKqoJR61dQnM497PqVEESWKcaPoCyKOrOHxuT/UEaJDCOY8Dkt4mhD3dhNVTbAF23sNLb
RAU3zMpvWhVlF07YEL3UyGM26E/MF9qtnXpsJyr6SKfsmo1Z6q9tmJev5PgI3ywhZVPEkQromtqb
CvASFV28Hy2T7q1COcSESFY8b8gX2CkXMpgxM4apO61es0yX4Nt6gnms8V6UqQu7h4AFEluyr4Vo
s3OtncHGtYWxp0duuaPIfTSLvDnAtbrWdG40qSHaleoqCK1u3cUNgeiV3R5tc56ZX+V4La2OJYHB
YacDDnirg0I9xX3XXzDMBG9GbFQa5sPO1TOT4i1hKFLvKCbTGxJApmMnyOUrUqjW83RetosNmuJ3
VhJ0UTtPaMW9+6HMG7/tZyAsEs8NUm5Aoo1sXzm1b0wjRVpUS3/MeTFm4vEAc5S2wd0/7GAoAJst
mtcJtwckWBETUkhGvKkziU8TgPtRpAE6ZqAFvMp4GOf+OSKDeECQfogllhcmOIGfBcApEKvnfHzW
N61dTA1FNm/GHlZzpwEtUjnkaSDWghCq5jJQ6oZIQwLa9YKhiUZ9lHTamxRTfz8HMRHmXWBCtdVC
YN+e+9IFgkK5bPpLSMBOgx+HgFbg9OFlTZ7gPhxSNqUNafLF01zW3b0wCVJZebOYSW2ciL4VkHHA
t8U6AZJC3ukKgzww1Ifeqs/7WXuotfm6AmvMNKVzT/U0I4FyHMUqwSKz00P9MdUM+PBKnmREtu9V
aH4Z6OVx/2RAuL3kcXAcrAfQpmChxdHyvM730HCZGpnmi8wNZ90l1URCU92sUxDfK5E4ht9Rx69q
j0LY1OqX3C4gBITMRgZzIjlKK5e4xhBAl3OS6/GGtwNOSS+fQo/NSoqmxS4CcgWq8JCF4sYoQd+b
yviKXLqEbUh9E9rJtNEge43UhndNRbq9ETvRuYiWPETbAxufNEdcXAyLQ+88t0XrR9YcH4GAYcbR
qaVLiHZlQy6Tp593Rcph0AX9JiFkShZahIwC+teqzVwikXpHnsZFYp4QO8FoItKLu8qEJpQxsvaH
oCJidQ6aTT433VcB+2nTCzPewbc6VyYlsM25tQpH+0k3KnttaPD0SJPyh0TwBwySY6t5qveaxSqV
jD+mZLP1Ngj9Kjayzocut+juGY2EYLoKi0h7+GXEjEZnbhwX3I7EaDRV3e57PXqN5FRejKJ5zdKW
IatDK9ZITL1RaQR3pgh3XU4UVRYlT1U+YvMYacNCJOMrs2WIGLJQ5NVadzGGmrUwtX1v5/qz4dL9
7HsCx4BEu7DY2wbefif1JRP1MSqkh69tvMAVtyXCe2FaFcKXU/utq9jourHL11i55QvT2mxrRln0
JCeRvZmqF/cZela4wo63TntszhZxXuQJi9UUzxlXd5LdxFh+mzo6NqSxe2w1oNbZTMfQpeJrnnNf
hvV0U1R8CkkBipBp+YH9Hhzq8ZK92NfQsd5CN94U03TnuYzj52z40rNmLefy0YRI2LPBELW9JZJ8
Y6QBkYMNYRvBazNb+PwnS6xEke+DJfm1kSFReGqicao0OIieM6zrviOvs8D9YJgq9jNT7sl7hDHp
jm9T0J15XXhR5FjinK5NMMB1e9E49Mp0thmnaRQC7Jim7plM79uiUHtIhC+jC/YzkLTSffzEyM3c
pI1LU2JG1/hMkXHq2Z2W8TRy5vaK7/9urMJwJVwcImgmnxspCQOhPVzH6YzmSMSk+c3EY1TxrqPF
X2Es86s26lbkqZBXNo9bwxuwvqFoTEoAzgVjXlMshTgJBk5esJuv8lfijaqVq/BxgMfUwOK3l5rT
P9cWpfFYMy2Y3OSk4HyFbReet2MGQp8dJHQv7QBz7FuaBmsXjfPKcHIeodl9aIK/diTjBdhUkV8T
00NwBAzBGofmfqyIlRsiyGKqb4GU6Vntg8tcJS69MxoEz2M4OxXappQ1bPm5ezU14SQc6ZVk69Tm
txE/2ec2CNQmsXrvkChxIhUUyEHaxyyVK03xTWHw6Mp9kxDk0PfzOm+IMBeK4YPTVYRcV2W7bUvr
mEXN0R0INuA496GwMa9s2QkUafc1w6JSR9YzT9UFWxlejkZ44NR8iVzOrcoiGcq2Mzjp0RdL0p0S
RsEopL8XWoX5CNdebzbHKMGgx1rtJO3sdJMXxe0sa374WnIOJ46fcqnvY8E0JaM2oGe4RVk279Ce
sqTjyHIloZE/1MiXf1ZZ/1X0+SXxMl37///frztxC50hEjkdMy47QfvdEj7myRYHGMgOxALLVR3L
0lfBQChLFu/NSp93UdKcB7P+rSnlkwN1Nmj6izm70HvMr4yNXedS5elVS42xmq3R22IC1FcmY5d8
zpcYk/A+04r86vOX/UHZurxsaTOvtFyJQ//nmtEowd63ES/bqR/5sg5myLlN19mayXrK8xtVu/tW
mY/NIM9swI09EZyWO/6n1foXz4wl9L9vtfbll/9a2q1fGy2Hv/dXo8U4mT2zdFl2m0gJmeT+1Wix
C2c5zSCQqDjLWxbefw+aDcNEN7+I53WaKXqwvwfNlk5TBM/ke6eCAuIfNFp0etwgPzYdDJoZNS+c
buFyxe95aT/swgWwziTAkXysiHHAR1kW6yRv7sAQMSdtTrHHXU+WE2wz+Lpbza0ZikYsT1MKqjae
XrK+O5fpCDgygvHq5OZ5K8cHw0qPTC4eBENM+OjHTMzHJO/OiHA68VLme0Z8hqONDEYGUfF0PtRU
uiS5n2UeyRHhyKg1b74yjbaJjhTdyk5n4j+TeKfieYWC/EuuAG5mWnXRJWG1J1FlXuM5fowFaxoh
IsuvhdFRfCSn5Er5ojGKlWNm23jSLD+e+lfFxpE2JFibo76rOls/t+JYgU4cvrbFBE1KFQxIgu7B
wK+2rbPu61Q5t87Yj6slvvW2IJFir+eMK6NwOM/s5hSWCRHJNu0qKbYTcNbg0tRL41kbsNjOCXzH
muh626blqPKHIKrkhphTCJF2+zImhD93GYVlFc77cWoPk4spu57NWwaLb4SnvKq4ir4JJfBt0wZ/
6QicvBDxdAS21eJuSJz1VD8LhtMr1QTNui2ym0Ly/rRaP5vGaVNFjMBaArj4IoPHKtTAm2ZpCh63
YM8W4FqntVoiobuSQoAgzG9JqNE7EI6T6+2hytX1GGu3aeveWjY1AL3seTJUT4bZk7TpFvipB7Iw
KkjFdIchgNjoPEUpYeYs69qk2kOej1jxuQc9IEmKoSexWtF1T2AqnStEYQt25lBzybibzmhghm+z
pV2VwU3PkqGZ3LOMMgOD/84mDBrT1dEWJJTdWupSwOaNKmcXIJxicn/IpXkKwfQEFfKJ0sDyVgMj
qwscRH7Tzs+y1/1chr4VHKBBX0zxcFIb1Z0gbKiO6I+1E/c+zI0XgoZxwTHVIlRuTo50Sbs2u5Qe
/733855NoE546TdvmRPX62m8aLojweKyf5FvdnEIOncVmRvd2s7zg5OcltJPmpuoW+tya3t3k/ko
w2+OOjeaXV6EfphtkhdXLxjRvc5Y1mNrY4bHFlxo2DD8Y7zZEh9D0A9GvHTe19qmCy8dOvRqPRub
kuyHSr8VwK0t3LMRQFbX8QOCS7R1012G0Q3lb1c/mPc9owtC6fwpubKTE8uw6aVxwZ8Jolnq9hwM
70gUTwKtkEdwl1402WnD5r1alk1bw3xxmpvZYnkP6OiVjB/bee4GgmPNL205n1utSy7cSR29pg0L
qzH2kZZcyeHRCCU56dkuDQgiZJQr1U4HQ2qBYXDHYpPiA6Wv9w71oO+NTC59C1FCJNNW48qkszUB
R5jfEk+7NnAqU5Ctg6GjRQNVDYiWvuZigmoR6LZv0rx2VnZuDepqcJcKdDPaJ7UyyGpl7g7UnWiR
bYv/vycaKs5uVQebeVQOAhm8Ep7mPlV2tQbeuO2Mq2I8bb17Bu7UBqvRhCzWA5xtTjxLbWtVXbQe
qdboF1J79Ody9sm9WWeJd5IjdFzFqn/QO5fB9bQxNfYCOp/HHG2STCNKs4cyAVrZYZAzEVcQ+S08
cgS8fgGSoh0lWOljz5zUnJ9JTXsyKZyT0aMqpgxL2oeaX7xu7LXukW0Qwdkse9SZZEMA97hgl7Ab
psov3PNO7Hv2yuQwxumJmp8NR22zrAExEchDNm9TaW6rPtyYzXA+9QseVmuh/t4y4MHuVsMmmUrj
OpA3nSq2ytbUWhOnce5bxn+zdx69kWNpuv4rjbtngTw0hwTu3EWQDK9QyKe0IZSSkt57/vr7MLtr
yrTB9GKAWQzQm6wuqVIh8pzve+2TOr9P40NHV13+XBntMQksns01zdaiFV7ZwYNQfKLQmJxi8qe1
u+egeF4ILU+NmtSKyEVGhUq1Vr0oZiwei/LDSg7KGhpuneba7YzmXih+06BRmB51+s+wiBtEzpoe
aTMb7QJQMpOsk4VeHdZuSHDjIBVXKOIs1bNSdKRmLDuQwxdExC7imF1qtDMJUMMlz5DgRlXrbMj5
vw1b6cWa86Rb1Xci7B+rWDdJg5/9UQaPc1hekmox+NHywJvbbDxXYjSIZdC2fTt9pGEbUQPNJxUa
fbUpqiK7xBEV4ag6uFtqXeVM7dfFjnO1Rb5bTaTn2P1w04tSOaCqR7pkBcbOzOgkMPoYlWXA+8Ch
6bMVoBfRTeY2WMVULw+q2j+MQXJDPMk2YqqfVZonq1Umlq2CMbFKx+QqIptXORlbfeJpKMy0otmJ
VXKWoj0rVWvZRKscLV2FaZZI0322itVyQr4m1Gt0kp9zNfzurLK2RMp7XS/o9ETeqQ7PC6d6pijO
tkARN63d6swXrypaOQfNnKM3B2q0eBuMz0IlxiKo5LY2YeHMVd/ApPANJ9S8QaL2vS8rVFN6Tdj5
qovIVoXEPOgdq2ae7AkdMbeLHpzNVVERKs29icQCoZblip+qi5/6i1WJEU7RbbRqM/pVpcEhxNaz
Kjci0Edrstcjfpus2g6cnB9iVXs0q+4DnRFlmY2l70Z1pXxWfUg5WS65LgQ9rNoR1ngKU6PyU1t1
JWQpgD4iNZnbWmxyGMEQRBYXf8KYjy4F9IyvR6nSIllZhdo8YMYZDfYt7jPa1yaocCwc/D6d12VV
vuirBkaT/Xc1kI1XN/qRUNL00ofw4yn48GYUgUnYdzR7dI99nyPg77wum20rlVtHZ9o3o+ahTKt0
A3It/DnpLPQ/jQmBE9wyeD5qVvromLF5O2thxCksx29VAxS1LGHkU/0xXXuNXbQ3uRVGFmbykjP1
iNP8U8XSc4w6ol5mEp0yJNeukAo3cBydQSz29KQQFQ2QRP8e3DhsujBnCadkiyMbrFfkgAxKOyub
KenXBI/xq+qa6Upe87rM4UhLradYHa/2wGUp1yDvGPhnTQfSOocsfOdb4HBiTCP7HqktD3qlq7vE
VmimCxvDr6tUuJHZv8Rt4iPvqYC+nXeqLHvfHFXhWzWEr1VpL6WZrwwemjihDU9KRQBDG4jPPmJK
MqUS7/kAWmD2RKf2T3xoTIao/6fRLYF6/FyxaW3Xu2k7lmPlypmVdVFuR60UvhnP2l3Lrr9TSf/b
kTZPPNUYKceJcZWMqpAwlqalNISp8saojPyQ9U54y6ejYKWMvuOkFNxICQKG0vSzNnijvA3qTgyP
0nGmnWXSX7KkzpvdkQmqGPlTUdmUbRaxT3QtKeOGQ7a41e2riqVOHbn0YQtoS7SiDAgDSr4KkT/a
cOlqSNuAvjjW1lI4bhTqNoigmGDDp3KGrE+Yht7CjuCSJqMTLYPvdHrd5B4jaoW6d0hOW13Iw5Ec
u2bwDsyQbRfDENw3owrIhKaBaAHenWmpt2qn/1jAyA7LMD+pZDZtM2JAN2FnDV5XGteib4KHYGlB
NdLkSeuD7izC4o70mWkPovJWpljP7bwtt2pcFZ69LAzlkf0dSd/eQe12HnBwbNSWZ4UGMU9DcqaI
8VXOlJ2lU/kQ6EgkUyXkjLabEBGlVtFKPK7qEqI26MlwnvKML5Zro7uDe/i7mkXFiYZUQtindS7J
dK5pou83bduiM0gY3opIAKrQYfiMTDO4afLkCXj5wEOdXc1oeSeFJqUF2uj/5q77b6Axb9Cnlm35
o/u/6zf/KKu5icOo+39//GP71z+HX6X33r3/4Q/UAzBd3/VfzXz/BebNl/6VQFv/zf/q//mXr5/f
5XGuvv7j/7x/5nHhIfNDO9v9gzUZYu9frNfv8V8guIvwH3/hr/u19Qv5vIQo29heTci73/Zr6xdN
8A8Qm1PFji/w9/s1Tl8SoBxJkKsJ2fj7/ZpVXSW0m2vLQnRu/Tv7NWaKv9+vcaaTiKyRnriypn8E
aDCVIYphuTpODZ88PMBOr1Iu3TkXe3p4rpHRRtRVwq0pWjJ6HOHHqgd5yyqSXouiuOQN5z8Ro8Bz
gz17NazpS5hmnD/NnJOihmwbtdZX3tLYM4EFbyOFIchSDOtNw0q39il5vZVFK8+fuqM0a9dRo1Os
GJqPbuszV82r1ptvVG3i4ZlGUG/F+miSGLlimtVos6NjTMk1Nqj2jbbi+cacgtdC15Ga5YX0jBTG
Z5oa9M/L1QqD+96AssimbmKLqboL1h3osUkwt82g8SXDH2CV+KIh786Qab+nXh7Ht4O+zNEovApp
UNLGKdlO9EczNuWrdFN/gNXZUynB2lpWpFgHgLp9Y31I8qRsjhc3quVn1SDukQPTbZs2fibybtMZ
IMk6fiOQTSsvlw0dFUR3IXH2SK9CfjLIHWHSKJbYVDeL4bjsm986gHlKhxJkGtSop81lmmuk09Oe
nj76OqB8SMzkDwG1ezMLEXYhLNJbppsfocVCaMfLZ501oKbNg6VnT7rG8VLKt3YOX3TRvzK00QZa
5d/Zho5jhDhKz8xuZziL3JRU827qxLbcabKujBgUPgTtU2gahQ8KTHifql/n2LDv0sZBbtyjIFcy
m/LncjgCPAIyqDqq1nEuvaarP+ex5rFaNS/4tUvubOobazX1wsA4RnC4mzFK6Fo2k6+2RkLYET3s
K0S9b+Ko+5hbe/JpF0aAN5fDB8EbmMVUJMhVXjeboob1HGtR4kNtqeFsGLkjJ3uM7Op71jq3+UzL
RzQZFy2qbgGdsy3amjMPhcWCPjpuOdjxuQXZNRUqvvTJfKnbiR3Gih1SvixEJnXlUfpWAFR35IRM
3Y/BUKgNs9gDYGVCqVz0Oj0ZZX3XOXa9JaIO+eFAjltMt0z+rFXTVg80P7WGm6Yc3yElrhSST5vY
0K+9sOkcyh3VbSQ/oD5Dn+WNobq9JWCri/6o5f0RKQCkHxr87UisYTpPn3MDXUT4uYRGIo1JpejO
U8lH3IpFMuppd5A2jS8j5TtKxm86Wmw3mcyvYmnnXR/QUtYGyZvZKJ9OtXzMmfk8QkFsl5pgIgD4
j0CRNJO1p7Ib/FZVH5tW+5ZYWr2bJgifoFLtEz8G959ipx79oA+pzRUsjDH0lzmyoFRw4Zf1EF+n
vM2O6FVzt8uzdyJw6SGfTGdf8Sb7ZHClSIGk85oayWOqKbmPU+JcF4t6X9Lat+mlspYOL9TcNJ2+
ieqE+axmRJCEWtFEnSZbrv1Dz5XvsVu/LXEbQj2XAPu9XZ8GVX+CK0xpNGpgKVZOu8F/Uktmi3x0
KsrTWtTdY+BNs/JeaD2f+6iiCyoEVZkjVS7m9Mqwfhrq6G5Q64fQScFDKNVRUeTRc+NRquT1mdF5
8WpnMUaJZA4C0uck3sWoAZ1y2rHTIxuYnAsDNMwjksKRcQjwkiRbwCCivtRHKeNnYY1fYatRa1/w
FPD40LGk0uw5IXS06O/doG79CPvqYa5UVnbimDyDURwy3rhLnJnmzYiE87CjITuq2FcBU6kmLzre
EXvG1oCQs6dXdGLl9OkDM928zG+ZzF6l1p2aPLIQcKb7xUjvyaM4UxWF81MjAkaNQDy6d5Zv2MZV
kUob7shazgaJq2MVaQLbOXY+XHAAhWz23Rc24eXE5rBy0L1DCLH1iW4n/1/E/6+Iv80F/s9Hkl38
/pfze/z3A8n6Zb8OJPYva9YNpR+A9JiJfwf4S4pPgPqx1BNzjF7qPwcSzfgF+Tgx6KjHUaPjA/3P
gUQTvxBeTmzIb3Upv45lf+O1mOj+qc6J7Iw/DSTYdok7YfDBSakZpLz8cSAxcmHReVV1h8nslE0x
IDLEXz57Ys7qYxxS4IXUZa1LMik0pN8o7Lazwl7dmfFTS71SvPYs6THEYUH1Erk8pot7g/Dponox
qWeaqWnSg4aU6NW31OgTmtKmdokrzWk3Sq4RNU91RrVQHmGI7tYOqGQ2Nddcgtds7YcqhmFe249b
LkWcEvYskPDa+hMyzG1m0TCldjXE9No6ZYvmsuqzI1N97X72UgX5VbfWG6C3QujJpHjFExq6thr0
J7l2W+UlWHVC3VWy9l5ZPyuwSNiRN6T48a0pyKoETVnDRJM01Vl2Ylxx1J+ttVOr7GjXKn72bC3i
XVubt0R8o65NXJqIztPazSUHYpdLiET+4sGXpMDLocgrodALpczg5lR8tUn2nq+dXzFtc5vSrIXL
H7dqAfoZUxEmUlh/bL/NJlZD2+M0xNEj6RQLg751HWrGhN2y8FI8lq8NZNqq5dfliMkkVC6paqr7
qVEif9ZYOSdjcc0e0W9ErZnZZaq3BCGOAtKii7X7bBTkpxqYd33AVxqTiTAHNbVIu8z3g1o8DpSo
ISpicIjpVbPWhjVt7Vqr1ta1SiNetBnAK/DsmlgUpnCX0Li5iaismA2Qg56k7a1m4bqD4udUJQ4z
34bZcIxKcUmZ0f1Y67ujEaYDv1Ij3RbzlFLQF+DCTpxjTuYrEXQhhWskNq4/6eyNKUJUqeIVn6t8
sxTtFn5tAZnR3xaSyvd1l9ZuxGMNr+XQ0MB2mCEGayfzLpGwoW3d72WfHKwl+lysoD+EoZ5e2yRO
EdmO8xFV0cx1TMZqS//jMYhIgoG+W+suta+ZTdQjJtnecs8Kv8na8CaGlnG1hXVz0IZTTNQ82Y8x
SD+j+qqlbW7XaM49vfavEVk2X1NuIxtx8tEjpyGEzF+pGUN7GzIaPkcFdpZxjSDVlibtSpMhvYdm
5ypyuhkYO5mzC5QJGlM1CZQoExz8eZM6DSAoJphqbt/nzfK4xKQnp+3cu23TPYqsfyrtat44Bf84
sxgR8opmVAQmp47xFdSMlqymaMknbVe3W1a0XtcXjm/YyhH5KI2bBKF4hqPSQzto+7ianhzZ1dtR
TXZCli9W3auXpTcfZpmdwhgOxdS5lbFRoIuY+43ejdVukgwRCCIWj+cPBLynXhyBD5YvwSyuhHJC
bpMrnmbkptva6KmNLCNuN4wOUFsUmlXgdmbLxxcRIktsQHQbSnEpY9gXJPDbEWsoVhd5MX6q+zOG
7FhenGT8aoL2YTB0GjsCBIghm4mXztDxpTPfoKjTdvbIvO44AdEIKM0vTURvfFS0R6nVi9eKUB5w
/wg3CTQb/WORwbx1y1myiB1U0ND9YDiGPzVLfEsbBJBnUp37UXuGPT5l+UD4tfMYmz8Sa75n3jiz
Qm+6ZIhPmNU0HD0wGlYN4jeXoU0qdWB4ph0RStytSlPHvrUlobCxdArUPtQydpq9Fpza8UuSZRe+
5n2h5pw4BL0+pD1MTdPWiztGzWucjJM7ziEylRgpXmRmtjfEw6MtC5zzaz1k2d7kJgxWjjaNd3Si
iV4DAylU9jBRdI8jVwnXhIUVRe3JfCgbnsfxR9GIN3wZB7EwEY8gg01nfjD2cOTb+C0ouY7dYI53
7aLuujGk+y4ZD9EqW6e3YJOFC8E5JIeDwubfCgzCbrn0O5LCnuGCBa5CNk+qiY1tMAuk8Flxk07x
naZkJwK1L3SJUEmKk+awwK6heVl/myoafzJ4F7t7VMJ63wBo4p9oz0YnHqQOpmihX8sJD6+dQr0J
iuUW/3V2ivLmHbXlhJB9vFeElZwHx15clQThsS1elnZsNkkOJJzOQ+maFfsorb7AUjyj93FlTH47
OcThx6FxSnIGM7R03SP5tc2ZM15sKHEJ/Eaq+LUne19HAitNWEJw59XdxFtfkYS5GTTRerkD2lvM
t1le8di1Kp+SWrnRYAZ+Ce/j5oRz1kN5X5Rx5js1jMA0jG+EV2BvMWmNHDDWZA42U6ufgeyIR7LB
kePMZb0xYP0ag63GNHZ2rn8zSEUeIKccOlo3RtDNZ4I8SLgAEuM24OqxK8zBLDmj22d4JpXJNh/j
AQW/aVcvUT86+yW1OTGE8ISu8/JKyL9Rrxa/my2gNiRKXlEjPBO0rAaasanrxdkN5PRt66hv/CKT
cguQx6wc5y8zDZebpJJfZo8YVckbTGUYjUhvzgK/qrNLqHJkmUG0V3t0fXGXHecuYSG2W3HC2vCg
tnm06YbC8dJQEOmhqD17QZjvy3TtGB6MYSMsloM4Uo9J2cmNTmPjrido9ywlaRc8qo+zbQ3nXqaf
kTo155juSpRO8UtUsHumPflZ9A3Um7I1z32rNmS0hOKHNq/Sg6oibiUTMvtAKjEQeJ6hjp2z1KBY
NwyQWpvRbO7bTDWYsxKFl79RO3Xyx5QtyxXa1NMcXelERlcBEvd+vK3DtOIaLDjX9C+90cCF+1ZH
ZNoj5EyVu7wqdd8OildeEtVHTodhI6b9lyX6NaUTwpX2cNcE9cExqsqbO16wQVj8nPb8CKnCuVG/
DTlOwQJlLVno8cWpjZH3376GlnPXtPZtW6MvK2vzKZ8IMW/xQuV5dj818dEGlfDGMlddre7Ai1q+
BcZ4GrxXKCMdF/z5ldPtMxVooB/UF9pjHD/UCUTWfzYHdxmC9VYNtgVajwNjHrZ1ZmCfGCo03GV9
nMb4PYuWAzXXnavL6EsUwWdSDZdKZB9JoJ6mPPwyF+fJWlMr42r4nizOMxTBso9xyo82Aq0yGyYg
rLz0zIajDRP6c+AE27LS7y3zwFnpie4ciGHfoRbexLVgnZbjDpHZ0VBUi/yabKvJhdtCC6TXt9dI
J3GEkPWNkTdnQgKV5dTmlBXgc7ugZgn3VsRjVmbKcAjz7lVXIX5H1fZ0q7hp2hn/pc68a3M4NpeY
XGc+uiHHKsZ9m6dMWcqL4OKWpBRv5FQ1HsTxvrE5QiPnmfnII5oVknspnzujGtwu1GlYIxsV4CRh
E3VmKqGl3XpKYZ6dCLdPZQ6vU5Q6np4EP2BVoisB/JggPTMiNsWJmEemkl+6E5KiYxQQA71VvJhO
+wJQh9AFhngMBHRwMb87Wvtc2eP9AP+JWDD12gk731jZwSYdrBWNWBhIw1MPgw66ws2okbvsJGq+
b3GguAF7NVg7kxl/7wrpurimJrlVc4H2vUCiPWdiAruJj9XYJm8YAy5xaQXXhMuVecWK3LyH+ZrM
ZBek7YM6AFYmNoDM2PNqVEO7Za3RkB4ioegjWt5VEeq+GbH46kUL+hZP9LOq7ZMy5IYrzO5mANk5
aqmBsUn7ALq9rVpqRZJiiEmRXbJwzwmNsLdW5IHw+osui2wfs4HbmNsNbX7UbfVW5PGV0OSdU+OJ
DwTqADMbryrIsldPay36clMqaO5HxTpYCU5Zva5+/Nw//y164LHM+d8fYf6fO+FvHMDuq7y851/t
n/+lPzAF/5OogRWS/+d7uAcrgMnpvfoHmzhf+Osmbv7ys96TliSNYC8HQ82v0jvzF400GccQttRU
gqB/28TJmpFCyrWYEaM3atDfNnH1F003wPB5dm0A6X8rhYZ9/0+LONZyB6+4gfEIthTXzx8X8Qql
d6XpyrLPKtqPF7kcKQntpF/krQTprcEEdWF5sRjEWcEMuilmQYIMlQ+p26rttA2YSjCjQDsWi1If
bRQ0bu4wkI7p5LO/nIOGjvnA7t866O8D1oeC2m8hXa7Ji6h0YsaSMHWVXmdN6rNjr4bmERW6Acuu
Z7tFJ/NDZnngZlXHu1SIC/3Pe32oYg/7yTetsctjSFzrM+9gA+1g6HeizGgOX5wCNZaxixuWFAAS
/OBjvOakdKfRjK17imIukl0ROwkt34o9FDY3W9CFO6daIf44dbDTYqNAA4d14yViCfJbAUC7tTW+
sdsiYTk21Tjsq952HntT6UmNxviDQmYuhI0uocCrZXRKdIijXKFcTNFwLvYo5kodv0CLAwdi6LEX
SrklsuElXtTbWsyaL8PxrREzs3cTKIcWHTYuYdvD7MCqVpfaWacDiabJcAvCu6MriNYXBC4jirSu
Ho/lHO21AU0SLzsCNxaVkH5AVh5fFd1NJ1Z7sHVSxohUtDb4MQVsN/V8Tk0W5GVp0NLFwb3jkDGR
NYfcSQK/x+SPtwGZR2AX34qy1WO/7EDAi8Ist+AU6TUc0CJBjyVPTltHeDwgJvSpnPwJ9eJT3+ej
P5AjMhNo2mdc5T2fipVi5ETeouv2h0B3DgiD5dfBV39KYzO7JEjzAfgzfTOlFAIFa1V4H8PZcmT2
bhAB/6ZTlgIgwJZubBs4fnDMG7jS+C6gmZrzTotPaV9FhwUZ/7VeFHnB19A9KKVYbaaN6s15yu91
0tQz0W6xVzRL91g69UBuD0VZRYlSPFOAA0YCuA9zaT7ISmyD6IYuejeNgvhK2NF8M4LZX5Jwfbor
gRO8lWhj4kkomyBBGpTK5qODMtiZNeKLpp58aSdPsy3f7Rg5egIN6mZt/VIaJles4PoyivReqMSb
ESxkK8sVHioG5pfvQUD1eYH5cMOcj/M1cczdYhopJuTmG5rdfpsgkHxBGANMHttDhk2hZDtA8lPG
j6HIdJxnselWGUtkyMPKVILH6TUkz/avwvB/61r4p3zwH9jhf3x5/I+9FxyO0X9+L/w0v5JQVn78
/cWwfuWvFwNA7Jr+wdVO+YC9Wlx/vRisXwxNsymwtaUBIsvX/E2TDQ4rHBZQhxxKSGVyzX67GLRf
dFUDJQUeNFZbrPbvcMZSrl6D32uyAcsMoFnComkx1SztTzdDkafE6TKU7W3e/8ZJT+qgPCd24S/h
clun1TUuDYhgE8tftasMkmnIkEjr6jhoPTkMGOMwXbSMzS7/EirAfM9VdJ6m4j6b46NKkw83y/rU
BndjYt1Uw0DPSQxzUaMSsS1kmCWvuOy+xaH20DbakYvqDa4PB277mmv9fRkE72lj+RnzJ9Bke9MF
4xEVADGZAYqb6TkjrxEQmmad9lDX9mWsiy0Nmav5Ry82ylKcKfDZ4we5MRXiQabxIhhYudto7Vm+
unoqsHLi0+yVfqOgtoqSiMx67GvKfB3Z7xYSEPCrpxeUIPdE8n4tqvZVyTUaShZvTTZ87+gIiBV8
WqXqcZ6a6KYFgFnvy0puyHBEK1yLnZPY71h3LtoiWB9leyWYYs9n4uZovglqkzekkIO00PkkOyJj
QVWnMP9QqKnq9eyEkHU/daPvdMx/aUawWGQ+VYZ5hpWl4Srp6YdqKeVqW5ibEkGhlpSrRQkFbVAu
n2SVkNtiTDWnpToL6xTrFO/Uw9hzay0XuEJxMkb90gfY96LGfO7TUSVHIQw5/MfwpMyfWk/s50hi
qZ7Vnd/TA/7Iaj/u0gH9e7yq+TUNyLZaMoC52boLVXXwBqEgomtwOoVLLq/FTGyVNXFzl6TMeVLH
CipbZzhqUYcWsjBviMpFTGjl1456JTIOsmvNceerhEh4PEUtOLrj1hMsAkUoe4YYrwhstt4e3VRu
Yydt5EEr07chtg+cgIgt0XT3JoGq+VWV6qHhAoeANR874h/aCsGQXp/HRX0nzPMxUW2/TlDsxjxF
myrTvxvIN1erb+EVU8H9VsL8gj+7hfa0EI06Dcilnkm7OULXA9nkTOyl4XSeHJWXcC4V1OuYAwBE
ToQ8s6JLDZ7OQEPbZNNW1aJoE0UZoVTkaqlyjYmy7X0WOCeeU851kjQcEi2Wut4lCp80AJtU+yPx
VfiagqcyiPwA1VDFNRlmk9/hoJjC5dpIncDoMv4spzJCkm3TSmCSYQHO1UE4TKP6zUBGbFI7p4B7
mb3tdqVNpkl7MJ0RFLWmoAwdMsuhWR/qaLiDtbnRNAdENAYaMDgjJHJ3SrAfxrX4JgiKe8fojnaA
zGkZ+h11u4RnJaj0TRCICYMkUtpmgovsCU0zhnCjO9lemvkhTuGWs6TZW1ZsbOy6OQSrlI8cRCQR
eKMJCSrnayTr14RsGrcadXI3JzXxi0ZryeargRQC557OoWM2gQ2mckY3l6r3NVZL8sGnIq/2U1zf
qchisUHOR4xo3mDFp4oHAP5KR8HRvYjW3EWyOeA3RYZJ2IcRylPr8HerZ3FIDWLvtOBWaOUtJPuF
ApitpuJxqkOImYQZWFf1mzKiOLnT68dwbI6xsG7pVX4YqZpTKKwsx+JaMvYEVnErovaQ1N19oAYg
o2l/iEKiW8qy+Ew6Boc0TO+cKnxO1fhAceNnbslTEGlbK4iOwTDcQRrEO9uI74lz3y/FR2Ic9Tg5
E8dGfGAe7slUvBst5BZLj4cmijS4gDpH90I+3AjaAz9hHLJs+d4U5Us659cqqn4kffeK1/aCeuVJ
gbDaaLZz1TqTCav3a1U7Zk29z9XyiHzXq9PlfhDdR6NnN8DdJ/CBW5Qeh1XYwlJ/M9Tkl48LxovE
3pdZcjdMuCPpRYyZ81DqGvX4jD8a1BtXa2jBnznpdJ9ofKIk5D0Gq9DfmIq72g5/hPr8EUl5QRdK
FZ1mP5sJn6yISCSAlZ6Q/rvgfa9C5l884fiiNQceq9fem44jaaCMd6sKPox0oONkWGx4D7tfbSsR
JHaNGDhezNUINNnHqIjeVMQZO7XP0PJYuAKTgFQWarUemiIi2qYxXqMKP0821msICYkixC+7S6+c
EH8GD0VNKE0iDB5TfoW2c5N1y0UlwMoX1oQlOYG7FArNaeg4mO355dT6IUr5XiLNbgcpBvIlrbd6
kCeNz3bltr4tWnmXIDLYBLN1jceI1IIChDt51ycNcwsRzSC/WCXv5whptrbwE4U1uT6N0x6DrCVB
vSzvwtohfqjWPbzih2nK8PfYZ+Iw7E2/6qGLJnoMM/VQWxxKS3rPNnWANduTlHIKLdjUhlHSER3K
bCdFCCq/oaB/tItuO6RwWSn7TqnGR6OOGeRz+32o6mM3KVuJmKzfdSaZzLFePnWZ8tFZ7FvDrIGg
UmpeCeOh6QgS4KMJ/QJP2VUPy9yPsmJExRF/J6RZccGPDmUiDiHfxE35mydd/W1Cd0uhocCMTvhz
PcbqAzROVp1MqlI2uSauvMY7RKom+ZTz2lirH1q5j5PC46ddKo2YgW6nZNWn6PXbxUJ90vTNDa5Z
UL4IX2ahf4F+G1t7Wb1XToVmqwE6i/Qru9W+SJJPKgcvQkWIDhQnSrxjP0gr3zv9KFHLFNtmAWxK
agYFOGzPFAM2psK1i2rcMLSc0eV9oqv0ceYdp164i1kTvCkwfxMxafPfcBVU5Jt8GPdYnI8cdfdG
LT5mWe9IPQCTSkxujybxRbp0+8VK2l1odoi0jZshbA+EhkLizfs06D/sZHkrlSZyCWN5UEz8wiUC
GHxg6Q1yRtjHIOTrRsgQGXD04JCQenJYzPYlTTtscwBqgmL4Xt4r3Az492/jIDRJeYIY0OwY7ZbG
k83Z41oa6bQEhk2TfEyG8jAZvd+0RHlpfB6RwzwkuK3Dgp06BaIcApLgojOILJxH5IbGcNVks5u1
BHtRqZNkkGQOxwSYNz8f779q7SqUA24755ZrmeroTiYaKalHa6Nn0N6lgzJuaeJCR8PVpg/yPRzJ
xjJQDSL9Sn0HOdktyaf6hYDY7x2ysIPsBafTQtTaQ9YPh8GoSFXHQ75NlPxsLMu4jW0z3bUh0egi
sRR8OTU5YyztbjPzc3W5DiahFzdVQJaHVialH9lLcTs2vJ4ZnPqNnGhPb4kr39ZDX9/WdfBlMDDS
USQxRuSYFqtba3A+YgMSrlBr1c06uBUHl0AfI/JH+haycxaj/EwM/VRm1WNpG8EOP2cNhbEu7MlA
hveqVzKzDJF+aAM/1xOWNBNFd12REdtlgCxNPfOeZdqxzCv6I/m5RQjIMywMd1olXjqqEXzGRDD+
QWu2SSYGaCHZP0aNzHaFlqDf7urkOFr1l86A40ddle0ZGgGTVKYpCPRlb8/DZ9g1Pzgcbsc8uLM7
IgFFH19rtXqohjF048HeO0N9xDB3Y62e96z6hhe025SR/S0Mhve2qj/zyXoZsVI2mYI5c9aYaU2e
e7T9d2EPMqGmqVed846Sm8QPosDapixcniC55lBmGGGiqkNRQtQLXRnjXR3ML07ACEU2O1WKhql4
EkrUd7Lg3YjKwzC1vt2WqVs1xq63MBcF4T6uBz+T8cFZNPwqjMw96n0H3WLWOfvZaP7WJ/i/y/SK
Of6LZfr94y+Xf2hvXr/u11XaYvelOYnCIYlsSRAC/usqDfqqsijDDyOL/v0qTY4m3l3UTiogOdFT
f8zRJJYKFz6l2CtkS0D4n9RN/0rtRGjVn1ZpC4T3525uYKKWSJ7+CLJmU0itQx/mR7ULvE5ctUBc
qy7yRV9t6ZxyHdSJWcgEL/tr3nyFmX62g+nQo160uYq8yPwh2nnfGwZFyhnmxMRDw3WqBUa/3LgP
wpLgIWs7k8wRj3SJKMzAWn8uC3Lu2FurXkBvDReE+lg5vhsIKRvcQZGOPLlsDih+aGqucRBPmB4j
dLRa/9QpH+TzuyVhdqJoPIVUnLyPb0JBIElQUt5q80pWIKtLNEck9WCmShT13lS0c9xot0TTPIL4
ndMAIa7afFctJYeWmBRKzMPzsMo+/z9759XbRrJt4b8i3Pc2OoeHe4DDLIlKlGTLfmnQlqYDO7Bz
+PXnK0m0TIlyOCRw/XCJAQYzkqqa1VW7dlh7rUwAQFt6hCL61bnimhlUM9mMTMKyhgd06MQCG+qg
mAljz6dMI4wF6Hit2XBNhUhdW+BdXCoZJtZ60Cr5sNaak8KncGLJwGYEX0Qn2QZCvsUQ0olTq+7w
7l3WRC2wHkbrUwJb3XpZyCrFxT3kJIPEjVEigLPI0sF3r9t1iYA3EbtM4VBSj0vLuTfTbOoYJmKr
ZkNOlQJzrdIhDZFuuCInXDvnMiIAhaFdyQZ9fibvIrSRhSi5YYwQcUBgtdA+SXhkehKibV6vp3mJ
QgRc5rZHYBsTTQ3gGKKyJJ2alBALYnvwH1O5My2c+54KN2/NymU6R+HP0p1boJXUy4vb3Cpnfi0o
FaHQWa0RVl9DNmkn3l0WQFwEUfgyQYbcTVDlTrvioi3ce7tSJ0g3TaD1EGWiZe7eEYV9hLRpVPMF
QJgGF5LvTgtjjT/ha5+QiQCIHaunPf9OAiCeSshz+C6hpwOl0sCho4u49JKXfFKwUEFsp8DAKIqH
7jRx0hLQOzsr8qbgmKDhRr1I87QzeN5nrRqdreJ4KEnoTLb90K8w4WZjUZO1JoVcT5TORKNePq4V
mK5yvPyVRR+r7iHjUYF/aHNzuOrKeaB6KLZRlHcdg65uOnK8fJHDNhMGukITvjYOEuh90mZscvOF
JF9z8ttl1QxrJHZRQW9sIAfV5zCTUMaFhMODZVsQoLfwQ9FnndcTiBaGFYxfeu1cpKB+taqc5KU8
qrLgxqaOTw/WhYf/EVb9OCQfoPl3WIY5ekljyarPklih7mjfyE02NENplAK41nxSHln6oEET4/Sr
u4KzptT1VKOjmoaFeVPC+0XXEzQHxq1ZAnyAKdcuFIhlymlVZXwRiGYcUDBwtcT5ldvTcJbB8kpH
2kBy2mO40D+quX/bOisiTGeq2tKwDSwA04gqwVcm0c+rkfb3rRQPLoPz7K5RvtXl0rPcE9VTwCtD
WmoV5J5DMJIqDk9krhb0D6tOdyz55d3KpbbQAkJLo39SDfn4pIWlh9JsShyPAzDUvLPcbxdeyGaC
LzNnf1I28PGrTIjkYyW/d9JiXK4ijOJ1TB+T+6D2ouECl8O2g0Wp219WRNapDqTHXdcXRar6oxwk
YtpK7cBHGMs1oBCVcvtL47YQenv13ExsAObBIsmyfFRjN7p2XCmfraQDlWdcypo3ky0hK0/HVnJv
5fd2b82dCJ/FdUYI2YG6h74X6rs7MrajjtfjttlIcmdAXAYx4WUUENUKuH9VTi29Ou4V+Z/SAUzo
rudgnD4atC+vrlcdiJn1rdlHY1ORwDQRlKHD5yDAnRnkBaRprEMVZ9GlZvGVPfwxU4cCDqLUXjCm
SlCnSnUL5SxeKDlPC2pVibSKrurTtJbGlUZw56bRDerWPSopIbkK2UHuIR15ZTzPbfOyRd3dgMM1
h8sVPQMShKcJDK8WTK+4d1Bowv2aAcis4IIt4YQNLO8EEjcY99Mh55q3AqlRA6oqg012VZSCnADh
aHhmdZcm3NC9KGDfKiGiLSCk1SCmjSO66SGqXVnlpeZM6U/FWluYnftcw/2MsrlEhAAR1UlTxiKU
uZYRe49yemgxDwNFNug5AIlfKPKJ5qJUjb7RxC5QQ6/Vi9prIGIuBtEaHN9qDhXyMmkQqLcg17ej
ObxTs3rdWePUOcnifmG1Hg0v1f+j0FlVqF2cn6LQH6sc73TGib98cc0ck6qEoakqFEFCn2XjmuG0
aYpsWbhtSC8L8s9NlUP5gIwY/2iUBFC+s6mZPzPPKPIHSDl1AWrnx8Kj+yPXzGD6rSoH9W8ejucw
dGJCSurbrpkTdVJUBbI1qxBh0zMCDsqzx1GhLXRYFeMWvTSTfs2Q/O3AWdszMDXRqb6qm0ETkGgq
LLBjuaN8grbJHHhci+hVp4tKy4uJpyozRS7o8I3zRdX04djo2usiALaSdZ8q153B14hJNei7lozk
M51hD72H0kRWY7+CVhBBxNdRHAOBLAnksGQOpTpjIa/Nc7PNZ4R4t2UZ03ZOlrFAiK9TeAhnRacZ
3BnFgOv9uJI05Kxo2/PBs7dJS8KD3BS0jxCIq+iOROgYlnZZnelK486iPj7HZ0KFHZLiJFDn6LFU
M+j2YF50aKpxu9AahwACphQbEWbKv7p158zRPyA+Wyv2wtMxaJVWNbPGVFT6w+1x5TfV5bqqS1DV
dQjOrIrGMilvKCggnQM/Hk/QH72APNIcWSrYPrMjfSX3sTkAVYanqTvzSIr7oaXG2qjvIO+LYQsU
pAv/ZGZEobkEmagUt6XVfYEGDjoCezUhcqeU4/hnq0D9qGroZrkKmBu4PdeTIq5JCyXZdQbmfgZj
5wMNLNd4BBnmLF2PmqC4CoUOie/LA5ne7lGsapOojtupR9A8MF0Wxk3QWdcvvLibJj1c22oQ/kOH
/URytYmayeeBHJ8qkbxYS8YUj27keKvLZl1+Rp3t3C5BHTQ2sLqcC6g6NeHSX0ntpId0ktyhdE8X
xEwv3HOChBGQtI+NBxeEQ4q144uEvU8AKt26cTKTgQipMJENS0iSXQexMqlYgppfNLq5CIlQvXUw
q4lYoSeZrloY1cO+HOv1+tg3vK+2CHIVEe7WIvAFwtoOs64BRt1cBZ2fEKvE5aSRvGpaKWp3LENh
ggIa4XTvZFCnow+jE8a0RX/VBiB1dRGJg7HiJFjxhELmp5JgHc7oZVO7dysRxdtdfpchtuZl9ZlN
mB/YDnBS4n5kKK41EgHUuqNJS2qgIUXgkyqA1PneCo1uloosgsrs40BkFny704cQ6dn0YXbhCVyW
4Sgqgnhaukl9I/VgUSORqIACFeYKkbxQyWKE63U7wu8JhbQIieciOU/JeUgyN8oafBaEqyREXJEa
8eyS7F2ouBMlIpWpJ2YwcctcHYRCjLUXCZambHFpyblEHYGdzn3o58ldRCNfbHzyddBvJGk6mUxr
eRKTt8l94IqhSOVgKb8hQUe+SZpidppjPWgu1mR/TD3MLrrAOIZx41IW7JC2SBHFIlnUirQRArHJ
hV854E6DxB0GZJdIduWThBTiJBWpJzBkOI0iHbXS2gDtk+bEAOYHtGIWruJ2YIjElSanc0OTiokF
h8MAvPYx+kfZNeEAy+JXFBhWMj3pIh0GE2F2YYoUmV7QASaSZpatA43UJ9SBSVmKxFopUmyJZWVg
TOyznKI3ymySAUO5JU+g7la+VV6Ak6PkOAi9q+UD086tU8MJgaoCd4RhOWkCiLpzdxGuqtuwkImV
/OxbjpZCCpqOgs36FDoTkVcEAZe6xpkcVF8hs7qCueokM91FVnSXsu0fVy3EvCWs6mmToWPnmjhh
6o0iuecW7ClV5BDeQsbTaABgClv0IjfqvDdkfewXMXFB0HxqzeQyXyXgJvuEgLPRAEyvvfUAZIiO
AlTDKnrpFfQuULJY4bHnx7RmdBUxPOnQAZDTYGT17B/Yc24qeXVNP4Y0rP06mtQKJIPQr6Db4oSX
sHZB+1nifOu99lWS2s8U9r9oifmpi4o7WpIuujVpeDhwQkCLNPVpIY0Xa3gTBVKlpsOT/LVNyupM
lZG+qNG+ChUqwJUy7pzgqvXgEzJr9oNaR9lQ6njDdA+Pfcnguljn1hzosDPOmzhGBagD1BwB4V/J
Omz7ctkPA8HiRG8tUJcouVZs5cxR/AwYtaawcRIg7RUhA+wJZxWBOw2KEvJLvUHoXF6FLWyRrDPU
ixYMzpnaXsYFWbrO9oCAkb6cZW2ez/RUV0boK5JBzRR3rMDcBmN+cAvRQnwSkpS8DCMc87Y3zqkx
n9O11Q2MGh/D4Ciaqww4DTzBfWyf6LZ7oiRoLxhh3081qgGJV31ERvKr46yXIJAWKnlN6g2oIvgu
1Ln+bbIyv4Q5BUW6mhZ/jon8PwK/POcUdxImfM9ciZ8+ElHepG9YFX7rlzYpsd0DbTEwfAMZWAo+
By9ItxjhVUFxuZX8e3ykR/aHn40QLSGJqO4hd1A0UDSaAFHSnCg+DBgBzNz8WLY/qIZpqrBq/vj+
dj/0W8KJ91boD778L+gnhEv6OyvwapiXFUD1B9NkK6jX714B/GwHJ0DW/9IV0F+jqd7ZA++vAKqN
0G6QySVmePy82gP6BwOZAbYAekZPW4QV/+GU/Hdv+Xd2y9YmfvUFnjhKju/ZxI/xlvk6Ef7H66B+
ICTifgXV9PhhwK2zoH9QCHEscL5/51kwX0ecf7oCivMBThVThcxq91nQAWMbJnDrp7X+6/aATW1g
L2ugYO+AcdsypDI794DxwdLoh34Mdf/GU2DsuwLYQ/wdyG4pCT19Xp0C44OmQMpN7ecvPQWvuw7+
9BSwAqop0/pPUmXnCiA7x/6gBxvyIfH5/XX4jQPz3XkY+kF0/+hbBA/FD4ROv/yFzeX6doBncyps
pnAdtn5RkD09Df1kWMV//2vL5D6a/B9+uLkCHud5/vPnL/h26q25Nt9q8z9nwUO+zL/5hLeCver5
MUWzy//+j6hevtXCkQT7AbuQF7FBCYsneMNW9d0Y/GyKUfCQQAL9sOVbvcwgsnHv82H91gyzZXUE
78Q2DdZmBvDI+88gupCPQE1vgaa/z2AL0aB9v0N6xGs9OhMTDXlLmxHFbvo+kWDK2HciyDmYaVlt
Rtqe4ADve7hM2FFb8tcvX0AgzPddqeURe3czzvbj467uO/xouTo6f0Wp9vL82P99J3jKTb9CDXyf
gXL+3jNcIW3lvQEmvExxgO06WB4tgqUEGzJdZu9sJuMAu1W8jflytVmTrbdtHGQz0Qu+e/SDrNK3
o9PlTsOniNBq3610I0zrG8sHU73oz9h/eBRijwa7uHxEULTvsz+aVGAe3mYo8W6fYg1dNCjuaSVu
yIwnR48nYTPYDxMcYHFu8uWR+A47Rj/AvhfydFhR8X5n1cOOOQ5gJugO5bJBouHt8MLP3fsN+Nw0
5554D5vBXt6ASK0cZILd6hIHOVzL7o0NfdqfxgFMw3WaYNg2i/DDwhzgaF2n347YnruOlnEAd+vp
ernJt+zm88oc4OQ+317eLsNziCvlefxtF+L58Q9wqp6G370tzQMcK7zQ3dLd5gGOlBj8le/2tDKi
NL7veX2MNd5ZmAPs+nPPfzj69w5bIxI3ez/7Mj4a7bT2gh5u39HFNbj70Q9wUc2XhBa7DpNI6e39
5MLTxJZtRnoxZIdwZOdi1Xe6CALGuu+zn2KCAXpuBnp5dOsAm/1UXN1vXLOnw2Qd4P44ff/ytg5w
mGbCsf+86+YWrcD7rvwvZKH2dP1m+B2XvjhSrwPp5+U/wL4Xc7yDL7IOcInMcP52WhuRgt179Zfv
bUzBt7nv6Oz5nxCA7vlqf8Vqcojhz3fZSoHy2ndlRiJx8e6uFGWPfWcYYuoHO/0+5wD7Zrg8OtsO
9Z/Ok3MAc/mYFPmZJveeb/ZxfLybd2kPDjH+OwbhEXC47/jcJjf5jkBQUPbsu20GP29j2ffRGX0e
PFSb53y5Zw+RmRXPvvuapeC8mfK/T17/+71LHIr4X42+K1v/vbL7Noe/qdju+rPtAoX4jW/RwzL/
138AAAD//w==</cx:binary>
              </cx:geoCache>
            </cx:geography>
          </cx:layoutPr>
        </cx:series>
      </cx:plotAreaRegion>
    </cx:plotArea>
  </cx:chart>
  <cx:spPr>
    <a:solidFill>
      <a:schemeClr val="accent3">
        <a:lumMod val="20000"/>
        <a:lumOff val="80000"/>
      </a:schemeClr>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nhóm sản phẩm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AE253EE9-71D8-4C50-AB6D-9E935A4EB8C9}" formatIdx="0">
          <cx:dataLabels pos="inEnd">
            <cx:numFmt formatCode="0%" sourceLinked="0"/>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solidFill>
      <a:schemeClr val="accent2">
        <a:lumMod val="90000"/>
      </a:schemeClr>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_xlchart.v5.10</cx:f>
        <cx:nf>_xlchart.v5.9</cx:nf>
      </cx:strDim>
      <cx:numDim type="colorVal">
        <cx:f>_xlchart.v5.11</cx:f>
        <cx:nf>_xlchart.v5.12</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_xlchart.v5.9</cx:f>
              <cx:v>Tỉnh</cx:v>
            </cx:txData>
          </cx:tx>
          <cx:dataId val="0"/>
          <cx:layoutPr>
            <cx:geography cultureLanguage="en-US" cultureRegion="VN" attribution="Powered by Bing">
              <cx:geoCache provider="{E9337A44-BEBE-4D9F-B70C-5C5E7DAFC167}">
                <cx:binary>1H3Nct24tt6ruDwO1QRAAsSp07cq5N5bEiXbsvzTticstSyTBEGCJEAS5AtkkEke4WaYVGYZ3uG5
L3LfJGvb3W4JLdt1kFOpHJWqXNrcBMG11rf+8AH+6639y628uxmf2FZ2+i+39uenlTH9X376Sd9W
d+2NPmnr21Fp9cmc3Kr2J/XpU31799PH8Wapu/InHKLop9vqZjR39um//BVGK+/Upbq9MbXqXk53
43p9pydp9HeuPXrpyc3Htu52tTZjfWvQz08v//av6kl2Uz99cteZ2qyv1/7u56cPvvX0yU/uWH96
7hMJUzPTR7gX4xNC4xAnhPHPP8nTJ1J15W+XURidIIQTRhP++0Of37Rw4+XND2fyeR43Hz+Od1rD
q3z+996ND6Z97/NbNXXmKLMSxPfz07f1nelu2qdPaq2yL5cydZz62+ef3/Wnh/L+l786H8DbO5/c
U4krqh9devKtyd3Xx4Pv/J36QOQkwoTwCIdffpCjj+QEx5RiTODCl4d+0cdXMX17Jo/r4+uND6b9
/5vcHxgLIAFe+sm//7f/+Lf/2lW/y+EfAIbwBNMwjgmJv4ABbP4BGOgJDlkUxmHy5frvj/6iguOc
dvX3J/S4Dv6488F7fnnNL0P+U2nn/d/+Z/ck/dt//0c6KnTCGI15SKLHdROdxJSHgAvyGTgOPN7f
wYS+7zgfV83XGx3NfP38n0oxZ3/71yev//1/fN9G/74IgsAjJTxJABhfFONGkPiEEYZjiCIP4XJ2
8+S1F1q+3uio5Ovn/1QqeV5W//Fv/+XJf+5+l87/vR9D/AQTCBKE0ceDSHTCo5gyFDoqgbnc/WAm
j6Pk642OSr5+/k+lktfVTVc9Ofvb/775x+kEhydhFDNCSfi4/4pPCOI4ioijk98mo747l8e1cu9W
Ry/3rvyTaQaCCkSW//WP9GCgmjiMEhSh+HG40BPCcULDyAkqIEWYjJcPu3frn1Xz+6D/b1Xz7Sz5
awGxuzE3+8+Vx71E+ftXP1sm1EPOrd8rYL5ksOcff36KwpjHEQ3vJdHHcR4kvi+nm658oIWHd97d
aHMciZ5wjjiJGeY8CSP29Mly9+VKfEIRZgmkfXA5Pl7p1GgquCk5gUzvmFZwxDhNWPz0iVbT50sw
HIZEkBMCpVPCQ/q18rtSci1V91Usv/39pJvaK1V3Rv/8FCDef/nWca4soXEUxUmMYW4Eyq2YwPXb
m2soLuHL6D8ts+iTWXXxuVwXta+6qE9tO33kYXjKl+LA56FIC1nJ9J6gHnls9OfHxohykiRRAu8R
Oo8lUAWufF3i803P16sRV2W1vvz+I0BC7pvFiFFIqyMC2iSQUd9/M5RsSRw28IipXw5ivhhRmY/R
l8ruS2H3yHugR58CUqQJiaE8Is6LJDOZNxpE8TmTc9ZMY9aN/ZnEb7oC5aQ/m7YyS/RbvTQZHcc0
ZmqfJHYHeN/bot9//43pn944JjGYCgZPTmIoFh6+cRga2YwFzGUMZEpIdLrpKis2+0wv+tX3HxXF
D188iSKo3VkMcYWDCR7l/PBh1UBJkRCJz+u4smnShb+Yvll3TZ1smSn1lOm2r3YMJSZdmvCGrO2a
CsKHw4pRnE7DUp2Sqtdp0ZjpoELVZQGiWZx09WWkULlbt2VLB9qrfWy3XUD4W7Z0b7lIrlAS0mdb
YC60QSodrPi4juZNtG30gEm0pkvf8/OwmC5YXJK0MUG8n2j8MmlVu5uG8KbDMn5HG7TpFIVz/1Zt
RIypNlGZMtt/0G1V6R2KoiTJRMXDKgtZManTSLB23skwaMtnpI+FOQxhgHW6aKNPa0szMVY3scDl
tA9qG9B0XBv+ptzI+laP/Holq61TMevubNB8XzWElalkAT+NFK33BavsmqFacZFVesOfWGei6z60
9HxVQ/t6sqY/raZiOG1ku8CN1GRWbpcLNb8KUi9pEqkxW9RAQeP6mpcj31HFqnTA+mW/ULRfaVNf
2HpluzZu5M40yym3YZWOkkYpm8vudAoxzmrUlvvCyigLK63SrUn0Ye4idcBF96aRSlzxCSdnUiUk
j6Y+PBfNqk5n3qM0nuMmpajj6cJDncZqu922MEyjoka7vk7koZnYeBgbddaO4X7hpUqLcPk4DJt9
sVB72oR8n5SvBrOkbatvwoJc6XkoUx0MBzmMO9zq8ixhaNuvRYCzYBN1xod6OYTtIvbVTOUeLYx9
qKKqyEfOT5clPBDc9flqcH/aG17tl9WAuQa9SstWiucDa1lWBezj2JTd2TiQ8jSa2umU8ub1NBTb
haS1SjttL6FPNZ12W8MOKymnD5vB6DyYsMnCVq77epjntGyGNVND87xRg0g3Xi7ZKoYGDCgg+3Wt
zpaZd+eiaMZdKOf+LGQszlQvw/fEBtMZ+Kv3VUyXTHXVmkaqfyHGOU5blJxXkxL7UK0otVZ0Z1ET
vRGo7g5NaUXWirhK67oe97EMRTpyE+0pS0zWh3rcWdIchmk+laSNM+j30RSxrjznwoYZEaXZzYXh
5zYw2z7pEnUQ0fuhW5+PE6ZpPVeHcWkouLVGrhmI+n2/dYDLJLZpU9fhHndmPUzjqNKpbqJsHsf2
tJCq3M8jLvbU1mVajG2fDYkAT7iZtAyaOQ05y1CIn+tmSaNhjneYmHXPFzQ8xzULMtnUdxreuKAs
a3s5pUM0RWdNGZZpGJc0XUb6q8RllC6oY2lXVnXGtqZODRK72pJPcxu9I21y2gl7vdjSpCoY9xBm
yx2po5eiU91ukfR2JqvZxXXzmmi973nSv4ybcH4ZzcE16KM702Mi0jCwZbpCBAz1ZSv466avm3SJ
w19HLn4py2pn2/qXRoxjNqJ1ALdX5SraZMrrqDqESFywZj0vmvJFhF7Gs9o1yNq0IDLrWn1lMX+H
Vjbuyw7MOypoebD9mBiRrijWYM66SYKsMTHZbcrcrU3yhiqTzqJJecP2emanVRBXu0LIPVhBl9Zo
XxVvm7AOdk073LYJZ6kU9XPRl+9QVD0P1vqynCJx2hfLNa63N7Od01qXLzSXOsVrIUk6Dwvgyozh
kM48brK6ASFPyfKph9xlV4Ym3oXLMoIzozbt0AYv3WC0rwtWZ1K27LBV85RR218HYiFXpSnZnlX0
bElMnWLcynTT9rztMHgumqQG1wdarO9t0N6OK/mgLJ53szZhKur2XSJauWManTPWn+uA7HC8vTR9
cmiTMqVLd752XQlueQ5yTRqRVnN86OeQpbgo95DTlClY7pBuRF/bscZ7How4HUoWH6ICTLUQZN+M
6FzY9mBj+zqqxi2tt1bsuq1EqS4jlfbF3EIoGsJ9oBRPYx2HKQQTfSFR/Z7Z5qyJuEprehe2TaYR
ueCFfi4rmrXrhZlBU61Ow6hcLpGNk7SSQ/GGTC8UBuc26z2KjEkJQ2lR2mxNBpWOQVpb+ZZN8O2k
mfu0m8yroRD9bsP80sa/qGFOzaqCtO3602FtdNaVbaamKxSIMQ8LHO6pNuWumbctg1xyzCzj8lzF
qE9Ru+zsvKCsY+ZCxs1r2siP2xh+WOpGpYJvgK5ytM/QxHWqJb5DVYiybRlet7aMD4Es9qHUdUa6
NUrJUoIvThp02sr4JpiG6BAE/ZrOCx+zqKr7/dCWzfW8kCbt+xLljanGXWcWclgBf2wYhp3UETt8
zk5+KxN+S8u+ZLm3ql/Huqx+W+L4+ue/PPt93eRzD/6Pz4+LJH/89Vq18Ot+5figr9+B5/z24GMB
8OCPPxUk3yg5vizCfOPig3rkQd31ewvgmKlDF+tehvanUuRrK/2PCubzHb+XIPwkohzFERQhHIUI
MsffSxB8AqkMhZ7Ml1LjjxIEkxNyTO3gF0cxQgwyvN9KkOQkgs84LBUwBlUSeOq/pwR5WAsEGEUs
oklCjunsvdIDculVbVLZvOjobmU3wUrO7sngkez8WyM7ibCtKRplL5e8MsstaZrbYCg/+A19fOS9
SffCBoUKOpsbwcBRDOi6Ie2c+Q3uFBOcUy6tFEvO4qrdWdW+kE1BvoDjmyXLt4TiJOy8D5pkwdWS
x2y65Eg22Sb5/HfVdX/oEoz1vlgSqqUaJ5h5omhxIE3Q7RXn3c5PLlCV3x/ddoaEkMfOuVolS0XC
IRivmPnNHTuFYllXwiSgxHwoh3lP+7G44M26+M392Iq+P/e1WGtabHTKm6TPk0TuK/6bu/umRh/W
8F+FjgG794demnq2RbPOucQqxGdzV2t9umHRDDcGPL/NprXAIg2KObiIugh7Khs7wLXJJmy32inv
6uWuirsdUvqjl6axg1xIDnqpWzLlFvW8eBlvnTyv8VYuL/zGP4LjHnwhqSmYMD1M3QTPNKJ7befX
fkM74EUTmjqG2JQPjK00beexu4o2M3vO3IGvDqAcn4ZhyqeyF9ehTKKzFbHYEwMOfksZmSoMFEx+
GHmqOwopVbH9oCNzFO4fvaY/7NSBb99vJd1KmPrIoQGwWwvU/wrdqObm+4I/mt0jwyMHvxVbOO3D
wuS4DAKSBnIp8om07fWw8VXvirgOz7//pG+8CHKwnEzzKFpeTTkZQnPKjRpO0VQpPx0gB854NSMG
+zS5HWOczpjMqZzWnd/UHcxSWSC5FpHJ6VzXV23bDs/GOLrwG9xBbd9MSVzjbspbxp8VY6jyBgrT
H7TaviX04+f3IJtATTvRKTR50Fp+LWQ1vQ6C1i9TQA5obbgRpmMNYhGVuEDQxjq0KxRXfnJxMFsn
ZqPlQkze9UVdnw6irl/Ymm2ecRE5qF3WpFg0tP3yTo94PwkGZcEw3fpN3kGtDDhrprA1eU8ofx8E
aH3Xbwj7ZSOhA1rDZ1GvDRh7X01TBuXCktXdcPX9qR8R84hHOK413jcZLIe1X0qmczHGy6dBxvii
6zd2FawDhnbJVKzNgXck9pNU6AB3of2gkwiCSjiX55WtPtlNcD8Tgmb/g1eBirWEcglwK5PlgvDk
dYT7V9+X0jeA5baLl2kRY98nJudzdSnC+Xxty1O/oR3Mhpx2MHYJSQ9VW9pOwft4XBdPkTiYrRhX
cx8CqswUNs821NhTteD+F7+pO5idUCGtEaXO+Xi6FmWKVZP5jeygNcbCNqHBYx6IKG30sitqtvMb
2sFqhxjBVReMeSfZi8nWb1SCvFQJVL2HBmihqAxEv8GsTaDSNqSvKwvtB595w1LCw8HDCo9rO5ox
HwL+jEht0mmUb/zGdlAZldCb29g65lIM0F+yu3WwXuKG9bmH0zZC46gJ7Jhvnf4F6I37wOjcb9ZO
KFV9rxZSw6xNhZ61Rp6KMfKKdYw7oIwrWJ8pYmRgXQp/XJr1EgeL56wdSG7MNMEk6zFHTZxBtyYt
lZ9pM+7gseZhsSHajXnJ1A1H5nqQtV/WC52Rh3rsx9UGquzH3FYR2y+qGU6namr2fqp0QNljTKvB
glBIPGQRgsUngf1UeWTI3g9wc4KTse2aMY/7ju0oCz5ytn3ymnbiYBLIO9IQCm4KEfKhWtVLoUav
oM8SB5JqKRRtknLMQTbQ7rzjLPRzJImDyJ4ksU6Osq6CLVXkFpoFflpMHEAmmpVd2YOLgkWTj9VU
xdD01L/6idpB5LrYUUxEjTm2Vqamne4KFHlFG5Y4kEyiktWDFDpnKz41DO0bOfuFhMSBJNU9go6i
HHO1hFfzSN8VbT39YNpHhf05dWOJC8kkQLZn4KTspIYQ1ollU2ZctsNd2+K43UUiGb0KC5Y4+Fy7
qLUhisd8Xu2zWOMPQCW89lIsc/DJy2btrQbh656uKe9hFSIIIuRn7MxBaKlVaKxBEJJhNZEm+sU6
a6/2JmMOQpeNR4K3kEhsa1KlSbs0qW6n/gfKPdr1I8plDkqVsFtri2DIV7Tuy2pKSSH9YHrky9z3
iC2PUbnVECZ6FsrU8mhMA4Xf+qnTwSkknJOmE/itBDgB2r6CZHbnN7KDUs23oOEjjDz2JBv6OFXs
md/IDkhLWBBLLCpA1pROqaHstZJb+QMLPEr1MUU6KA1nEpbULjov0NCYlPVk4Ncd7WL1tphi9sbv
FRyA8nEwjAoQjrDlWQOEhyEp/OROHYDiSkKxw/iQi3nYzbY7myEf95o1ddDZaPBbBidDHuqPOoRV
UuFnhdTBZrhRHaoN5hzp9nKImrO67+sfKPRoyY8olDrIjCYxx51iIOquYukyF2HaCM8UjjrY7KJl
UbqGNIvNmzgbVqZ3qxLYLxrR4yvd6w9NvOZFxEHeSccyOQHjZ2s8VemgM8CzXSoFEreJOExDANyC
4tzPShx4gnANsD8AnqaLT40klwhKTr+hHXA2mtDF9hQEYulO6FfAIPSUhwNItJQTqwYQtV7wrk+S
QycCv9AQu4BkpCRhDfIgLVBoLE+h2+05tAPIcAKP1EMOnk+y2VkM7qpEnkM7kByiTjZAZIRZg/ue
sLxc58rPQGIHkbVYhk5QMuTAcsLXEZnWdCQCe47uQBLB+hbDSQS+hAiRopG91vxHxeDx5R/xJbED
SGZ1tZUTNA7ZLOlwiCZoCq8WkT6NgIbwcd7W1WY2jIAV4WXwLod13IqqmboWsETRbon0rwUyfx9h
9fe1C+BWPvQuTTGsg1qXMW/GTey3IuHpNgrP5spxjf++7xomFNAxqYd8sWveJsO5HCNPoThYXQUK
GYlgaDXZl2GHX/GaXnrJO3Kw2o41R1ODQN7bkFPZpUUbHPyGdrCaNO3ERAk5OWelaYAlx/nBVAWw
K/3GdwC7qHEprNHgG9uNp20NJR2dPUUeuZAdgZIb8GbI0SaijNeN3rGWxH7ON3IgOyI2FKTthzze
CgaEnnhNQ+HXsGWRg9lo2qxlFUBI6SSPOWCV2rb1M8WIPLRyKPYbPG8Q/7mcDN5t4TiiUy6Vsp4P
cEA6tSuORAtahdIISIok7RXxHNpBaFBoRoFmOoAzAyLc2lyZYfbzwZGD0GLqRblyMYBYhgthxx0s
8e69zNzlvusQ80UYsEQdhDsOpMKya1/6De0g1AZoxGXYjvkC/MSs7CUwaXuJu1u/4R2ACiBjxIVc
gSrR1ujaVrE900Dkv/Mb3UFoggveVmKAhE7gO+BrvwuSxLOXTRx8rpuheEJyyBtd3NBgfK7ryXds
B551JQO1xGCFcuR3qBmyHk+9n4W7OxjCeaIqoqBQFQBzcM8t79ed7eNk9rQYB52DSZYOc3BcTc1x
iub2dNbC01wceNYBkStSgCGql+dbW5xHA/Va1GbEgacigywrVEKKFOBfxjjJp/lHdcUxUD6SIbmM
o4o0NCj6Eap+uer4JRrMIA4JCcBe2gnNJh2qLX4rZsPEPol7E+0qYCjPfi/mMpKAP0JkItWQ18vw
qWHdlhE2+JGpmMtJCoQYzayPi1yG11nXo/NqizwLSZd4lPBg4Xg0Q94O69uOJG8ht3zn5Rlc4pEg
2LZzD60prrbw01wvbLeNKvhRw+QI1Mc07gB43vRK9DBBDcJEZkJIfdsjM9hv7k58LXRfDE0HYll1
dTUX/fsqJJ6xGzvgDYFvUXU9GEuS0LMJtoDAvge/DhV2sEuB1jcYWCLJLen2tiovTKKv/STiYNcE
W903WwfiJqKClYZZpvPk2eBx+UbdXEsSjMfUN+wg07Bpq0c/TboEI92XUjQMStU6jN/hmR0aOfmh
3mUX8amTW4AWKDXK6GyOlzZbu8p4ztuJqxI66UCrY5A+4vJqbItnsG3Br0v/eQPevfaOjLRWcw3I
2doZtiJOA+xKQeGvXnaCHFhCHhN127F+51x9kHxoJ9iWEqg18xveAWZk1xg2rUG/xNjiZV3QtFiQ
X/KI8MOcuh4wGtExL40QidJRE5nCKQme6nSQGaGCRjOBiK3JUqQxje9aunm2Y5CDzSEozURgb0mO
WXNdEPus6xs/W3FJRdNmUFcyGBp2euR9Acm6Lq+9VOlSimQyzhTaz33OTfEWW3GNZ+I5tJPyBstK
FlMA6JNJXBaTftsli2f7wqUPWS2bmUyA+ngeP4IPuBzazi+XdulDGjcN4iNg3tj6lAblRZv0fl2A
0IGlqnXCrIEOJt2aPZPt82lRr/z06EDSbtoIgZo+D4X5aEf2vNwiz1gJuyIedHNMYuMa9s8AJvmc
b2XwHFjlfogMHUQGxlTQbwVEom5+yfrqmvPgzE8iDh6TfiV4I+BgyRS+qaLwcqN+eKQud0jxOSTb
3PY5G8I3sFsWdv/h3i/roS53yFi8iOYY0GD3ymEdYXCzYL/1EModTMYx7LkVzQg1i0qC/bQh/i5g
i/ZKNqnLH0IFHAUQjRAX4qg4tQt/UcGKq482KXeq0JYMQDkvhz63Qfl+TsJXXSC9GOjU5Q/NsZ0J
3yDk4FjDTuYusGk5r5UX5uFogIfgiXpLzVxhyE8CLrOpm3jaa+pl49QlEUH+gEgt4j6nU/cqMfy1
qex7P4E7yKzANVW1hrJ/manORNLtVjoWXrCHLVoPhcImLJJyATPst7lOI95MKW3N3mvmLomIBRIO
fjg2nwNb7WEH565NkJ8yXQ6RgH1MazBCQy7Wy5rC4iLswgyBBeU3cQecS2EW08TrkBcN7FmNLb8a
Bu3XaqEuk6jTU6yLEtzhNBGgyMOOUtjm7EfKoS6ZiNa438IJ9Gm1PZSReDOWPzyZAUzizxUmTZyY
OTdNN/MasggaVX2KGX2FytmLFQJHXTw0wxJhSuMJKh6xcDh7YGm3fRSawc/IXTpRLYOqmJXu8xpw
s4TVbbwgv7hJXTrREsLG6K0CXhhEOFSnfVOV7c6URf+jVs5RvI+J3UEot7Bpu+qjPi/gaAa2zq8F
El7LLNQlES1tZSgcgwD4HKo2NdVU7gI7ED8QuSSiSsZsKyBc5NUQX8YhOWfUd2gHn0DbIIGUsN3N
KiLSoa8+1nNb+Xktl0NU2EhTA+d05GyUex3MV2vJ/byWyyHqIjFEJgIO0TziIK1CabJgjb26HZQ5
+NzYbIJEgVBCKS6TbYQN4sKrFqTMgSc0tIO4G/ixRyPWVCp9obDn7kh63AV8f4mypOsEuwTA2U5m
Ejsmh6st5n7LcXAs3MPBx3CL5RrCnnXJCDT11DUOgxuvIMEcYJJ1CshAwY9HEbRoWFCjTMOatx96
XP6Q5N02N9UxdpIIDjQxb2YWv/GauMsfgpKbEEyDPh9q/mru2fmwDG/9hnaBiTHugMY65gXp4OAG
lTVz4gdLl0AkElie3CJYcZItsCmTJUSHbqn8+mIQbB7aCQ96voRy6fMJB3BKjLkzAfvFTyYOLu3Y
UtUG4E+EgeMeujoLhPWUiYNLaQbYvmpK6MsapjJb1SgtzeBpJg4uUagaazDY9xzK96SdLqMy8gv3
1EXlGibFGkDPl5N2x/v2et4Kv/LkeL7afW+CBzFgoNpBAsQq+Sup2niPVd34je6SiFChFw77EKGU
TTZ0aNnwHE6Giv2iQ5w8nDpsQcdRO0OiX+KXHFenkZaeIzuwZNHEkZjBfzdDv5z1Go4/oirGOy8D
d4lEvERrM/ZgKJzC+UXzdmHRcOo3tAPLQi6DGBkYyhaLQ4zDl7zhfiWySyLaupUChRo4JlyoT9Y2
h477tfKoSxdqFZyHR2ZwsEz0/cFsejttxnb2KzVdwlAZ417xDlY1Rhtfoj7Ie1m+9hO3g8uaV0Bv
HICkEVOc0qg+Xanf3iA42u2hcRfhLFipATljFaWSQ9etkn6h0mULQQzu8GbBSEpKz6C7flGEfi4w
chAJ+wHKrofzZvK1Nu9bjvqdrKPSc9oOKDlKlOk7gPtWhZki8jIKf8T9PA7xSM3g8oSgSyhhrx4s
/24Dp9GHFmixH+oY6/EQzk28nfFEh1crHGs4er6Li1Nii6SoQVAJj66GEj9TSPm5XJc4VHEKNMKC
93mnkjYDquIHGffaz3W5xKEikgZvCJrujBZ72cnnhK1eSwU0csNnoadCaZi3hiPSQs2GlJPOj1JB
j4e33o9yzNSTjEeQt5nqT91M3pihrn5QLR919pjxOEgtq4ovSxWpvIeTCWVHx+uZCPpLsS5+Tt3l
DsHGkhZzy3pIbTuSRkbdiFn8qLvyDdM/njh8XzLQR6jXFUGLvGW4g0O5pLnra4W7rCwSU2VwgF5w
VSjl6SGIA+K6GEehZmATEaF/QSt+xibj1w11Ty8yU9eXfIKW4sZ72N3TjjLt6tlviw91yUSqHutC
g1Xm3ULJpyoMJ6D+LJNne5s4SS8iIyx9QH87X+NpfRMWVrwnY1v5wdZlFBE50JEhOHVxW6g6x3Ao
WapasVx5RUHiINcGPZx7OcMiXwxnacLCE2+zGevFr5Y+/l8X9w10a2BXmImg0qhmC/ur4quAzH4u
xyUUcSj84RxO6NDBKrDoUgMHH44prbYfRMPPVJVHPIPLKupiUoqu5ipfJoPgIM6qWZ8b4CbUO2vh
oLk0YZN6Db3Y4XqsUPimE8YGkEa07GMStc1FZQgTh64x/GKMyuANnNs72DSGGPuyNo163yQSTrAd
6tB+hCNVg/4AQVEXlwhS14s5GGCsuZ+LI4/c+hFqIZI8VEY36D5q0dZB9264GIf+mVD8B+2Y4xCP
CcvxDHrZOgZd+wbOagyLKqvrsry0cGjqxbZgOLGznqW6hm2HRZ1WVEm/YOnyl/DQYrTWI5T2yoh3
Ed1W8IHNIM68kOFymGq7zNEiZ34OeeFdxftMqeDWb2jHYUiuupE3MHSEnwHJftw8JUIeahiOrDJz
PcK4pZVZAudXGln7JT0uc2kuUE01FITnoaiSl8cI/ArKq/aDn0AcP9GpaeUlhdHHQezsWsL5th/9
RnYCPCqbUc4lHGEchW1qi4uk9dvuTl3iUiGWntNC8fNO74NQZmzy235NXd4SrmiIrYaRY9LvV51c
LsBG8xKHy1taSBcPExy7eY64OBC97aCx7BfCj6ci3vf1VV9HsDcIjK+LpzIrS1g9TrZ22ftN3Em6
41XXJcYDP2/KDe3C+f9wdm47dura1n4iJAw2h1tgjAF1riSVZObGSuZMMGAOBmwMT79bLenX3mHN
tef+fREpihQXZbDd3XvrXxtezJA4ptjPwqWW62OIYgxOvTkDyzRKh3+IL99X9N9sjGciUi1kuFg0
vVXxEBYsUdnWfnKbkNPBzY45YBJ06Ip0bQ5kSZZubjXYMwepbe2WmGWMqpgymR/r0uZk4I5Cg7Ng
ia7ck3HfxtAW+0uRaCGyQ1jpFnCcNUvQiPPaS+eoahlrgCxn4jIcqvmHoOA/vM2zbMmy2ItkPEVV
uobdYzBK/kkp6/iJn8FHqfICutiIVcnWZ4aRq2oDt9VzFi61s9zsYQyrgGgvgvFbMx9up+RZt9TA
UGhbyBpV6zxlI/9LHY5R9Vm2RLn2Q+CDMPKaTkVNyYeWAFTstHr800n533D/djPP/0eo/98v+bNu
aQ+PVpGascpXogZBjPfZNkaOV5mzdKkeooayAz4MPQs/vls9zIsbZgGOQ79v4P9t8YDYpPo/+Tv8
/bqBJ9vvI/+3LUZX701JFq3L/28XjP/XVMjO0qU5iFsCgQtMN+JeXGPPX4t17IWT0pedtUvL3oaL
6bF0TIrWzpjdsdVN0IU632laNmgV2aBZNW1pwb00b6jTRgXvld9HrqlqydHsrNpJ0l+SVvuXFGRs
p0ONnaVLE2wWeKcxerKx6SLHJsx9RFmOo5+Wpofk6RJs+MLRrvQw6vbLeFCn04GdhUsrhZXB0sPS
Y9FJ+x1XxnjLt6X1FqddhZ0JSN26KRBQCR59mmDIgYteOa/E8Z2eluchkqjxgaevGmCbWj6sOR0i
N2UrO6uXEmkgMwgw+FgrmhEIuvKNmsjtlZ4FTKmKxpaQhFVb3QKEQhX3IMFo6tatIQSuLb9/7+i3
jFECm2nVH1NhjjkPgtTp4sPOCiY5kkT5o/SrhfOcEF6FW+AUjKNO8vtT79BWb2it8KvGoNES1hMi
SC8u5xs765cmYPzgkFv7lfLUxymQn1TvOQlp2Fm+1A9CdpMwRxX0wWfQOUDJ6zbHDyX4fUai0Exr
fCR7BSC1yY4m/bLF9tVtSk53zK6fzaF6cVQcLZEB8jeN+bR0vRsDgJ35R0PX2iBsY1tFOnqMhv6y
pL5TQA7m/O+zsouJgZ1x2Cod/VIsQb7K3u0TPOuWDu51dOYWT62Altz29BM6lZ1CQ3amHw3HTJKa
aFtZNonL1NXquvJ4vDm9zrNyCW2QKehkra003Cn0Ki+D4G7b+Fm5FME5ZcHBuVXDhEQfKo8d3Ifo
V7fnfo+R/kcHDtyJ6tpv0q1CHzRUQOxx1G7t/vAo/H1oHkyrOBZPV0jUw+RDVF1MHWf7tDA1XGMW
2NeYqlngpUODzGNOCWh2Fi2NYM3ZmHBdtZG9tAm/Gv7TbaZPB2ZL90mMmmp8Idv2IWIxK5MpdOvq
geHD75Mtx7C3ofB1ZYiKCwFIwQX+HW7TfVYtobE/DJrW6EpuDAZT5LF2bHUCf/D3545aaptkrE01
hfpp0WMBJZrbyXBWLZlQ1ZSp0VSqX2CZ1nWVJ5NfTi/zrFlSm1VyB7m6Eiyuttkr6jlyOxjOyKMk
NQmA0vgCLQXoQA77cBX+6rnFnNFpUTLbEnj/EA3hWWguXpqyrE5XUrhNy2ld9gqWQKgh6KoZvA9H
u12bLvrhNvTpvIwBO7DMb3VFvK7iwfCaHPKz29CnlblTtDs1bNUV8FgvPEg/w/fKLfA5i5ZA8DQa
VwhdTZ28yW0vY0dQCztLlpZW7Hbz8NQygHPWEAf3tYz/dJoRdlqVRMLGrCOTroLoa+1vFzI0jhMS
/b7eh1WuCGpTjIxO+ANebIr9E5rofYh/T26yf5ka/o+jLBgkhRXHpqsYtkLpJe7nuLkYPgd/1Ch0
R1m80NYtzwR3z99/Dbtuvj+mGpt52NwHoGWuk5e5zf1phbaapgKwg7VKuynnaCXw4WnlNvRpefIj
nPZgpGu1txt/W/ypeeB97AZqYWfeURSpGIeQt1ZhL/wMyOD4PrTj7nYGnUVMsTCtblmDHXd45yak
RVc3bjvuWcQUwsR3C4Fhr7Y1uoXp8gAg5NVpxs8qphG1V6CkvQVWqGkWz7ycujh3G/q0Ro8ORbBw
E2sVfUvMJRwdhz0t0DiybTrJZq2I8XIWt5XV/M3tidnviyaNW+x+SG9U2osBaWlLoH3+STnzH3J6
Z6lSSK3xhcRsNPHK7zesotKL2sXt1DxrlXobTRvciZZqbtlbuCd9NqSLdluVZ7USvKyUD6X8WtUe
itF6bt4mMa9uN6qzWgnaiTAFLmypkrS/tnFctpa5pSLPiCMh4rYxdb9WB5Ef22AumLSOGZSzTsmz
IRweYN1U9Sb4RVrybdTEMV94lilFawLnR7kuVTD+ZLYrurRxC3/OiiQmtQr4isnm45FDonEF0sTt
3DwrkrZ9D6b5/YOu+2UrI93BDzSBN+3/vjLf94y/OTrPiqTUG4iOAWPA0dmGdxsUy9/V1LMaAoZG
0cvqLbBLDBWoym7f/Fmj5O8wdTDLtFSi9o9sSrTKYWLzD/KP/7AXnCVK/aqolxi5VIN3TNcpgrdi
PPSD27XiLFHqvNX20YzPB+5A/oMkMU7p2ZEZzM4SJYE+cAGx6FylBMZ5ou+/slW6kcPYWaTEhgAc
9UDN1ZjGT0P72tTRx//9A/oPU36WJ9VWrRT9OHMVdgYGweFfnRjdMhRnndAqGjsPLYaeR7QoYbOE
Mah2ayGEU/rvR9K22K2dAGmues+bi3mc/SKSbnR5dlYEbZKMzTHRuSIE/BvpP6zL6HYgndVAsAhP
NqPHuUr2pICFdTb0bhVxFry/4v8RRsPdGagk2s9VM/LrMf0MfO62hwWnyNa3CTDbPkCYJAgLAAPy
ZHW8Z531QNHRBMIDgqmauyHTKUygp8EtIDqTjPZ+7NCedKiqH+v6a7LZ5uXw6+CH28I53T3TUSQc
DmeqqsFgYZJnvXUMic6KoGTdxaA7DL0lYi26Xbd5PE3W7Qs8q4JGPXqA2GJ0RdpbN+oS0nC3TO1Z
FQR0X12ntexx1gVrAauXoRQaMmKnGT8Lg6b3frPwgEk2zHJhb9u/JpNjQe+MM2q2njXcty2kKgRq
YT7I7XO/HL0bR5mdhUHYTjhfBMY360YKdXTftCcdM4hnbRAVSQjEvsdKs6R36x5mMYCBblN+uneK
pj9mQ5u4HD1dbIGFa4IE08ht8FNiaAeDRHsTjUq6hNkB5VFE3NbmWRvkrw1VqmlMqRpDr4moj9u6
J8YtWDxrgyCOnOOa1absvOjBE+KSmsktiX0WBo3JQtiKJHYJd80t8+f0MeCNY/X0rAuS27YEkHaa
spn3TzNcSLLJSx3j/rMyKPV6ZCWW90nRNZzj4qQCkdz1yU/3zxCuZXSzqS7TGkDWJNiiHM/vlkQ4
64N6LownbYzBOf8IdM0XvrkFnGdx0NxPw7IPoSk9OeWkFUVsYreFeRYHEaF2T2yBxq1QFCaAXbv6
7rQqz8IgPZPe0Gg3pc/aP6TXX7dudpyP05GJQ3KfxbiZkil7P5nmmh5u9D+YYP8e+0wo4wVCKFOa
tufXtPZIZugYOF2YYVvw++iwLSEtShymnG1cKL9944d6c5luepYFmb5DXkVpU64reQzqGvDegLhp
DuhZGITY28hBG3yATD2laTwi2zw7bVX0LA2KB78ZlehMuS1Hjh90C2Pj9J3Qsy5omf2ONR1e5tH7
XhYH48Vjh1sqlZ6JRp5p+aR8acpxQZlj747oAgr+X25v83RewprCMI1+5HK06nb0UYZJcjp16FkT
5CfriDw5ho5Zl8ulyafazXaFnnlGfCa7ijsMbe1xTc07ZCN1e5VnPdCslQ+wOFYOjFzXbBzat8Sf
W6cAgp7lQAqtXmy2gymH1s9ZqC9D5BZT0bMQqGV+bQj+lOnGf6F4lQsV/XT6Rs5CoIam7TGsWDjh
Qa+jP5osQbbdcUpOJ+XQ78vctsKU/dh+DLofoxc7yfLpWQmkhjENlhGTHfoWZwK71Wp1CuzpWQnk
Awc7thsmu1kAvJHihl4lp8sOPVOMRgoIGEEpGTbsQxbBDiQCX8PtPZ7C15lgpXR9a8q6OYourtZp
dDrc6VkCJAMzBsbzdGkFXNy1yGBU7FTWoGcJkK/mXfkDdr/63XezSdDtfDj6rtCzCCit26gjNZ47
Tecf8mAfjdxbt9k+i4Bi6XvQyWNsET5okuT+cTiOfKqbSCKOyMdFodTTnu3855R8cfpAzvKftRYR
Wy0+EOhpCii5s00qt8PgjC3yp0jMy5DoUlkWAQYCleLaLZ7j6OHv4Y5IuqjW7+H2QoguIE75Qo20
jtN9OiLfL9jxNuPRl3C/TXa/baMbgY6eJUAkDgIbw1etRIVXZeM7OiatHRflmVy0NDFHciPU5Uy7
NNf9oV5tui3/EE39KxPw74l8epYBpeuB69LoL6WPjKxf+ruYvScxpZrnjBjJP8qWtAmqkPMmbmA2
zDDrYZuZb3Nqx/Ym/b6hmb+ntnsSh1VbA0NMSd1Si/SsI+KGRdhA7VISGd6z1hYgW7ltdmcdUWL8
ZG7TBUOnW5BtzKs6tM+7fclnJVHT18w03raUna8vtsUPAGjWDZNFz1KiqA616Pm8lPUw9AUze3+B
Y3rodt6e1UScx34Pzc97EBwrhE493Wr0+a7cLTI764nathcd8Qc8Pd5s1bRKPKTrFjnGZtFpmet0
q+EV2iylMm/gOD12unW7jJ05SEwidjKbXMqJcGAPCfkFX78fTlv2GYRkOo/xHkab5TH1f1BWtyiJ
uNm00bOiyIwhFXHQLWWyNGUjkyYjyk2iSM+SouPoVZegJ6G0ZgoypcyeAayauG3ZZ1HR6NeNPQje
JeTgXRbH4XsD+uFGoqFnEpI2alxWhTnXOBeymvAxXxP2y+mFnqVFuuUGsHQ8Omfiq79uVTh7/1B6
pTgN/2bHPiuJTNAcwlCO5w7qgtqwTGO37kN6ZiGt/dpv0YJPJSAjzeEvRfKjc6ui0zMKyd8myRps
sSVfxz9GW79gD/uH5fN+y/i7KTmFxGaLgjpJJLJSKR3uQRca7nQa7j76Spf4m9sbPSWRCBrh/NVn
WEZDnGTbsPzJzeSWkqb/Jihq4CcrpwDnBWtvwfKHHRK3k+isJ8Lp7qGBFCP76V7nbejnPpxN3BYo
PRVD63Ui03BgcBGrR64kSi/KqSRPz1SkyHbjyNA1XUZ08oo+6p69mjsmHs7maT0AQLO/hUsp32u3
6Pv+1jedYxR7Fhat4XbMzUSXcm+bRzr3+bxKtyPorCriCrycOCT4BuumQaJU8BwoNzfjRIjgT+H3
HI7HSDArybSWgwgL3OmdCnT0LCqKRq/tPYiKyrSRNx4NedJHTnolehYV+aNtoh3YNhiDeeijMJlo
3GoL9KwpYnZJJIAj+EwsySAHSSKnXDc9C4qCaFbd7GFgA+enR69Om2xpIzdkEz2LitpUJ34Y6KWM
eb/VxTqpoc4mMaFBxmkrPEuLAtA9E3AJ39/mlE9Mv4WhWw8v/TddEZvU3igE/NL2QREIW246FW7b
1VlDpOZ4gm80Qv5e0tu2pplIfbcP/Kwg8ohE35fE0KGM75BCKcTk5q9Jz/IhDrjIYUKDD9xLxWPH
e8y5RGnU7V2ejs532Tbwnv5Q0rAmd8LT4tona+K2OM/6oaOn6UyUwuiNaPxslMvY57avlRufgp5l
RMzbh5bJaSj50MtMIYab9trtxD/riPo1mBXv1FLq+cggDLvvGvHmNOtnFZFol3RRpFclzC/1dRPs
yD0fhgFuo58ySzvyg+ssU1s2KRLgbHyJ2tXtWD7LiI7QY3M3HbY01msK0Lbmix19x2vzWUkEre8i
onm35SiTzzXSvtnArNvZedYS8Q5+BiRQewkjvwVgKxPclrRzI7DQs5xoDuiMiiu3ZR/va59B0xH2
ear27afbKz0tUzGMYFBZvFIPj6y39hKpf9KIvAdrfxM8B6fAduyIbqzBK0Xh1fxK8XrppR62+c9R
UQlaGIDi7WfviPvFLfNylhkd1p/2OPVtGa0fvMUD6MnxLZwlRsfQ1xQ6UVsyWGOsWmYrc7MloGeJ
kbdT0MkTzJLYluc2Jjfi6ItDz/qieD+8fm2ILXHFAMRxPGTWzI4X0bPCqKYc9PdltiWnTfeG+7qn
s30Own+61RH/X2Wvv/mAziKjtlfowO3SqRzQ/Ew/wZpY3JnIeOxBrGig/QBcG5k+LXXXwIt3P7pl
/G6jLdzBWeOTNH3WoOo1KPgv0/G4g1sNkDr2qMX8kfQRU/dklrq5m43a16dlr5v00vnoga5WoLzm
YpAB09W+RlvySOFSRi4DD2HrYFgNykPGWVp/pR4Lklwe2AIKydU4FwuLtMnC1JNbuTZIALzQQHvs
2q0+rW+RhW7qZZsSmh9st/aCSuWd6QP6GUGU/kH9cX1kn6fX4SI+4Iovljq5LlA7/6nx0/acwSwk
KsH1A90oTPzkl4d6JJA4uOXUgB40cX0N95GOH0kbmF+HBU4NXLlehbBFgX1ENdqQ9X+R4UDVi3my
H0vRxu3xuZ2EtNc1ibz9GqPtdK7QwiSTe29JjXpkPRvCb8Ci77oMYbXQ5Em0tm9LvbM65wySxFyT
cZJVX2/1/NSDGrp/iuA42hTdiAa/vKvTIcrhTMD4dSUHX+7erdRF4Q/dTp9RYW62LOWBl/7YMelz
BUathiWmTMP2S9Na7lfeBrRBYSOx9tck6oM6T0PUBy5RbL3njR2CXsBn2JOcUs2j571phg9b0Lbj
pRZ6oK8jkBN4mnUY3nFkY+Lnql5kktm1Hbqr3808fO5EMMtcgSuP+tRhQGkVQ4/2m7jbIPjfqK69
PB3icS0OCxV67m8rAWld8QjIJkLH8ZakENhliqbH522BXCtrw2Ty8s3vapodu467K4DTfnrpF123
eWJn/UVLScD1FP6mbyGLvPjnAYJVWIZ8IvUtJPBtz/QUwu/HA75J51x5213s8xjwbkhm6vxQU/Ad
P2YBTTCW5g4X/SnKwH+clq+6TZYuQyotTsuGLb4BiChAJt1SrKJsHcJIv+iU7lxkS1CbI2v7MdwL
Zrk3XHWX7E2+1OAIw/zmOHg+DiP6prcwTpbLPAWQzVLp8yYPEtHVV8kXagsCEfP3ra2tyTx/HOHL
MbSaF4nfpeaT0jT+gsQBF8W0sXTOer7x7bbgn2Wpk3A9skYqmjyjdBAtGbDI23jjfYK/K2FjJjIv
UnKVWQfAjy1mrcX+leypgI4P7Pt2/Bk36ZwWftPr8EEChfkzOBrr37zEs3/OsFD5ttdd8IkkQxch
Z9F48wded4cPwEy0HfdMbAAy5i2dJ3JZeRDRl63fmX/VdS+Hatc8GG9iizuVLUybZ2W0HK5YW6HO
RzZPf20NReacA6GtS/gHee3N2039JY3Qwj1pnyogLOc+ftvY6N11Bv+SNaC6xF/WKenldAErU47d
ZVsMla9NxOXwC9U8El2AlQkSDS0xD6M7u4ZASGaDqZkY8g5loSnMIj9s9hy/7D4/TZFPzU15NEge
pm16/wa8uMa2VE81Xhfuhfwj2tga8rHTXjPAtHThRGWTqpFFi9p+ehuI7zd/JSrs678WuFCowp85
QuymkVF/3wDfbashIod8PuY2+ixt54V555uNXedR6OUJu6lnc9roMbqichoHGfCLXf+G9pEwfatH
wu+SCXV9tETzpb6bIhv9kjrood6l8bA9DsOAcCHozfIlYqmG65rQ7a9VmvVlFJbHWT9hRXn5cgRd
/7HVh8cLciDGyEBo28KiQbykbv6Eb8L3IpE82ZTX/q3ztKovLUI1L1dJXIeXGF1mdbEkjTdmIl6Y
d2k9b/seDcmgqrE7ivDA3pFtqHe+T++HIDU4axIEkILTTPAdeOH5+aiXy9Qsr503p8cFW0KMJ6w7
jt15SDj1r6vkPqk8CDNGUoTocPmsdoZ8GYmW9PtMwvg+CcftMZq9drxL46YPbwweF8GVYhGsjzgA
7/p9yhVQkNo2j+kWNWhZaenxmESDekBaC6d7CN1IkO/xwNvr2MWbyHaKikuGBZp+A7Fzf0oFlXEO
tPMfQavSv1iq6h/B5E/D6xQ3B76EhgiSR36TFFaRDgciYJlAr+0czMIALlidbH5Qk1wN7fTdMPjq
ggKUKAD3GS7jym+NtSX127FgAun6JQ5vc0j8LCX7M+/tnIX86LMUcLhMAPGE77J9RRihM4lO3Fxb
b8sOMAm6ND4KHkc642M8PrRB8GhJV7B4/so3z1wDv20KDUOkAi7lD0c870jldYlXrHB1K3hv0lyM
nkkzAo7ezdbgX2F3lvFjmshPep819nP7I+Z8vQLOSovIdNun2NRjoVogu0EWmFWewvtP47NNamw/
zNo7EO2CDCZMnzqKG4SHHR5H2/C2Jx72w1qlGcXLzaGhIBkl+yPZ+Y209jE1s38B9t7CP7UX+Rp3
Tb4v/pOM9B+YxuiiQG4skcj6ISg/LmG4FZC18qLf21/wI2kunkZFOYHRGQIAK6/Citvec5XXqb/m
/qRxrGjy4vfJs97ju3CCVrBhkPiwOBmyuNa3nqr0YaLysRZ2K6Jof5XDPHXXxnp/UIsDoau7+9Uc
j6TmY8bJ8jZuXXK3RMl8qbfoV9eYJ96hXJwPmEMmxxUrYbS58pMHXDmP9xMAWHZrRmxBg7fCAivg
M6KtkIXLVYRRlyVWmDyQwsvppD7UMY/LYOVgoo/+K/JYITAoMg9FMGWdnrN28vF/4gFdCAadSRfJ
aFchWRHVGdnQY9Ih6ZzNg2Qv8KuPcdLUBX4hPhQHPD1FNsXH8hJwEv3aonqti9Q0wadmDPVeKCNR
6CFB27UPhBGG3IHRZH+C21BcbP7AxY0nUnQ5fj8S5Mzra3KNkZmyd/4YksfI98SYUY5e1MzOY/Ln
uLOhmNrQS6pE1tGXqe+ZzcJ9tV/hExn513RW9ZdNym1BzIe+0Ls0oInFlzmDy8yn5nhLKapPlwRg
0Lzfh+AL7GHGOZvbZv4ST4r/mjkqp/d9rzE7usOawnJSMQynm/bAAYJE2VPkWbl/mIeUD3cx95Pg
Ogfch+K691Z6mcjc0yKRA4faadjqp4XVi77JkHbf+mPt3hXrgg4QIgt8VsG07Bvqs3uqC75KPCtF
u4x8DdOG/LnEMJd7E6MvdRZMSLYiR7qpr77slUZQlTSybOpp+DyuO53+GNd4+7VGUC1lcxRCyT8j
IkbtdxsILQAFD5IXI/pxvARaglPXDbvsyhgOTR99QuvuMo0CH6TSCdo5ebPCQlXoeH5et40fCE3m
tYMPldXDy6Qm3ua9HkKCjaX11wwZVrZc02U4SDZ3fFc5mp7JswLqv/uogJtYnufF99V18vUiri2p
ERumIbqO880G6AbGbzGsVzOFbUFH3y8RNAfpXuAq+ADM2wL9MyF3wHos8T0I7QHiMXYc80Vin/ni
B+Fh/2J7DbnnaJS33uYJXO4CfcEtf+3gThpWKkxojaloozAzhgiR+3HQY1+JuM02vE9ZMnC2wSq2
HTr7GG/b6dUb7NA+ExINTcEQ8pJsHYGFesG9BS7hdDlockFs/QLWYoOuJj/BUXqYfT8KHYvovrWU
ibuE8BX6mijWAjLAJakz0x7qo9XJ/J0qQPFuEjp6L49a2KbntBPbr9FLRJAJ9Aa/DbsHDOegIslL
MPwRlUQWTRSFWRG7Z96YzPdrO3qXDgf5d6pD9mlRXncH4zlcKNrB3mErJOKJhSs1WdcZS+9SwVuK
K4ABEpwex6/OsOUzbnVJnMlprsN8DvwyqLm4eN3Wr4XxEkVvIfWszUdDiX1dSbvueThKU2CvS74e
uqtBCocr8YA1Ng1fPT9O7KWXiAUeFHbe47lDuJppmC5e62gY/R/+uoRHjstOO9xWb+/Gy5ES/gHC
wbS5HJ5nyF1sUWG755PeP8F5UvxCbd3wfFHj0NwUwq0W9aRNkeKg8mE1/RY8y+49MBp0DccdsBLH
v9KgpdFLzOlxmfZhiXNU/0oLpKfNFnhujlnt0Uc2HyluiDCOGWBlUu8LEm00pIWOKPdz0XQd4rE4
ZK+qmbwP3WwETqK1i1+TLRb6+WDLNL9sZO9/DNtgA/QVj8LLdhHgeFqWcAZxdzqCJzYI89Is3QT/
9635Ktrdqq81iUaThzXazMI08bwCCwCkAC6X9x1+V3OK3T5Z59we29zctu4I7kyyNi3odQe1+TLi
LuyD3SS/IqiTUTbQoIWZOh7k45Gm7U8mxPaKdHn41sRsGy/iWEW1wAAXQdIa7RILMvL8uwbKn6K1
xFzqeBWlQKUuE/YI2qs/aFvfd2ax/KmZff6mDHuGVzbNxgBNk4FYxSWGB32Ybw0kfJcotE13v0zh
BnKaDFdw9viOLhc+peKyWsrbJ92Gh3eDLYr/ECTz9qXeQu9x8GK6FmEkR6QQ0JIUl8eMe8WFqDCc
H+slED9sO4gu8xHJbpeZEZ3cR6SPyz3tJNRUgVGoc5NITJeJKe/z3hGaIYkQ50PC5E2HvXqXNvw5
Gf+J6gk+Hl4SHYgpZOwVQ0xCfuO1WtrM8CN9TTd5fB/ZyO/Ixs1TJ3ATzFLbk/YxwRm+/4D77G4u
x44z8LYOZiotOepv06D38aK2eMBpI+xkrkNN/OkZOTlcyk2A8BDuo/wv3KHlx25ZobRtjqhUiTEf
Z2yWVbCHdXTv27XpXpDG73/ypE9VPol9LQJl+7uQ1Yhvunl+WlMOABtgwNjGppSGXxV0WzQLQE08
Lsoe49M6tSu/1GyLnwlcVdey5iuupf3usz+xst+TNX68ex9mZaXGhTadHgZpp5IFmn5doMfsEV+l
Zrv0ZJzxVeFQbLNuadIqGgdGs72NRy+3qTLBPe8YTwsVD+9Hgmw+kmZ86gwNi6477tpjV1nLJv8D
7BiPh8m3Rj8GYWI/HTgr1EXyDS3mM0AIF0XGOKombW1wN3AdfxILbMsw6aLvcjjrkG+YNRreNWE3
HD6k/SoYFuw6y26LelPmJaIx9tGGeMurEEkNx2HRp/ej3H5C9Bkd3xf0t/8cAgOaL8qQXdaJfc+t
J4W8bXzf/Wz30X04xOu9f9gLo5I0l74X9rEO2tLW/cveL3RDciKIKxz+kPmAEOgPLPfQD/Vf1H3Z
cuRGluWvyOodargDvqCtqx4ABGJlMLgn8wXGZJJYHXBsjuXr54SkaiUpTnLU8zJjJStTKsnwcMCX
e88599zvcyzJxsxLd5MROhQBKo7QRISUpGu2rpLwlZedu1xbSzUQfyhd+gTtfPFo6OC4G1vhTgqM
w6YmymcUQhUlej7EMx0vusG0CL+K2loPDHhHMLbjku5seEsP+7kDKRu4LaX6YBW2xMMfU/u2SGzT
HT2GspGIoiyluYFMuu4CNc5quO2zOnsFydDXIa5gAximTjQ+ZUH1DiwgB5YfrAnPnzoTP7Fa1WVU
Nwv6/bpDO7MNg4KU+rEH13J/zIh7mUtas8DgYL+w63h8SrNSibUoNEQ/OIVyuGzDsJGEeZLVOoJv
UffophNYXjS9w2nTw2ejCGqX4OZDfzfsZT2klG+0qEyxzWbs8S1qUfSNKDzC9rrNSixqt85CU7lV
7itcaKmPUF57u9kZaO2D5xkQ4NpqSB/kuRttiDsDbV3YjPZjkVsotwvbVnllJJyqy451UsfIeqjh
ejX0qfnWw47LDoih4BlNKgcZkCaTNzBDy+OgsTjLDrYDROMWSYA3b53BmcktTdC3+LtIodI/jrLo
hx2DmI2uG5OU7UkqpZ2XJamKdA2Dv/jV9GhhuyfI1hfs3KJllyQDQBCmbZZZp4QusAjxSQoiAju9
ky0uUYLy3nCYFdLpKUV7hXs0aBJwgukpOzpAN6nyLZw67omyyt7ZVS5MOIpGOf5g42HscxTHOOuc
ek0RuQpP8H5URUdXUzLNbmgE+o0Exdir6svQzzjdQHE10yUBHvgEJqSZ/VgWdhLAPL2PQ7jAmhvl
oNNVWMcVh2JnRDrt4xJJH/iQo/3VEFtADoZ+0Ah2eUf0sUDbNxrGoxDZzVTZlg5QXmmPgW6XqT+J
IW9WqhqQNiIFUUUUy4x4r0CR2LiqRMkasFYItP0OeJS+hrrVaNho4he2pbQ5LfykHlITxQI45peG
JKlLfMAXKO7AJnOsy6a2cNCqLpXw0LEqL5t94arOHAoEWenkc0Np/JQ4npf6nu0Wrd+jF9ZTWuDf
ESHlbPSVWjAP2Oq3TwC9OVrVgwvtgyRv8YJUJZZ2M2KAMqwnG0V7OWJp/mTX6G2zKTXr2LU3qjFe
8QRr3KezqE92affFs2wtmD7pMk/yMJ/tVEBRQFHy0YXKrSb3a8cWy3t2TK0BPJhmyFdQ/lpIn1TR
u4GoO9vzJ4Ti8/9MRfq+Nrh30iLP4lpvOvTT3FReKy+Blbn/UzbmnVSlJZrUtmr1Rvb2FJZVUftL
lf7RGeM/nqf/TF7q0+/cRfev/8Kfn+Hw1WZJ2r/7479ua4V//uv8O//9M29/41/rl/r4pF669z/0
5nfwuX+MGz71T2/+sKr6rJ+vhpd2vn7phrL/7fPxDc8/+X/6l7+8/PYpt7N++ec/nr6rrAqzrm+z
5/4ff/zV9vs//0FseGm752qo//hxkD9+4jyLf/4jfPrl+FQlvwT4Uh//7stT158/S/7qwN3Slvz8
qeJcZjq+/P434ldJOCeeFPDC4memqKrbPsUv8V8pgUmmRyk6ZFL3rKLtahyK+Cv2K9roYXNIYguP
2ODB/v0d37yqP1/dL9WgTnVW9d0///G7nd2fdJSEyEhiHJviM9l5tLNY8AdbitjFoTdq7Wxx8ja2
2ffeDpC/P+PsMSLB1hVVYFXFPs7IqVb2C1USl914M/IyrBJo+GFoI5CbTQeeLxfDWG5ijBJwTU+4
C79iL+HYQPRD4EGpcelPejhO6F+DpjXesXNsoIDUQZAzie8EmN1GQLMZglfNQ7TgvOxxE2hqLhPd
X2HrfkNn7wNyklM/DDtHeJFk8KUo9Bg5FbKrsvSH1vb7hIdNRr7nnjhBtbrKivK+08sOGN3RTeZn
3bPBX4R4Qri6Kz03UpMdDrXrJwXqUmPtJ12MHiEEMloHQeGIyKMMx7wIGBSwspwDuxK3Xn1dcrk1
5X0CuyCOXp5W6QbQzAVVUq8hJ/a7xhQAo9PGb5fqtljUwSaIPhagJXm25/F4JVAY0hoe0LORpnaG
q7g5Wpn0Ww9IcutETN3GNhcA0NCFHQd45ugk4Nby4hXZC75okCwycJruysMRbDzrQJoVooxwXK4o
aaNRvObCCRyZr3oAny6hO97pUylsfGy9quAvUSXAMgqIqLPElIeh6Neq8Z64tNdyLK07AyYtAPey
svqyQv2CqA4GEBFCTdGHKYMqEEL1R2EccBlKBkMq1hlUWhA4g8dLvqTZEIJpispkXhWpjACGrrrC
+poLZXw31S8D0YcYYKplyrXnODdlm3wparPqm/wa3Zx9hCnfeyKeU8KOgtWbscgbX4BiYubcHy1L
E5/DKHn04gu91GFX31Qi+2LFyX28jMA5SxkOuI6AWsjnNGEPHuyme0Feu9a9mzLzovrla4eiYbg/
rKZmeGxdfJhrol6pqyKpE2x+MGda9oe2roOWcOAibbXKHAsbw1O+tAgL55HsoVuObICwpZ5eSSlX
eDb7zJo1FkEcCK++94YXGG5sWebBS4EGSzYemhbofNz6Gv3wOreJpja5Eyh/KKcOGAbgak6sAxK6
KNXxFQD3qK1cTBXcd94Gwpp6P05i7JfmSBA3AWmOT6oWL4Oyn3kbh3mR+rWD8tm096FYfoBL0WUD
3MVXubVCJBWNfXIH5fj3ac793KT1uo/NevTyo9tyBGjmlktg7l11W6KJGCbkc4n2AtG05L5DA7Sm
c8iWNJ3l6znfT9T93rtJyG2zKpcuKEeyqpX0y4xdjUl8my/ZhsEyO5XTfWrKzYx+iWsHnYFDDUgG
HReovZJ6jC9rF4cAjEJ9l8+RJ70gsdfgxMIW6EiTlV+RIiLz5siO5y6Y4umisay7ySbBHJPT1DIf
RW4hdZw1LfSxgvLOVWNQAx4GanHd1Oyl5TH2pkf21lweZBLf1HO54U4Roac1OCWkb3l6Ae24Hzvp
NQqrA8sl2zybn1JhXVK0F7c9AzZDXkAVvykl8D+RBUhTsP/ni1wUB1lkPoKJa3RMAF2QXlI0LNOt
CQAj3Dv2Fy0b5GxXufxGqxvoR/dK8K+A6UGMJgFdvHvh8ioskecGbXfqYecH7BefmDQhgIrjIAu/
KYYb2GacgDNEpmVfQJ19h8+IX08uXu8ski1wYyy5Zpd21vXI3dHvjP5C7Hlv8xzOo9MuR58v37VJ
6GX9Be+GGzdu7nVnlX4puyBOxvu5WrYcPBqb8eq9cfaRVGK5jQYuKd4WYOMGpDraQiyPNRsvBWER
nB883ynzKG3hXpFa9Rox9JYu/eSjD3ns1zCbCed62qfcDbMGKAYxXZCV6aVdSisovPlkBALUKfNw
1MYAW9LxxV3ELoO6PvGmPcIlPCIobJbOjsE/JBvUmJyE66wWOgUyN2ua2dcNcgJgdDc6Tu5kDgLY
VDdmHnxLz9tBj7cWqb9V6QP6B1xMTEW0ww7XGcMRiEhvlg5M45fpC02K62awrxUAesOrR87Ars4N
cq1q3hZetTUTR9NZ4CwJqIBl3GR9E0y2G9ZzdSIs3yk5f6lIf6vRqRsAZossDioBKBw2IHBa37Tk
q8iAbwsb5/0AHoMcLS5wNHXrFh9TZM4GteDfgHSu+35ZLWivglSuPJTznYV17Oc2D5wluayrGUw4
FKx05tcWVH5+SlLfVPlDw/V+ks2xsxsc2x5Yx7zc50ZEnnI631us146pQBG6rwwOtH5EP+oFOZvh
x4nER51DlCLsVdssqd86Fb8UrbuaByeCLwzAFtbnq7yy5x1f9C3lC1LM+du5LWnZqJXF+QW4+Mhq
ObYf89YT7Q5ZMj6xXK1spFA4ffbYmnhc+Crdsip6KyitKaKCfYMU4KktyQ6ccYzzWj628ZckA6KW
e5ezS0Jmd1jRM9O4SYtQA9NC9CKeZA6+zRoeuDUcijJhAdQDl3yoE98tlijt+suY95shI4ehJuKp
HoHueAXIMwGslfyu5fxbUfFF9tzWXf3av49534TJH8fO/w+GxZbwhAs+h5yLaX4WGRe/HJ6KH4Pi
N7/5Z1wMF2yGT2SECHKOfv+Mi4FDg853bSY4jv4/42LnVwi/0LdEONwDo3CuM/53XEx/JRywt4e4
HSekDVuKvxEXA65/o/MTCIoZcTCSLRFHeux9Ad4sYV5LMlptnTh9KlT8LIu0C+tEmgBdTsYQNIYK
UofMwL8WvU6y9lXTrATnvByaua5AvKUPtvPkAckf4CLvD3FDI5IVG57OUIws1UERrtdVy4tALfmz
Scnotzp9QeX6A5+Le93iEgKIegC8cVVno47Q9zTzMzsZcF+i3DAB1t1NQ7FTgCT9ptaP6IrUBqwf
vrAhfm2MUStoxTxsIbq1WXyZ2u5lZrwdJFs7gjTanxxyTIpiFy8WOtzHl8mSO35s3JvGNN9aZzjZ
8xjFoI7OMPEEgNKJUlnSkI/kukhJFKMbg58o8jTBx96H4iENaspf46E/WnHzLSdQMBTNsgPJcuo5
sOpm75owQ0NtWqmjk7AClV+AV1EQ8x0I6NqR4GHdWtbwZ6/JKmOEhkmT72S8nDIsl2AovEtaW9xv
lTjRybmIe3VMDXttHQsGdRV9mZP5Om34tuj1de7m2zmrVUhpj3Y3zrJ2NL2VBZ6i0fOh8eo4tPsh
LEacZ7Gb1sE85yyAmWMaFGDsgF1W9dGq0xdIv6wNrNJXSwmayR6TU4Yv5zcjLVdCyDuRWc2aNcOm
r1UJCG7+WtQI/D27uobuTvvZgnhVCVAPuun3kHWBlEilAema7bPScsD8nzUcvOsBB+Us7IAB7kdE
DWDoCuuQaNLdomshpJqpvhnhxbstKLvUCIeDDsg7dFOpQA+/Ob9giN+dMf+O2lHclaW4HQkaW9RL
B4wtWfa5qr6pjBwFCpJ8arMQMgArcErybJYRSchSeWtwX4/L4FwLj+nAOddpd4gjQqvM07vFyuoo
GXCdWQ1wLHyT0zSnyBXzcbyAXEqHbUNKf6pVsRo42UN/c5PZWDvQ3ux1v5za0r2pxVREpLTiA1Pw
WPfgvRqVjmr3lZ3eF4vGXa1AicvKGy5aWj4Ct8ZcRtwUE8WykXEOf+3kHqj5vIH/HjxOrfYyB6N7
6GJ4OcWtq9BnIrkxHcRGcukM1A/qPq7tg2Ulr0PhJMDQgba1OhqUs9VQ1a1iCCw2qhBToBxrgWpM
fLcBp67UnHqrBPW3oRihFaphy0vVJnX661LRqzHLL0tAVXJaIEsUxXWfjPuh1y+Nw/aD8MIRJVN+
6oK89jyrj5J4uWpTNMh1Ie266tvloSj0ZYJltIGMeNosRrs+/JNaYOdyjoql1eGsrHTDEgbBRLo0
K3DDQHPj5cItUw9hcPJSenkSzEqtm657zvtzqIESi7pHYIO+PhvJ+i1cHDdllViRRzNwAE4Cvh/i
KnTfRouICuEyMhIxr7jOnxZWWP6UMAu9ykBXM6wGWJ3lzGcK+4YNzhrsPzDtVOJVJ4dyme442lWf
0xakO13L8VUwnapG26fJHe5TGyUHPbW/WxkoTy+pLtxGv4q8Rx0c2n+5ECT5ubdctBOJiOucjUJH
tDOH0jLt8txv2+UWHhyXiUHkhi0FPVW5Mc5yFI0lth5NXKTmsYVU1mQg17vGOTDGL8EdP9PCfWod
x4XWyKC1hnKDcwn/HUvm0K26CtahXPmEAuc1KS0CfiadYygYfYaGMJE9ohLQmvizrWCAZxXdzZnC
qGAOijPwrECmBU5W5iPcr9aY7AKhm65vgFNeQ4CGymQ7WEo6Hc5QMYKVagY+P26gOTwNiaPX8Vg0
AFYsIJB8kkGc22ojCcXrTufDwHMP0q9kbzM7gEyOw/YdnwmWVPm8L8KxK0covsZrqFvuk3p+mmLa
BfkgtwsHDzw79Y5bL11pfVEFjTRiLjB1iAphRfwskxZyyLMLnGfP9zxlUNtVSQjBPO299NRq8Tqn
hReWTf8Yp0Aj8sk51FBJhiWYbN+dIIdylx5VZIlTBYOrTaAadW/VIGpqNYR96t1DgLbm1byRk4Yh
nGdr38FrHOaHChK0uCj9UaFNLwyvcuw+ehy4xH8q6arr5gjZz0VCROja1bxKnOZRlxbgkAXE2lB7
1houZceiENU6sfd0uGSqPcRZCVDFygPTnVISC+SUIPUXpaK6nLjfxWqnxbieNUjYSffIh9sBe/0A
98tQoC+fdq7RniLCw74n/YQrNk0xRxtYM0h5XFqkWDeOvWBNC6iLzTcxxZDuNFA+quSliO19n+bP
hTZHNYrvoMdeyDL2KLFBK6fY+qrrZscLZ4YEmMmVWyrIK5NJbbGz4sjuSzxTthQhan+8K3Bn3soY
+4G1yP/cmfSbclywu+MEEcSctHiFCDlo02vgOSkWxyjdsBfJDoKKa8Ggeq2m6VAv4s5WTg5+XCKj
FlfIMU9xgzzQotmxRaCONzCTEKTPV6uRD4qOtyPIg6DpyyRgdqEBwemtlOaqGL0xyDPnsYBpY9BX
2YBdLRCvj+VjqWtIDjPvCglM4buQU/t5OyWBI+wX0laXjYzr0JuGS4PQzR9ZVYlomOJM+7/zN3Fr
VY+jjXQxANyWhkui9xTUZMAr54S68FfXJBA1qA7CZC0DM3pP0F2LkHgxmFNVsADadZylMT8Bn3il
bbVGP9H7WLU7PPTrNsfPDmn9tV/owZ2dfc/T677ODk7bfK0IaJRxzIF/oRDIF1Bm+JaA7C1vm0M/
zk/CpYjX3HSODLqJQQRSIw/U2rdkXMHOZZ6CPOHSnyn2VdWreNU543YQ8xgUkj7WctpZcjlB7Vv7
nky+nFUUxLANKlTuXRcnF0Nph56cpzEZs81s6guTRKAnsFxdI9ZTB55XO2kY53CfkmOkBbnrirbb
GWiTDsKjRxtRqKjq0zR5usL9CjmE22kvyJumhEcYsR5MQopLR6CWoeyXiLXewSPtvZ1b3+FL3q6M
zoMxrbywA7yK0vvKYLQcly9+cKmwNrNhtbhpf6FiKYIa5q6+6W0HtS6NCdhcQeVW9ce6tXb9AqER
620fWvBAS28P7ir14V+EkXNdR+Bq4wgU0iovk+QGMCtoevDKaGBew7w0sR+VRw7dgL1KuTy4UP36
sLPCR8XTgy4ICVQ6nAFVLIKC85deL4elJ2zF80dTKx/M+FcIJLOITu3BYrMTQbVVIkyrZQBVGx6O
i8buEgRQ3Ma7pTRVNGmIsFpbPUJ3k92MkGsIBH1e6+Yra2aAqcSpdKjj2/F45I2BCT+fjl6f6BtD
xhogRPsiwSAiPOsThOTjLp4Al5pxXUkzgORVgMLAf7WcvFJgeb5oIJ7NXIj6W54SH6JsZ20VDVsZ
nnYBHaqjthuETO38VNjHVjQ+YJc7oH5fOtYD+R3Vpgeb4Xvu8IAWkYUPsQY6ew/btseSKZsZBi1W
EaYuZJxWAe9QM5uwNKKEGZ24R+0BkDxJVsBxXnlSA32H+Leqxx06CF6mcSoiyxSIMLEdEqLdTa5x
aSvZdb5dScsnxpFwTrdwyzsCDYDzJcRrd0+m2SAyQOvRyRmA0tFhhdAWSgQXe9jBBQBVF7vu9Oit
m5ljQeQILVIJrYIqDCTFsxx3Lur5gxjiL9idFvkOBoCvcFit/HwBCDKUQ4Iu4Mjgcy1SKGBSZ93x
2QsrMnmnGjLd7chhE0jMM+ceNpoDRBgI8/nyvnNyayNt9i234z6g9vDcDN3W6rIOosxqD8XFRTd2
yOMgl8z69ZiKVxkPe8pQlkoRNk0CmRs4zkvHSBlUGYvq3r0nE3QFQOvU7zYVfwsu+P8PCDhnxf97
IOBqOBNkx6xKP8QCzr/8JxZgg/8SNnNdF2XQYN7+jQXwXyGYFR6H/6UN8gxE2B8cGSW/cg73SXAb
ghCXnl1V/sACqP2rOMMEZ5zA80BuOX8HCzgzYH8yZEJyBtULcQg+iCECe29Sh8KKASY8SbtjzZXX
31SwqIPE5JMqv48GAf0GiS6ltmf/pVg8qQYBu4JmN5/Lijy2k2V9UONw98ML+IP/e8P3/XUumA2G
gJEXY/b7ondHZygmIdrs4F0FrgyNEI6dd/t/N8YZWfmBUSxx/4i5BrU2QzQzj3bgTidoRH/fMG9I
5x9n8rYO87e3gjoLl2NVSIHOp+9KPfuhgr/kAOpk8aA5mazpeubtlWWSdZ6ma4oY5pMy/t/I+Hfr
4M2I79j0OmuzuOtEs0O9EoLueMvEJO/62ooWOECAn0gjeFlcGsEPEqqBoJ49czANexRl/Zm5NTlP
792XAcblEfzPQavQ9/5TkM9btYktvYM+ZmUtAxLE5IvMRKAKN5AMXnl5C2eA2JyAXSHO7j8zM/mt
rvv9NyAuKEqkU4Dw3hdnqxqdbh2Db9DyegORX6DK5Rto1khP9r0Xu1fI5TbT4B3tmCNhAIuJsqpc
yHuyWFupi9se2aMNnTMvyi2k6uvRJOFMbegGu0NSNyuPQb1XIRRY3Ho7z3yVZu1nPosfrCKOPQc3
EIZzB6jj27VKm7xBv5QR77TMDdSrIixHgDhcRMWcrSC8O5K62mp3WInUOc1cRnkNDVNbbwWEoSw2
l90MhDxPvqNgI2xL4bt0PCiP3eEsswJotKNsaDZqqgKbmL2WxWPByMGqmlO8mG+UjGvaOHCLddXR
0oQiyU7RRWy4yJNkxazlGOf9EDUCkVGfo4hGeJclFtzM+3WZD9fzskRIe48/38DnSb9/sy7siDmh
/DcY9O1DicuxyVuBrGUBq82ofeUV3pefD4ED/a9DMMf2sIVtT753rCNxN3oAV5sdOqasem/oonEq
1n0i1rrkr94w7fqEbJb6s3asv9U2/2VuaE3PIaKQHJVjb+eWw5QDwt6i2bmL3IGP2ua9fTFU4pBl
iLkWblaVQeESdfcuFsLAY3B3XXPTyPTYEvtKIIuw6LjuJQXxY1fhzx/Lh8uRE9vxXO5KwCZvv52H
dutUN6rZ9RPKsyrovM4qCyWgOoA3SX7/89E+uHM4ngK6s1B09WPOuwNtIglPxxYvYZwsqKq+oajX
/7wb+NlG4f0Tx5V2hm48Cbj/XeH8lIM3HVXZILRDZRXKaNtxDJR9RMOfzc/n89G6xXKyOZccZVjs
3XywZKdyynAiLXFz1ST0Ao6Cnzl0fDQbRwh2DgU4mh2/G4NyeAvNhDc7h7TX0OPtXVnuTKNQyFTm
pZ9X7UM5t99QcbVTuf5qjLgio7hrHf199tQTDCeiWS0rU8nI9SwLFCyKGco2sCkARnRa8ylDG845
iRLZBHNWfI1z0MfFmEOh7kKp2C5fGWhaPxGoCJiHOYsA+D5ybT1UEN8hVk0eQFiw4wCwUrrsi7Al
20EtsQSxZyhKgYdLWoCdbVE/+omPxkeLF6wNKBjESqBmzsvth3t/mrpKzB6ODYcZIGrVKhf7tHJW
g+H+8Kkf3UeL98fRzi/qh9HQv9p2JAHFrbzkq6OGQ946B6/57Ib4eJg/z8J3O7KrSZGyAauXZXce
hbfnBH3y32uZ8lssw388cN8tKoU+XVlbYy5112wqs+zHYor+/t5AYxMP0IKwbbB4bx8X6IsW5bVp
sxMpuyDa2omWXP98iI8eFbTODrQONuKx91uj7JulKvsE73+oLozTf53SDCXlfXP383E+2oIMob+E
Z5PgNnk3FRSdcyB5BAdKqgHsN6dSVesJjAJkr59M6Ryqvj+7AJFjsHOkiZPy7VMT7oCWbcbDUEP7
3LtdEkHedD029nWXzoGiwGVnWf7tS0BSRHUUgicIA6FeeDtoCed4byCd2ckOddEqnmsf182l20Lr
5XXfAap8sjb++uLeDvjuTtT5BKAftVi7PheoWW/INdpgHZrB+Sxm/Gygd3u276Cd7Yp83AENjUoy
OKhLVJcoLyk+mdFfw4vzjDiCUwdBjP2+ZWqSwc5eOsrsmF2mwE1J7mdU7SuiNhYqvEHICjvSlnhY
UEXv/3x5/nXNSORXDhamA/MPSc8P4YeDaY5nyBYWPuwKqXEzQJYYP6K7SNBDMNjei7/Z0uV8eLwd
791DTaiRMGefht2c9IHF+1soeD+J1j6eEiJWlIbSsyr17ZR0MUiGaG3YKeFdjGN2Lqt3UBq/XMQi
QeUmK0zYgUb8+YP863WOiTlwwDzH5y6CorejukNuGBD3doeyJOGPJrb9IhefbLbfXsfbLY5RQKZh
vwFLoO+tsTKkahwFUv3OLBp0oNf0a2o0yB6o27cQYtaR5VaRgu+M4Wj+blsK3I6AgZ5iy5qgyM9q
IMxp2PLalOqiyaxH3TLYGaC6M+6QJCZiRmjQnYxVb8ck/a6L6ZND6vyCfzKD9+5hI7qcddLVw842
yTad0tcYtZmF64x+Q8Uni/vDsdCCGEE74S4OxrfvxJ47jJUDC3Hd2h9QnppBrY/yN4he9Sdv5qPD
AnHpfw91Djd+2EdQeOV9SiW4Ew+o4tfORhGx+cSf67Mxzgv/hzHAU1hN12I69ZKE0lxkEH+xzzq5
fTbI+bD6YRA094S+mLB2Z+bpgnX0qyOzverI9ufb5eNhEGFzEGoI6d9tF5Tfigxdo7qdmOkaItfV
PFX7ZTGf7MqPhgHwDTW7gzgPGdTb2UxxYxRHA7ZdJvX1IHToFMWzMOPp57P57RZ/v6pBdNvgQQDk
4f/ejkMGgqyMCEj52rl7yLJZR44sH6mb4iw39j2Kyrfwp7/NrbMELDsLUzuwM4RmLz//Jh8dQz9+
kXdLHjQ6GlO02F5cZ/vOpqC/+O3Ph/D+GjpLFIj9Odl3a32EJcEUF7PZTTU6k6MIxpOX6AAcKG8J
2tT1UO+jbsW5ZLEazQocQNCZc00XLI1ZLvtIWsMc8NZ+ErOAIjrPg0rpDA1jYthQxHKBi0YfoR4q
oA2H0Dre0qy/I24R1qVYQ2z77CTVPoOFLJjFdgu5+y3sUKDK5am4t5LZfZmSzDz0g1ttJ5icr+rG
O46ivcozl4UiEz4arjFUGAPx0JAiSa8OGqh4Ikc0ZzMME8RT2UBYoQ65sVFPoPj9ZLVRT71X0GcB
comHkdTfOerMGq94QX4HasxedblzjcoqBvko9NsWe8ml+4TSW1w5MjmwfIYwtTOgj200HUQslqYb
8MxfBl2vC8/RUEm4UQoRBtdFSDQ00igablaZmXeAJNyVirN7xVg40f7bkC4hwtULgcQephgbFPue
Spnf2FZ+UfXepQBbDXuWlnxyoH60uphrO0BacAmhnuPtMh9nGY/Q0va7qmvpakAtGXqFDc8/X18f
ndrAtwTH5S3RZuHd0eBQO3Hijra7Ru1BqPP8vrMUbDI+cyD/6GxgLgIEyT0c3e+bILUZTaoeDd93
pRz3qLe+bRzx3cDb9+fT+XAYZnPH5YjM4Z3w9pnxAqe2rJd2lxmUpimb3/a6X7sy/yTs+Wyc89//
cHCzVBdzzAjejZoPKs1QfjAfKByrfj6djzY/YH8GyALLQL4HSBpFHNRmpsMO7RwvUlQ627x1fAUT
NK+vm7VztjT5+Yi/GWW/P1xxpCJCBlrCyPsmR5QqXXbKGXbtwuKQCzavIa2499x8x01zjXbbUQJF
9KSgiCvie5kY2LUpGx5g0wgNQZo8D3H+0o50k+d8CAnaXSARCwSipGxcLrwc/dBNukFlkQimwZ1W
RTefJezLcYLeMixieZVVVr5KTLu2/xdp57XjuLWs4SciwBxulaXOOdwQE9rMOfPpz8fetkfi8Ihw
D2D4wm2ouHKtWn9ARSZhQzAiwAFmvzd9Xr2NAhkX0qa1a1fALJtYeYJtD4HchVhSlQjRc0UGgeJZ
A1vH3HuxDBkgrl78oNvOdBaj/FtfDXhSXpjQWxybuXRNm/uVkuQHuW0BMkXVhy2pMzP6U8r49yAs
UVMD8KqO7alTiCQtL/wlRBAZ9IzwLjtVs3BlLA5cpyJ51PRF02I3pCsHuDh7r+huigwishPcmFqM
Ik1tb1oL0qsTXulm2q0arbpXmvai1mWPcpNxWzYMio85imjzOqAoYbKS1ZYn/y7yqTMm+ZpL5wvS
KebKy2vIBHBm96YtAmCSw2WdWWARW4VqfJ7+db6HP+WKf2s9yhNUJ8ShPjFa0GKtQPJsG1KXWvqR
2LyD15ICTSFO95kUt3dY9XwUXfWRFlBnOj/OlnnbSdeubl5b0GEfkPfqhtf1gLPN0OSFkloZUiru
a8iL2w75vXDtyqoA2oiao6/H3w0X4X5UfpJL0ByHvIzbtR632lIO2r8AsGwao7uVPH/X5L23bevm
ruddaabRw87+W6OZVqJsITRNwfJ0d3ENvCtSnqYPNSRvGK/ICUROsQeK+UKJX91yNAerugdiAsAz
uk9F/VVPY3Ohh/qh8tCDkFtxiZzidaCq15XqvtVoHDqC8pGKynWCipUYcHnBhWilag1cdRV6V0UF
MK2TdaC36ipLmoFaPtewyV3zqF3yabsCHSWSOKddPM+iOqHc1LKC3Lg/Z0gxeahJHGnc2ujA8aHm
dOFQC3abA3eva0sKsd1rjXWsCS9+7u3OD9bE2x8X+aNgoxkKiidM8orKRYmqLG4PKYiOsr1tq2xt
d+pf4DpuscpBHEB5SVBWq5BNC/V+pQrK0/kvmWy1IorU7UFlgsA97V1TC8VKr8gX7Axcs+a0wqZN
kEDRbV5YBSGaafhcuOHvR0egE6qlKwpJdZCRClABs6kJCIxYdxAI7e/ON+0z1/ltRSjD9cUwKN+P
nXsLgUJAlWXVAaqWD4U7kReRlEPWEDaN0N9ESfnINR76k1vwtmz8zWP+f1+UP2fMmfjjXCxNe0fv
HeL7VSDdukF814IaO9iGtoKxYiyRF7wRkNbb1I17JaOTslBhnoRtEx8CF7G4JHsIC32XWCgkSOWm
5OEvDGCL2uA7Q7/77ofeJXeq4Nv5fptccFzG/zk7RgtOkxGJCQsJfILGa2ATATwqbqzaePlKGJ41
MTyBRjwuS5ZWDQkuYF2DLr+OYu0DNyWASbxkno8zVbvTKLb+E2c05agsa66gFuUhSSw8xO3vhtE+
NKn1UDb2T7RBdk3T/JAK4Fvn407eOOFcU25i6qmyOErFuSgkNXtneXAs/znz5QDR3BxeUgQwsAK6
LHK3VsXoWXekF69Ri2XcG/bS7L2ZosRn/vrbPITDwh2E+QxF5nTRIVdlBJUYlQBO/OCy8dBc8tC0
W4hut24U7k9cz79JnnOdN1W6cq14KwFLWjqmfZeG7X3WBt/Pd83kDGNEKJRpBpWf0aYjWlzM8tSh
pKnjjpCU6Q0yYOg6Iax2PtDkdnMUaDT2lWSHbek7xSENE9Rd3wUdaqW9kZNgJuEauvC3LjaBwDCP
xeHJ4rSLaxNhpCgO8kMlOvdgIVe4bagLW9UR4RV+otf41/mGTfbgUbxRDzalJ+g+hdNDm79qYOkT
5QcMx5lGTfbev2mU/pufsBC4ggkV4oBK4LryTICRTr0W5OI27rT/5vT4v7Izvfd3zqZ/ljSOTgZF
cpIcNZD8EGvmu9sld3Cm1+c7bQLkwql7FGNUnnNEpNGgJWUH1BqvBCASXMCv8rC9TIVoaRsbDzvm
2NxHGjRCw384H/18b1L8Pp0ilhPwylSw5otU7xZWCghRsrSbUE/uvTyYkdufnh//9CY4uNNgXVC7
vufG+aGL83fMWlYtrtYoQfYzjZqOM0x6jgud1PM0julUWhalZX7IC+mHHMGngHj9ivbsTJxhZH5f
X//GGdekTa/KNYgMTMXMxuTDXwGAXxR6vhChELjVU+vPLLDJgGA6dB0ZC5XawmnDsLeHa2DxUtdn
PiLCz7L7TUNgWsmf5LDjyjjn4Ds5O/6NR6J5Gg8dBQkIR0jluBFv61x/lS3vFQ/oreroM/WByWWg
A2QEA2kOt8PRoKGaI4WdTVmlyoC+FiWQAQScd40k3yq5+NBqyqMSmW8+tPpaiy6btlydXwqTR6Ou
KYi0mWxipGenrU0xm4CClbJ9uaqxTggcmu42F4A6he2BtOlHHgWrztD4byhNiFp2ATHn+fxXDHvy
eE4df8RoiHujRO84ZA+VAP4jUoMO0dxr0EyIsbWvhbdlYyQmuUffXPpivbfyfHu+FVMr8KgV5uja
51mijYgeK90xkm+WVN53dbCtNfX9fJip+XkcZnTAddAOjNRgAXr+S1s7ux4WV98/JTBg/izQaOeK
JUOR3ZhDB+3QrSrICz2NDog6P6GcONN1k21CRcfkxdMivx+tOcTmKR5kbF6GmF3DBzq4WbpuS/u1
94PHL7TqKNRolLqurNXMbvODrTarDPVM1av3XMfWndDNvNtMt8ogswLNAMRg+PvRQVoiNMkTLu9c
RrbzciCQ1d6X3kuMCc43aSrl0aky/xNntIb7NrKEjH9Q1A0XahVt/PopyHaBHi/CbuYqN9em0VIl
7aA827EbxyZvomqwUxBKKGDatpE3M/8m19NRs0abY+11nmmXPOGF3QZOxFo2d7n+lcI2tVKQTcw6
nRL66RgVdYBkkUEQK8IkwvkgJJWTzRcGiCQbSScD9MLY1D7liu1mLftbJb/JeIBI6odB6TeM+2Xl
y7v/HmzADRjozVuajIrUyazjIb1kmye1Ugb6SQOfBPoMQsKbXNqpUT8T7RNXPt67j8ONJoTRFm7v
VFxpVK9dU3y7KEFnLGwp2FXIJHGloLSaBf7ODfKfkoiWRJQDGrOKa5TvIAXF/g8cQq5DW7iD4q5i
D+DXi1Bzyy3vXEhyFKp2FQjZ995wzXWuJk91Upe7TOm1FXpF204nmSo7tHY0D5P5LIFG29eqv6EY
8VY2nnhRCEgYcfP010nSfGGGHrd9NEOdXu5gYIJXcpQ7wUj3OlJKkIS+MHuOosijzTHQkMaGvI3k
i3Boivc0spdSCEcYJUY1nBnOqTV3HGu0O2aVJOi56bGVeOVGQzQL4c19mKszt8EJsC73sF+TdFzi
M4OoMnyHl3N01YpFYjWXospEKfRYvHdCSdmrDhAEzVJfJEj6i9SrYV0aApKmxZ2aRuhOwYRy8QCp
tYx1a3SfuOov7N/HHzk6ADspyn0RUZ9DnAkrJAiXqfMuWdddlM50hzqR/xwHGi/ZGmGbNiyyQyYN
UkjoplfVTIjhJ84s0zGmP6iaIimjNDuYsWMtpbRdyfBEJExQBCWZOc3nJtFoS2gTU9WrguYIVYXa
pef8DGzvvlTsmfT5EzR9plFjmLPnN7i26ApAkpjLR2qirWqXl6XGGMnROgZeorjg9V19X1rllVrp
B9De2BtI3o2RqpeIAq9CsT94qQ6zDVZuQB6lWfJBSpGxOb8rT/c/oBdZM6AjjCuQdpUiHWH5GWxC
ZVuHV3a+t9CZpzC6Ph9ostZKcQkNFTZ/nlBH20UIJgUKvgH2O6mWpvwgSzHbLHhk5NtyHxebFFxy
XK5yZ+7AnmwjyioyKFSV567RdhijD4wMesnJk8cvUW8gNWuh1Oa+5VFyO9PKSXQXwob/BDNGzXSV
AOvQNM8PmDYjMCahLOJVqVEvBRtqZOmF4havkcuyKlAPscqdbWfxpeMVK/yANmGUL4umXPko1y6c
vniIfP+7IOvQjdzKwqog2rYuFA1VPSAf/IgP7EbmoJY467ZKVcGct1V09KSdAsOjCiX7u15qG62q
PjBi7Zlg0YPoSu8xQgwAISVzkQYpwA0LJepc2hRYWSFZsa9Uf+m34vfcCH9quXIrlvllnxZ/sTqv
gWbs8iq/7EIbcqq2ilOsHVEZvjAjzKIS+akwcVmI0+TWkHVxVecGjHEKbAtPgtvbqv6HkPrVda/2
mPFAcMZjY8VHI74cPRkF6h9qF78hzgC7Pui/i0UYrH0o3xmoPAQF9K0HL30diYBUQiQ+SDCvtFq9
VbGP0au0HbC/O7ntf4QwJjzN9VbQf8NtHVu4EnhZuRCzYh1jXZFkUEKNCjPDKEIq3d6aPq6pUmOt
JCW/9/z0KoV7p6nmIbW8G5VH7aUPiVZ2kXs2BB2tN8ffcqqjKyxi0xL37oUm6NvINOoNRGQE7YLL
IGAR+ZqO00pQ1Zsm8RGqclC6FFLlQkSGdWYpT+7WqgwQApS6JiNHdJJg5YMpWBUPVA5dWlEt/m5L
XMHOz+/PmvtvW9tRkNHZQ8oYyOAW8wNeIsmNqGCqErnih53XJZra0mvT1ggsm92LVVnbqtOH56tq
Ba6u4JNa4PLSqhOFK0WS95nK0WVU5EjkYcGl6jm3vZoOCubeCkudfZf3D4lVfFidtO1zeeepgrvG
/OqqFBA38WR168nlRYZ+ttvzZpMH17GcIxwuA6wRO01CJq/eJT1af1ni72OYy52DZvX5DpnYWyiY
o5yqAOeUxN+SoL4QUgSHswOza1UE8spLccOKrpx0Zv+cOLyGyrw41I4Z2/FG7VVtCpVNI6ezXoEP
LVCvR51z5g4/EQSi8a/Na5RmCb6fl/UnbMfQ0A1Cnz1Opb3bq3Nlj89s/7d5dBRJPp2sviK32J1z
N3Qbd5WZZrfCRQTYFfoMW09x3uIG5xcf/okby4xmc9mYMRKAyn1fNK88GtQHVQ8e2TedmUvrXBco
px+mmmjWRxYJSRJJu8pMX6SaTdezf5yfN1N3Y/NoHQ3z6ugOnsla68Sf91VE9bTyI816xErzJTku
pk6P54NNvu8cRxvdxL0c3TPBgoPGc+PPtGw3gq+jg9OA0KvvfB2VZgHYw4Jq15VdtdeeLqzMzr/F
C/ApCOyvpGFHTR+lYQ52g0qPiOjBTN1brRDWUm48tnLylSwZHWNE3cCo6OOViVcQVXqflRmGHGeI
heE6tbPNfNEip3i+fyc2AdnUuD8D7oAaPqZSowMUKkLek++h56M1z1n8JngHWZ15ppvOLRCiAxYA
Mx1t59NJo2lJFvkBRK8wbC8cV7sReFVcxFH7qtQp2Jp620e9g9BKs+uVWl4gb76UkvoHqhPv6Jw9
O3UkLZG+ulKtzliGbrEepI3UKsCETfT3dRY/FlVw6VfNNZCfmZ1yOgE8+vrRlEdlvCu1AiIbvnoL
oX7t0SL2QbJbqDjZgb+sdIylELBFg31mTQ8n32+bzVHk0fSPUr0vK0DrB10xHo3UvdfLcHN+CsyF
GE1qEAsOjikQqhRBfXJV8VLK3Znhnw7BuKOcTWFobM8bYnilo2+THqzSfsav5V6ulfvzrZgs/Jto
fSO5yIymKHQ6wyLfk8y0Z9EorvetS+prFG42WRF/9+t8gyLUBdaMay1s14peDzD86iuEnQGOYaGs
qMvKGNDptJnjqR4k+7aWHzrTuSlKnF6a+PV8QydXLIsDICpHqjHIPxxvv53jpEJas5Js1/QXclvt
TMFbx5J+L5jWzMSf2uqHFhFF1QYlhNNYqmTraq0w++xKMyE7mRtN1z5ER931jfNYWf7MbjR1glky
+5AFshO+6GiXyL3KL60MAqGvCt/cNrv0cT/Vazi95/twCqIELgh8IvueBZ9gtKCVrhKUTGfOZzBg
tQxnTPSfJLG6c6R8T7Z7h/3RbdN5F66obXxTv4/T6qloDHlmeU9/CIr3KtIAQAbGGhMOrHJdq9h/
Izd/J1u7lTHCMOMEySDjPgytNYtqXajpO86W93XWPSdozcXguM93yCcXZbTP8Mz573eMr7gNBJKw
RzPg0Mf5c2C2IOqSH1rhrHH2+2bpbrRT3YA6robiY1y/IzVgLFIRi1avXoOvOzQYbS5Qqt9mqoK5
ioOMJe4I3Becm1zTHn2uPpjpvBouWma1qN6LrXPtxtkjenD4AmaBtg4LYWdb+F+IlnOD9wTo9+Jd
M7xL28q3VSBeqJ5JORLTz0Vs8b+SaRV5co3CtgNdrLrjGQK7pAiHDKNy0DvTMCJs/wpy5dXtglvG
OYbVa4bbMJMu6l7eARu5sboMRbzMBiBWKuum7n82tr0KIuXV0/pHPSzhsKPgnYbKzESfWMQKpE9N
1ciJ4a6PJrodK6KHlAE5ZG7uXCHciT0NzBFW4g39/NBOrKmTUKOpnqJmL1kJZxdtF3wug8WDiWPn
+SATGzxByCNwR+BKOS4+Fq6eIrtBe3wcj7n/otaHs87Mqp3utF9Bho84SjyBNbZIEpIKxsaOubOy
dGcj8qwpJeLMvjeVdZ60ZzQ+rSDlsoMbyKHRinCJ7JG79hLZuo8xiV7WKQUDvZYufU14SwanUPaa
JU52Syf3l67mXDStNYN5GA7h8fqEpyRxePJv+VNg5KjtXoZHAU4In4WgZY3/tRkJWz01riUF+fe8
UEJ8Y6yZDp+aOqIqWbDUAXqRu512eKeHlN4rjprUB+Ou+k9NrtxRq5mZPFNH90CExirbRKQelP1p
HA+mCR4mVDcVWd7KGu6HsnBTCu0t/ue3pYtnXWW9Ckm3jwR8amx5pm8nTjmsPEgZqJ+LgKpH88r1
M0GLMwvaeiQ8aC3SjGFSXOBGeIE4wLIt57jf05s+jI8BIw9ZekzKdvSuytO0o72Kee/zMJPI7lWu
IfYbYa7jVojJYbuXFzeYxSHLL3ONDBI2rHZmfKcWFAIQojIoHCE6Mcr8VA0pyTZROQERp0TyYmN0
9WOGprrWepfnN4jJPoZiLELasGj6KI9N/FLCIp26spDtYwxETZjgmEQhA2tsReMLWTPXGVVSAHqi
Rj0GnPS5TbPwxDjUpv5Qp8Y+ztun8w0a0qzxgjzeweXTOYu/c5clXQPToU7e7M7MOBvl+1QyH21N
fbPV6A11Emw/vWxmtUwN2nHg0S3fZ6EWeKOyKHEqdaMbtcD9sEUBVZ3D+E5VOk6OjtHCiNWmSQqP
ipnE/pcCTMdgZYUjLchJ5UOIo9sqc342SlAsarR6HDGLlsB81sWg/SvV3weVZiwC5gyapnYl6v3Q
AAxRksyxzkCiynbZIvp3gASxVUOKLtmNnc1tSsrQj78P8K/TZrQpiXWFea3OEeBUFKXzqt+Guljd
W5m4jgRvE+b5bdg493hEWNTK26e+TB86W1gDY8cEOuhj7LBg9fVtXG1qlMk37SDoL/n+NTg+f62W
zpXiR7CE+uamRrlYlXycZhDN0APzWqqMeCUOih06d419g7PgVVS3L2hMtTPz6f8Z5V8NHS1NoHS+
ZocdHpRtXy7rTn5LFROjoaSiGfVVIvgU55P8A1dhqtRB7C70vtq1Ef8Z15crzcveFe5c+6rHlO78
Ihsm2G9jwLOmRmZKbjyGe6ADQpokch8A9/hDF9CyRQ/+C5ugdBRj1Hwn1wrwUdSem1S7kDtxZyTS
te+jVNlm4h+2Z7ThBnUQYSKdsfH72Q8/d19RZixm2jOVKQDtkzlKAbPDEDvdmKADKHhIoSzjNdlf
AO0OmVc7mHCHr0Veb7Is/5ZE/fYr44Q+lWZyq8Kk4DRmkTohTrFUeD1Re5UxzQjCauaQnlr1ZD//
hhgNk1XFYY+zK8PE7RNet4osprDrYgx7/qQtXLFP2xIErL1Wcwc4TrruNXGj2MLMU9vwrb9P63/a
oomjUoXadprRxLyCR/17qajXWbZv2ufWbxd2M8d0/1wj54KNDiqyWDXuh3It/ObL4b4TYx+5ztM8
gZzdLwLLR8rNl3adUqL6XDv2GhzSpuH0XNYias2CtKqM+q3HsgpH42yRDGbAIirEtV3fpVm3DSJv
VyqIYjnxxhjEG3pnZos6P/YoMZ4OiVV4jZzm4pD4+zsPeLOttFde3/z3KpXya4qB3DwNYxcpbLqY
x9aucG9xDHtzRSTEz8+uuaaMdgAdjwRdT1idchTtKzt+wuD7ym2NmY1mLsyoSCT5hZ1kLWplGZri
ga3f21iWLSRnjlc2udkM0gaSYQB3HfPyxA47XBka0CEXS3iG1tKr0z2itWjr4tammQedl8PzPTh5
JhyFHE2GLhZrV4l59s8s6aaP7H3hiF+4MqNKo8IKsLShPnQ6EVoPxkaqM9/yAoVjmP+4CNza3EfO
t2RqkI7DjNIr9JHJjkS2NLnxt12Oi6iCjYETeo/n40zer2RRR5IVYV+KTKNUJlSLIqmRVjygi79q
Btd1p14pjoPxn/skeO1DaVgHh2TGrjKclSXx+/kPmNrvoMOgnsZBznVn1J+4dgZ5oHLfcXLnpQ3c
jYYgcaEBbrNCnPWS3flwUxmyjPURrpCfLJyh34/uykLTKU1pcxqZFd4XVfGcVO2r44gIw3vr86Em
h/Ao1KhnfYlnXzEd0jShXpaYH+B4ij09pgzn40z2ICwEnk8hMvJ4f9qkQERWyG4p4li4A6rJixHf
KVK1xvt2iUfC+ViT3cco6UgtUNIZ3/pbgAu1UjEttTr/ybl7KRb5Oq+tGywgZm6FU2tZVk1JwbEe
MO8gcnw8UqZuS7jUDgehlu3axqLuZ3yh0nYcYrTIGqtT8aiTyRtc50lomzWY38cqBpLSZvXMxJva
DXniglOhwnbgIeC0OSkOiWmTU8fofbFfIMmEXYuq39aVsS507y6o4FhgqXl+uKamhkLVZCgKgYQa
V24tP0yUMkE+q3NEbBJxUCykZSkd8jRbm83cnXAymoXgGngBFvS4VmJ5icAGxdrqgODUPuKIXa3x
+qDuZUN/sDzh+XzrphYYnOVBEtMyBqLjaZfGWLSrpQoDoM5lYeF1BTqycouSnDZz+E+NHcISMEeG
Uog5FrcFY6EVtsNK9jV8BzJ37+GfaNgVviv9qyX0+kJU5tBdU9Ofaa+yTSGBhg/XaeNQ9zbsHLe7
A/6El1GW3Je28Ha+/z4VF8bpHw+8zAudCwEFkdMYMmr3aeMYBYJX4PTqHnYyRs/bDFckRfNv+6B4
xHt9bSHdiFufeSh6Zysb/cZu2sfMdy942rzpk5BXEA95pMbHX86q3gw/XUlaWi5wMbWXPToXrHKY
Q+tIyTdJg7dNnj/1uYYqcL9NYuvWsup7V0d40sJk3Qtkf4EoYbDoDKPEcBL/otZFghkzUnmRYLSK
GRRuszhPYwCmYBHgZw9uXG6RwrsNu2YVtuE1qO+VYMXsuHW/dJN+hSf3ZeiJ67LTXvsas0BVejd5
ODda4R7fI6w90CkoxXcsBSizZ5dp632PHOHOrE0cd2t7i5PCNgA7EFqAR7CfKSzMlc4Px8TeSnl8
UC8a7mbol5yORs4zg4ATJG+EieIvmkTYy8DExCC48urInTmcPufPaOzRiOferIIiQDhhFA392BCy
CYC+QAAiIfqK/SNq5XrTK+qFT76/0LBJ35d4E14hpYywheiExaJouvKttlwUgAw8y9EIqSJzp8hc
T4Icn0q43I+64NznpustoRX9AIe7B6Iu476QXkth6h/8zOLlygKwEVkoTOi2toIVhcFhmt7i4Uad
sbeWWYNNQsW063M/XQqZ8mY1crEwBKxubF2KHhvNLRZNpsuoAgq3CrNwkbviHsMEUtmyvQjb6ClL
++e0TDA+rtSDhy0Svm3W3quoZOhKvKpFaVeK+iLrjW8KwhWBNqcxMLFBDXLAuqHhfIe2+mgNA6MW
y7ghocfwiCxA2vjld82bufxOARAoUA8JFHq91IxHUUD2UfECP3FoW0rERYaYk9Ozx/M6iwOJd622
xUec4IkaqHG6VvLIXZ2fuFM160GkCMEiHAgtygunM1dxgkZMsZ4/8ARDzpG/pJpzmXv5Re/L70Wa
Pyoi1mdWd+Mm6QV6uVf8yqUjmZvz3zGxZfIZeHkawGHp8dERm+OMJgAO5bSTm3UYh9ddbMycBBNr
VNN5lMPS0KSIPGaUY7qVtWJroIzsY36rlsk3IWaDNJK9I+RzS5ReG69QXv+4OPHAAgxvOG6PUlWj
qQXLLqm9waffKWK0BYVJtVW+aqz0K83iGZ97rWxQ9R8NICrilZ2wpR2KIl+VcXeLYPjWUTEMi4SZ
yTI1SPpRqNHt0yi9KtRyyu9l5f0V18pTyUVjZif9hNf/6joyjwEhAPln0H7FkVIdZQYWIvQNuRj3
QFfail70GtrqUxVg9tp0QDHTwvzmZN19a73Ftb/vo+pRxQfXEHgtFuRnIas2afpNkfDgE529FD73
org3PHtdiuIiieMtVq8bqYjeuw7fbLd/Oj+PTyfZ59dDv4VgBh6GV63xJAsMzI/liismIgH5tknr
hyxz7ns7cVcW8lYznTURDWnAIbmhfsarzqiv+gBZxVJt0oNbtwe3THZVIyJD9+HK+cwsOx36oV3k
MigqSgA4ZJbRKFLbZHjXhwl+TkUCx/VbYlrb8z13uuH+HQHSMpU5ROnF8UtSbJWllCtlewARu5aQ
yvaWdubN4CEmg6DMDOQF/J2hjbImqh2OgFoHdF28v3XvNs3AoSj9zLCcJtN/N+UoytCZR6u/SOUC
f8S8PcjeS6Y770GLw4GSXPZJ/uDEM5ng73OAkTkKNjT5KBgw4FrFpr3lReEaJPoSzXwHbhX+8OfH
Zy7O8PejOCHzXcgzuq6ARua9a+oFAoXnQ0z2m4FIPm4mFpvmaHQCJfMtEOPt4VXBnVLFEBD4XXlp
zHFoR1TuvwfoKNBogFBp0HWsC9tDih8nkH/delDee2mrGK+qdKvoX+m6o3CjIUoxvBdNJBsO5Q63
Mc/HZXttmR/nO2+US/zeqNEAmXhse70T0ag62ytOdWVRf9ZUe8Xms6F8sWw6lVef4sYWrf9UWvgn
NEWt4W0Cj6LRGUQZwI6Kzm8PCDdeVBerOduZkSrR7wFGJ0/pkMzG0CYPPdbaovKo5hvcwnok3lL/
orCeZblZlOW13++r7KoRrhCuWJ7v3skN0Pi3iWOwewz/GZC/0x461XnvoYjUsndzPsT09P8VYrTH
SnizNUFOCLXey4KziP2bVL5QSx188B+2Rh4tZt4L/M52WWnq4vl8K+Y6arSIKbULpikyVM1afIZq
9Ge/Plq5vtIUTR/y6+lrsy7z//7rFKy4vg2GIBaIxdNucZsy1/qKeRxuoLjNDO9Ex5z8+KjPa7kL
MIWgz2UxwdrNSF5aUu7z3TOxSZ/EGHU+DsWF0GR0j/ik50+lWqLZsjGrOVXyiWMUwyUygUFIVTL0
UT/ZlQiN1CZMlF6CQVvGHW8rfxpk1F9uJqY82TIYRbJskg2SmQqOo1/or6OGjPur6ZIAj832kLv5
lY0tsuZfeaK/UBxz9WeRRhPXqqMitBUihXm5toOtpOCJ8sZtfGYGTM6yoxaNzpquMQr4KcyysF/h
aW2szzdjYo86GfnRIZMif1bjXtAeKumtdZ/sYiUACmkfvhBlsP8BqqRxKx1v92mIu7yKyOzg6L6M
6r2qLTV/JUtP5+MMv3N618De/lecMTMyNt0+riI6CyXgXtnxYmGvLB7V/aVV75O5UuRctNGqgSso
+9hHNgc9umg0fVs5VBX6atU4+bJM1+h3L5tUnNl1pnKdkzaOlpECRLnh+Zc2puvE/zHoYooXYnRp
hN+82lsIOE+f79TJPYiqFLaSvLHxrHG6iUay6dt6z0wv1A1pnBFuVbyIZ5bTdF/+CjLKOGKw373Z
0iqSUnRZXzv1NVqI0k/Q31z8tu3b+TZNbXhUchGJwJEKt73RPmHrrS8Zw9Fc3SF+Ub442v58gKll
O9waUfKUUHMe76imUVRVTSnuoLzI6grnzT/7+dEkiIBpstD4+cH2Y5nP6d9Mdc/x14+6p5WQ2fnc
qlsEdbtFABmwKGZqZVMjztsf+k8D2wjEyOm0cvBhVsCqt9R/t1F1JekrKV16CWrAe6+cyWcn23MU
azS7+rTtvSghViFtsmZpr8mcvzAgRxGG1h7dpiwjjeIKG4wDBte3ws/zP37+8wHenv64T33kf5t0
hPFLl+2Kuce3qVMAACabJz6ltGL4gKOvz1SjFot+mE6ZsjH1asH1hhpus9WTK8P9wmBQSAMlxqsl
gz+aXGZQFmo5XC66J6HexO3Pvpmj+EytvuMQw9+P2hNBcArwdG8P2WIzl1NO9dXxb4/6qiwBkrYx
22G9UeV2WS+Nbq05r0G5Pj/o02341OdlzwWSe9oGC5xd1lt2c4j0paosSmcGPDESIvm8gykwcQcB
4CHAWM4urDMuKB7Hl1TwJCSEPAs1oBzDA2ZwK0dyVr6lPrt6sPNCbY8U68Jx5bUouRvw7yiiZ0vJ
usiVa0P/s4aPsSp5A66jGRpeXDnr/ON8r07tOiYoRZiUsL+wahz1qmhXcJf48c4pFj3l9+gJOT1b
u1H7S7mdCTZ1ch4HG207dZDoSZ0QTFHWtr72vGfdX9bxf3qc/3sc0eagBD74B4xlFivdESul1GlS
f1VkK1lZnu+yyYl49PujFFHCSb7zJX6/jW6aK0O8+7OfH41IbBSOLbWYZgfZokaZdiZ7mfv60Rik
vYrHk8fPO+uls/rCp4PLR9PW4po/Lm1nYShIESCWg7y8nilsflItx6ns4OX5z2+PTnhTTGstd/jt
nhfdVSGuvSDAIWQtr6IfDepm7UJploK2RCKo/bCD5aykyUTHDRwL3suAfeAgOhqXuk7brOJ59dBW
Cy1YzCzyiXV48uujYXELbNn1ImoO0FluqszE1bfFEN0KF42AqGYefeB8A+6pnjl8Ru9jn6vlJPBo
W/V9uTSVgmZlVfhohlfeoITs/4jrq0BOrho/ubQLbWmU6pIX1eum2pf+TOKDtiSbzGhsKb8DXEMp
RgYBNToBLaPNg67nmmJVRrQ0a5xetGapZfnPqFBeGsWiIgscYCEXwZNk2c+pKtFBlf9TKvxXcNDl
ykzNbl2k6qsplKT+dRUsLEHxFpWoPTWp8mE4vkRdLX7O2iz1FkaXxthim0+5beqrKFKuELbahlaH
iqgSWWu9z78nkvsT4PxNGcThgorAX9QA7zpMMOxG37lWcOto3qG060dTDflFRTwU6HV2fJ6oKvki
cZb4CTSQBr9VgvkNQuBfVVk8S3l8E8vxrZtHmBB0F4Ui3BYuBMUw2TYJAgy1/o6bQwQ1232SevMB
Rb83VXM3vawLS0qEV3giIUGv/+yR6N7Udr6hhsGjiN09xK61de10r1DBs20jW8p5+BZ05k4NFG8X
deGl1Zg0jhcXCg6Y44VSICxL3RMuWj9scAKSn1JBUXmkBkca1+ZSa1NzoVayvfKsiPVWOp638WPt
OoPKtYC9aJMLI6EgpoK4h17GUzxM6YUe5N5WS3JzJYQNzgT4dxhZ8Ii21YPS5hC1E3Uw2lgnA+TH
EZpbTzKe4GmgodJl92SNe6mWpAsEGg5ZKsFJlm59S97Hdf6Kws9VKbmPhYxotimCjsr2USVE/0fa
lzXHrSNZ/5WO+84eLuA2Md0P3GovlTZb8gtDtmSAK0gCXMBf/x26lyuVK1Rfz0R03GiHpMrClkhk
5jknsoi2Kgx7AF37SmRxkzKQkPTZNvWaPgbC46nOIMtakvZH1aWQROiqI+PkFiJMQ+D0ZbK8kp0h
q75Qv7LD1lX+lRN+IU76sMkX//I+BiswPohLwjmCc4MnbmgcQdszy2vv4QuX7Ac79kc7KhXQn9W8
YTsjfoFkAPiriq7aqcIUod3lJ1QlSTDl9mNLxVfbyi1s1WxbmrpCmaDeeXNVgw+Am2h3Ucq8+49v
CHw5JNUW+nUE7mfepmcAoavKH3BWQEOAzba2pHYlkLvkSt/ZOM9kOz2KH7xLhy0okW64P2XBxFFg
Pbjt17G/bd25CtBCeyXouGgUcsGLWi1aV84zqzjaftVUCopplhekcAi8HQMutlWRNP6umK6Yu3QZ
AYb3b3Nnt6EswJnnqXmEoKF1Y7JjY5dXvPKyTX7zye8snPlkVzQI7FtYaPWV5A8ZyQP72+eb4VLq
BkQhGIeOtMMCsPu4VVvbLNHTpo9bX51Sceezu0Lz165Hwsy1knIeV5X76FgybqE7JGaSfG7/4hDh
7eDXkOXVz2vZme+MdQ4Jnq2oojm90ejh6qNlubZ/m8V3Js6udQCuTEagg76t9yoDMyW0bFlYkTBl
UX0lQro2mrPJTJVdgUtTIvt2yPBGAZfT+vPpurjn/hzLeddfauWaZg7DCBKZ0Lh1r4S9Z83e/whE
oLb9r9U4zxAJt0bvDMFqWMU3IQo45S4MWwb5qJUmktpcZQVgeteC+UtVRezBP82enSSlnD5T1Thu
Na19nDrttnD7YB4eqvkJFywQihCXy258+xoO8+J1gHgHHanITP2WYuhRiaGd3uG1qaNPA23l7ZOf
7i21ESr6fN1+KTf8tgnfmTp7sEhjpkPatuOW7a3+aSJ77oNqSqzbMsn1m7T81rBby9oWVTJfeSpd
3JPvLJ/FzBk6tVubNgjaQTmFfFM06V5UWcYVMxd35jszZ6fMJEVFDBTOtpN/aN3Iqt4+n8Frwzg7
WmXmDLZVYq3MMlLbdA1lnP+TgfM8fYc+IdZzDKAvo9rc6+7GvwqXXBz22S5AdzAkKDFRkPQ8f5zZ
0pqH1pmhOP2MrJn/fUSA2mxLP3HAsm6JkMxp0Exe0FnB54O74AM/GD47YVmfiq70Ybhd+f2RmLuK
bRs9kKD/vZYjunSaP9g6u7VK082Ba4UtMFEFg5EGtXNTlqem+uH5WdjYV9bt2tCWjfkupqt7Zc9E
GAg1oFIYQeBMBUwYIvQKwYNRMpnUI+AxTn0VKX5hS34Y6PLzd5bRwVTVgIbA8pP24j24r5+v2YUg
EiVi+KUlTluyYR8/3ik13SbthHnUg5klmRbURuKPq8+tLNPz25Z8Z+Xs3JaCaimroIiqXpqjeWXb
XcoYfBjD2allaH9tyhpjQG7S7pO5Wen9WoEHpj8M0DSsVla+lXrYWDe9tRnmMaj7W4K+LAW3/38a
53mvrU/Goa/VMGyL2X3Iib8yGuPKO34ZzG9TiaZCfdH8AILobMHmeezK0WuHbbPJrFtr2hlblF4N
vnPrK4u2fNJnls4WzTJrrzQYLNHiVaDRHF8pQkvvLExohl1j8ri4D98N62wNXe6bskmbYdtpOwqR
u7Vh3btXDvHFo/Snjd96lEsyEKgAgN6wRXQWiyqU14rjV+bs/HWQ1bV0QNcxbJGFkPYh3Rcbd3ho
xiv34LWRnHlakBQx5jgYSZWFnanvHC2ZS3nleXXNyJmL9UsGYHuJscw3MiAP7Mr2urLi5plLLc0K
TGEGPt5gkByNLBuKFvHnx/HyWUHj4CIjA0LMZYTvfKfVGTXI8Hs8QlWAPnzICzkBmav9lI4Rq1WQ
gTY3BbTjc6uXMm2eh/Thv8yehWFYGZAUE4ELOEX/53EsNoXxTRy5iIBiNrsI7HWsjhW4OTefW768
YuAuQc+xA/misxWTjrmoD/Nha91rRuA70ZVtd3nJ/vz8syUzwI08S7BrbUH0guLu5D2UHsg0Xj8f
xYXGacCb3D/NnC2baUDfuqXwBcB7sqdJTzS5EizsaJBCJmZvbOu7fF0k3UptXC90s1DShCf06fOv
cfko//ktzlYR2t1TzjgmkxmRdUc2bWSv6itb5WJY8W6ky3d4t0EnAeF4acFGA7ZmKKCLNblPb7i1
l/8ZUcWvRxdobYgLFkbUStAA8NEShNml47RYOmTe7VAHPzqSMiB0/nzOLm2Qd1Z+5X/fjacwHeFq
XbFEgKb11ZHRlIeOwa9sw2WbnV9M762ctZ+kPTENzcqxDQ91+L+5JN5/+JlrlRygCxB0Dtu0WsFt
MIgEX+3avTZNZ+e0sd3OzgFi3Wpjc0hZl5DMjKxmApdelJFXmj5UoKqVQg9qZMctP5BFG1sERcrD
mNpXnOQvRORn03l2qgf2Lz8/Do+6j/AIIohgnk57AJ/SoohBADAvoiLRaKVzmM2qBq25GONpHmNb
q9IdZE52ra7oBjTDdZKJrPjZ2c0QuUs0TPMWuZCxAPdoYeytIt2An+HkFwps0sAjhzIV1W7oM77K
siLgHGSy0GZ5ED2gf27OgyrXvlgNsVezPdRBikdm4Eg1BDWHzInPuBE6RS9iIJKr0Of2s2iKK/fg
te125o5ApV0ws8dqgQKnDvm1Ot2viO33+QcxHbAPCzzhzAlAR6X3VV7hnk3sH6UdF+W6HsKyQVYR
0MHA2oO/P5xR6DD9Ff9fwCHgF/40fhbkQeWC1aD6gJe7yaJr7JwXX2nvP/3M66hMtEYOjp5tBTy/
3jS7htJQ6FUg+qe53bfIz0Nsd11M1+j+Ljnvd4bP4zDR5cM4jjDsBij12DfdU94BChp97u4upbLe
z5555iyKsiRs4jBTZ0H6KLMgscBmIQIrmSLPXav5SurvqsEzz+G06T/deD6d/CYSdsTsTV6ELXlx
nWPxn3Ha/OvW+PfuOI/R0hFIpGbG7sgeqzyyT/KaFt3Fu/79Qp0drqGwU691sPl10MVC9DSyzKh3
EnDJQ6ZRmkH+rA7F2yAD+g11nqYOHhz9hz4nBZ0DCPF+vp6X4kUfORMLOhZoYDuPF3skPlEywsUS
wHE55pFU+x/zSfSv5JoS8+WT8c7UWXRhTb2bSgZTvIx4PDhrSxwpiFYewTx6ZdNcPAvvTJ35l2Jh
m0D5B88e3CA9bhKoEwLDzCNNH8LWupYFWlbsN3eGPKv7S/jKOA9Ca9RdkLTI8Navu4ilD4LMSVtc
6Tq7YMQ3QKMMdjXAlf3ztMUMgROLmwicuD0chWuEWXnoy/8MJvhr+3+wcuYc+8LvPKPB9qdmHxXG
1xml6c933KUD/cHEmYdsW9fEnYbF8YYcDZ/ICUKGWA/azKdoSJ6SwRenfDJIVAlccEUNknF5NWO4
BExnS/b+S5ynLVyNW3q5zGYS0eAqDvJC0f/Dp5+Fa8LyxkwsrwY5hB69D3KyeRbetXbxS8nvD2bO
fDFxIBSS6jDjFcCAd8ZEYtKlVVhJX4+6RYQMijDtUN4re/pZzcU9N1AAR1UoGWf2tfP6U4r5/nx5
r2zTc6ozXwFk2Pf4Tk3bhqXr0XCQhAa9tLMrG+myJSB1oQCERB5Zfv4u8rb8RlYo4iN/kiYQrdJj
9/nzoVyIgjC9fxo4c1gNQM1TVcNABTIlSkmQs+bKbF1wVB9MnDkqb6SGpA5MDN4m66DlMu5kWceV
Y6A3pnr4fDyXjFmQjIbaxy8ipbNdyXzCm7JU/bYcyLPRe1FXfsVVt9EIWzMInHxubZmd8xNGkIEA
+ZznouH07JgzTgcrY26/FXRe5eWkYmZRK5ozFjpZtvrc2KWlemfsvMggDCVBSpj2W9f6oksoUV65
Jq99/tnUuY6sXRwyTF1r1wG8Pag7NHLFCJz5cmLPJ+39ljtzv6oxVQ66c771R01fNz1d+nMszTnp
WlnFmSnGYG7LZ8uBejtLobNgdWi5YSuwg2+aTNy6ebrLdZRimYH25MrwQ1P1FTTlpoPp9RvbaG5E
Lx9tWpxK19gXI6o+biM19LtUCspJSA93eIGoUoKNxPjpG5BuhE770IDbb/babG0CwBVr0/QyUfFS
N40bgCxLhI6mQPwnnNcmL+/nInsmdJ5DPSfJwMFQaTIQNpM6DxzCt6WRb/rG0wPQa1FodoErWYBY
95Ab1t2YN7uxBYjT1pq1XvsbbeAgqxiyn66YRNjjXRLW2vgMH/Not/NtW5hzxDvhh9BWCQ3SoNEz
Y81ODRlu4m7cOEObWCP5qgMDHWgONH6l/R3sRrHJwWYPTrGQU/sFXR03We9/oxCP1IsuMicDz7DJ
uDUIepyUTBPk0g6VRYpAk70MSq0B+bRC+iJFC0ZXirvZ93eiIhG6Dz3MKGIAqu1VqkdmC1AKdfWf
Jsqlge6MkaXQCNY6aQEeDchGgREuoV0R5paNXHMfOV33LXfd0MYmdho9kQJ+m5Ms0azGDJnEK6n2
5JHW7Kenmp3RQ7nW8JtNM+ZmWNt+WNeTFRQ1fy00feWx7k2O7Y0BCauQ8AWJb4iXfiwfCrO59ZCL
CWg3bTrVYRP57U+hFz/l4G9nT78xe/WVDUMXlAxyWZrDTo1UNOZVJZOuK2M/k13YU/2kgIuKbHCH
oeFFHqyshPSeX3sg5TYfNJNta66zWEMOL7KZjYYH/kMnfO1ZY0TRpGVl/hZqZafB0AObgry0sR/9
kW6dzH9BqrKK6toNM6K+dSzbQ9wPXIjZrS/JtqRpOIGzeJROVHZa0g6g4SfeF9pV+2HQQqO11jUF
3y+dj2osDkJlR2fsJVqFZJhC9TC0e+s1XUahiUGPekoO2DjfdYsm4Eg5NqTfpdKIWqm7QcZ5bHvi
zuDa2s/qO7ua7vveiYrS3VZ9tesm6xZv9kTRcW22VrVy0JNEGIccXdWAPGDMBQgktGw3CjeGelmE
VrsRr/k0kiJbMd2IwaI+BDTvkP5oIwfEKDlof6yh+45kRQh2na2myK7OQbbacyDfbeCQdS2SjIde
WX3zR+PF1KZYo3pgcuRNMix+Nz9XCmq5ZTuFee1UqHRl0YiW0qlHcage79LMQ2nA2+EZgI5cpGR8
nj2PSEWGaGmBWqDr6UktkYJsD1Nm1pAeY2U0c+B4OQshp/bVm/FQMYz2ppUNpPjSx0nTQVrkVFgy
EGablXaifHjuSv6qeLurfCcBLgHjLKpvUnO2LC9eLeRR3J5vxhRENzmJFEl3nFawsW+rMdK1HETv
FGhhd82ZCqFFsFOMtyF4UyOWWwfmyD2Ur5O8AXB+nPp7NIbtTYO9gGtuCsq8u+kc50h7ufFnMyCp
v+ZNepQdMpCNcBKZzms4jhj9j9gC9dbL6ROZwUXWz2sKImEOGS53mpLMkCM4idB56eXNW1vmEjpA
hh01FKR5S3WZD/mqENOmtIuNPjdriKbBZ6DpnLsJUZBsk81dpvhuMtIqLtmwhqTbGCg2/rDa6c5x
AFbx8eSsyxPt54NO1Bua/pIMQGk6NhCaKW5Ms9xCdhIphM7ezakRd4YW8zrf22iNZJW1b4VKRkvc
0drmYdtpfRNkpZqAtjW2yHrRldSKp7E22xAis09dU4DHhyChBDWYkz+CC9klAbMniOn56DpM15WG
G3uy4TXnlZbWUdqaIamLMOVyBxL1tTSgLAi1tay5selhznOoE2J+9Cy20RHRm6+Eyt2AyFfTrBtg
KI+kmRNmaZuKlHcFrzaK0aAVFFRGEPHJaSQ1Fun9fkTHXuHgbDD0ZhVwOtQG7YMdqGoOZhDscdeJ
+u6tqhQLi+anqOSqYiWW4RbkBGsQu+DDHm2NwruN33VfhZ1Qh5x+n40WeqqxoyOXTqfXXvZAans2
9mkVT00fuZwnNYOer6VvKrSuqplGQ6kF0B6A3CG6+gwjAqFQVBSv4PW6MVN10ztW0OZG3CKTWUEn
sRAz7sQ59FMvMWtozy2Hafimlz8bvwxT/XYARhUkhVHRfUHLQqBVQ4x47aalgK7ac5jnaWSk31pv
WBOa7jOoDnpoUk2hCU24pgW90YYev3WaCpJbfh0Mpnm0JicUKCN2ziu3jUdofe/yYTDC3OB3pQC9
CLY66yugPFYuy+KODnEKKYjefqnNPBr7IjIh5ah+IHv5VZ8QGBbDajLnhxpdDH7tY1zPvu8FEOOI
fDQsd5lC1bmOMTOxkv4BqvO7VJy82Q18UDrWbIknuIJGh79xkFMVZZNA3GVFa/3Ee2elfH0/GP4D
tNDWkOgBMYwqNwjvtot0I88PCp9Fbww05dKcrHWqDUE3GiM2zl2PiEQ1Fm6T/Jh2e7f+bognsBKB
5uhYqSakOlQe3UDz7ibxzUtPEHI/ZOi4mpxD4eDP7DvRWejf9daVZ8WNhm3m97vRgnyjbINOR4oW
6FGoY1ephZjCixSEaDz92yBEMs3VG+lkourvPnu1WLuqRi/moOjtzQzHoQb/k74iuRsJh4XZ+HXS
FnKb50avE468r9FuTK/bMYmW5qFdO+J1VnmQZiLAggQKjGegog2rSQ+8dgp6QKcbcwjYLIADA+nR
qKJyzNclbZMOIHQjayCzdpvnz6VD1qaOiGEYYxMasRDgcMJJyHAyqqjy/c2siTglamvWDtR7qheV
5aum7lToTMOqBYtkCUgoGke7OJvzn43u3Ba83oqare3emUNrKhPUFFflqKHtePrW1BK9y6wIwBa3
wfMFT9uBhSyfb4uc30pNWIGeyhsy6qEp3HXrj5vc1A6u1fwAr9LRYs2K1dlKFarACHusun1bGfOT
S73nNtUCfRjxbC7FbVq6kF5wHgdC26B3u7Uxjq8geY+nsnpLLR2MyfWu0ofXShtWDrLqoSnbdm2Q
6hEODx+B+9l2U5p4Y/siSYVsQ+nGbCQP2gzbmOEjvsQJPI7oYxHyizf2z2gbQbwJNcRaqsDqvDrM
epEwczpQf7qllnboRbGxWu/YmNqbhlT9WOq7ai6TTvno1TdQ9MxWYwqMlc70VdOn8C6shMIo9CZD
S8+wqjnzUUpwtkSbXkZYD0a9uB9sqq0opFcRbpUqclyF/G0x+Ecz1161zMOKD8YdgvC73JGQDKdm
qIgKea+tHQe6t8SBFp2mx6iKv+iT8YzG+BfdqCASC1UdqLOp+6zNN7vCKVEnBQQsUgMxIzzOwh6h
HQjfHrju7VyC3uWh8B6otIbQqrpXNs1FkOfus5/6D53509L8HaRPwMnYxdCPwEtjEdkEw1zQEB6b
Aj3ypoc+6x78k70yQheRVemzTc3opus52NLQpuJj308FCTxBqqDU7dUOAVuM8IuT02g3X+3CP1kj
36EFHiIKXcxme7dw/Uhqbng3nkox7/tR3pGyRB0me8rqCrp/w1rzGjPwMjeWxZRYYBEMer99aZt8
r1lgteOZOI4pCcYanNsSbBQhWFzfBPSUojofN3NZPjakEwBjGICE3MKPxgjNtxIQRrC185uG0S7A
ewd0Bj5imDEDCAAEinyYtR981JCX8wt21HqILsjSgAqhjFKDjjckLUt43jwBMacMGm5uvKn5iSMI
+HMZEzA5mqqCiKu5ykl9yHyOe3KhurLqx156j2Q2t2UN3zTPAM3YbXGTLpJzpWYdDA90mJbHZazl
bh6pznpojfG+LawtKFZLMDqWfZiSLo+0ob/N/T7ErfjUE/pqoKcmMgHpKH2AFGaQsCCORqxvms9g
73qgEF7v3HzTNX4TdgtkIB+8R8+hx7FF1GJS9HWaOJYu8AVzZvWBKpgf1Av+gOX8B18QCbqfP2FF
+lil+bZdUAsFj3m2KhcsQ56zdb2gGybAHHhvbj2E7Y2bP9SAQcyefCoAi5gBj+gAkwBvDUQ9gJto
AaCYAKSApKYRZcJ+pHQ4NQvWwgLowgT4giwoDLfs7j3AMsBb10AoYYikWXqRUxbZatCaFI9ohCpC
M/VN0YkuZG2bIlACtaEFlCMSvWgL840cp2zBhzgLUqTOnJhrCG4sPqah6TtVkukt3YC2aSeBB9ih
Yx1PIxQJ86VcOC2FQwsVRE9rFM6AR5LUUw48V+8EAl+zsc1nH5W+IJ/25ag2mA4wwBHQzS8FvrnG
EbcyB1yLDty0AEOaKSEIjFJtmCpah54zWQffwbd262Jb112+mip35VCcPEv51h2CvfHYQ3QlsYci
scQwx6WyE0I8RE8NUuBoa3j2RHtokCcP/ZYi9kd6xsrcJtY1Ejej2EpfewRDHVwgFFKjoUgj8Mjj
WT/nL9lU2sACABAw0PbWpy5Ujadiq0/Mi9Bd3wYpaihBIas06HrUMCgRd96ICA4yKXY0ZEhBMouF
o0P6dVlQG6op7OtkDz9FO//sOcQ4nCxV6JE3H6rWrcOC6hnij2ZLZ/+7O4pH1ymPvTmg9tTpd+UM
99TU7Y625nddm8zAnxneyQvUqq26l6ICiWWWGqeBz/dpOaKLMcXUZx17qSryzCsPcZWTH+Ymw2af
8jZEtwkLyzrPo5QAsiw78r1x7Be8P1Z6OzfR6HMtYhLic5XwV4NP44w4HGJeqGB7SJdEKq2RG5nV
nmjiyc7s7MQqqSUNwJuxSP1vhTfu8bCUi5B0EegTrucCMiMh2D9RA4Vnj317ECvPB3XkjA/1TTdb
0blBQzWSbYGP3AukX4x7kQIU5jS9EaLkaaJanJ66dnQjNpCwgnMINZadvCn72tDivkCv3lowkgHL
Zd50fjPhiTr8mGWeuA6DHDICo1A3hpvlCgqaZn6xJXuobHGfzgzoNackW3Cuo4lcFG+j/KoxCNx0
BsRVzKKESmjt3I199wXKPj8H3zBviJcPUdW3Ztw5eAQgS/WEfICIOFJXUjpPtVKLC0XMWLiyRvg1
TyF48r0EN5CDyw9NrS5kwjcFn6sVI64LBJRbBe6MSSwrt7zlU3GyAAlCg7c9JiC2Q0FNm75WGi6Y
CcQPiRrlfT0he9XoXbMaLfliN4h83d5g61xaAP1RgXu0BR7RqG7qDPLdhL15NMN9ld67Wl9ue2e4
G/TxRTAnR2dEQVfcRfBTyOyZTmkXUat1VrzyN6LD+lnI6CL33twyS0cQaFlrBypSJ33WwMfbmvup
n/rQzS0LCZ6sTNyeuIjTxNYwcd6QM0hSawaB+IAen9ZFC8E0Ez3sDaPE+K0TSv1T0PTs1PLxRWf9
wcQjkBUj+leLL66jPRhyCFyR7xthtgkEXm9dC4KJrna0Oi0QtdOEPdF+SKv9iZyNCtFEVodz20Ad
0KRg7PVxegXSR+ZkfyVaOgXCnlbEK/N9Po5+yLB999Lle22sywQdqDd0IscqxVODtdoN3hbfbTy4
+QN0PmVYOAPEaWYHLDC4o/F0BudTCnE4BPA48BJ6oD+g1I0hCg8vaCZ/pHkKIGRLp8RomiG0IfYG
qASFasE4PlNSQadwxvW8mtBNcmeMk1oNAto7TPZt4BEnPfjF/CLwxD4xqBdCMxJ5HlvZZlLk4Bw2
ZOXG4JqkG4pWsm2PFOtJo6KGzCMH4+48QTTaw8Pg88z0hQLrhwz/WRpcqJEN6YwMv1aFSVAh9nD+
F7lviAQD5I7uOx+8tx/rICCnH4cFfL7tARO1QnWlRHGpbuu///wlN/6uzuIoOphujs7L4ssAbHVp
pR7wpeNxBhMrCMP2bt/tRS6qgGrelT6UiyWed0M7K/F0rev1VYbJ87IiKsw3pEE+X51rBs5KPKbT
mzwDHHQrF0xgx8NJQUZQuzaFyxL8ltYnAB8uis6LDNDZFGrMKoqZDVvBXMhKkjH0IIps+GTDinkO
FJluutq/qWccmIJ2W2tK94iRQU3f2lem9OJyQlsesn5QJHKMX62c75YzRYcolyY4xz2koacZWYce
rsmZTLzFpoS47U7O1tEr3O+lvDIPl6ooUEuAcKGBfjywj3+cBuF4dWOCKnrp4R3N4MrIrn36WTWU
ziXPCHK2W80hjzOqHdy8BsZZtsP5Or4fwNlR6xoyzl2LJ+vM9RjF9BPSbMcxJ2DMuVYmv7Qz35s6
O3VW7+UoNdn9dgJGvtaL0BZ3gyziz/f/Je/0riR4vjE1Ac/aUWwGPtJ4oMfSLZKq6uswx9uoacoV
yAb3zNfuPzf7SxvjfCLf2fWXAvr7TWhZwLqnKEXajVh19TCCVhM050UpDp2DdKSR3RHqAr4rmBFW
iFvzwZih71kkKS1VYsh2POZjQ+6yEsHlYBd6oub6HkS061L2j3JxRxpp9h3805z3AJP3bsjRO1SC
mR4XqLUp9P7o5fqIaNaOTPuOk3xcN8J9Lm0iEtGrI+j4eVg3+hubBGJ22zzhSKVhPeNCKhXC5DzV
j7Mvbvua3A3pvWBm+Q8o7H/9mP6bvvHTP2ZE/P1/8O8fHNq7EDWTZ//8+wOv8L//Wf7m37/z94//
xJ/88yOjF/ny4R9xLTOpbvu3Tt29QbBT/jIG48tv/v/+8C9vvz7lQTVvf/vj5bXKajytZJf9kH/8
80eb17/9AZQpukgXFeP/em/kn79xfKnwx/jvX6KsZpf/7u1FyOVznL9ChdPwDChMQIl3UdMe3/7x
E/uv4MJBMspF7dTXHRzxmneS/e0PU/8r8XH5+QR4WwdcXH/8BTXA5SeG/1cPvwvBOgiALFItzh//
+nofFuDPBfkLeONOPKulwOcuFdg/d64Lig7LNaBxSPBRBKH22ZWEnAFYTMq2gKza4MeAeTWxtqR9
mSzA0sooQP9m/hVF0SMZ6nKV134bmDaf495GREaK8mdBvDmGqEoT+H4/JLgXODIuyCDbuTnsldYg
i8fwMpVtB9yVPz8Cfr3zIFDnV1aMF9e9X9tXO1asC+PCNBm4GTzEEb/5ZgQReJVrJt0OKaqknQtW
gUkwUISjWFEibtF4XFsVwLfgkI3x6AbHs+d5K9vABdIqvANLRdODmas9FA52ONb0lIO6e5VBj+Q4
TJCcqlK2ZM41rdK/uFxH86tlrD1aT0jJ++3an9DZTnK0Erppa9yNPLNCakz60UfDSjSD1wWeiaUV
mlqmMlATH1bj6G1dsyvuSGqtXWb74LIweJxKt1khnVatALZAvkb6/l0xWnYXaawAYbDswUXRpipp
q9pb5dCZjjS3cLe1bhc7EOPRsC8U+9orrt0Z0u9OlQb16loYSIR7SkalM+dfkP++mUpjCMGQkSUN
tx5omuPhL4SD361tN5zdAlzOCgJcelH5Eclc5EecibfBzFMkmIHMDcxBtyJUnqtwbGc7YYPDdsIh
9b50mkUwG+UK3aD2t5RZPBZgocDjErQ5eESwmI8VXoQ+FFAADfS2RpHSSEAQOWZi3jG7Ukgrdl6Y
qWKpxPaPXYGaGmXptpa5HRYS5cBes4FFnwbQ73nl66SXWaIMrVoZSpHAsZHCaaHZhP9XH5y5fqWj
vjIQLYeeRtKkKZAvcFVqxoOHIrEBmqgA1AoCQjDOY0MzuqjEO6Guo2LJRvW90sVGs/0nI7d+KHfm
QVsjwz+P+BrgE0A5dAqZo6IZ6ZkCfpl6eJNNc4A98IxiPSjYobJkuwfPm+/qTluXkBchphnq4Eak
lrcainnlMO3FFWj163gTNLPZh3U6AVmgXtHtlegUoucDcRBvWSeQ4OT7zmxedYV0NW3um87cQjcz
FAZvI5TOwBTB0QVu570ZTJnYTHRAE/gB6iZIf2poJuiaZ5+zb7mavtS908YDs/WAZdpG15UZGB7b
GS2EqvGCGiFXzxORjjwuBpQddKGhaqbEAVcJOi4yS69fap+mqAWw6VT2jXHbqxyJcYlqMEjdqwTP
JoiwEOeF4Z4MFJJqkekBXO15qBJ0dUZ3bjP4kaGlPNLl1B5Q1bL2nlO4AXflqaL0nqnpFm9v9oJB
rwGkUTeu4ujOUdahytJTSqscVXv5/9g7j+XIkWxNv0q/AMqgxXKA0CSTMkkmNzAmkwnl0BpPfz9k
V90KgmyGZfVmxmysF20tKpwAXBw/v4p2RqZ6tZpG02q00+ZADzy5KoIq+1FFDkyPhPmtDGY4Y56W
l0zpsI9L8iV8No4D97npqmugdAPOOxtDoifYl6H8aMg4G02BFIOKKq+/jpDfOiUvopcqr/OfzduT
8e3R+v/aWWpxiv3ns/Qsz/5116bvj9L5H/vrKLX/gC0K5Wu2pVS0+TT76yi1/tD4zwTf2Bon6iyR
+PMoVYw/cA3g9JVxiyWDez7R/zpLNc5fqnfHxOoMMaaj/M5ZikL7zWHKoArqb45mYpbgtXKgvi0D
66jsohj5zD6oIo/ApM7t22JYxVGQMg3NdgUVHSA+akBW8oKzyE5uQzrUZ0MTIydz0oNCKxvoBwKb
HNFATbIvmin8tQ16Qd+3FytBM8yNCut1yCAi5VH60MoWLKqA86T0p2pt2Y25Gckd3PLkuiuy7KYI
ptl2aTbcodFE73NaW9iW4VtEV0abeSxS5qyjtnd2TV4/AMVilZoU5h0nT+5hkN97xBSJldEblUtW
lvCMXqgrfdTGcz/swXyLSPWaKTC2UlTpGwkYxI3VCHi4jxz0HzrogqY7d7Ki4f0lyyhygunJLicS
5YNcrIsOXFepd1ynVC/oDB/wWi88rehlN00LzgIZTI+AH7xJVwKGgasU+lPJ/3RdpuWdOdjFRoYH
AWYd05xR/PWEjaI7DWV1Ts+zuYtSI/W6KNDhtXA40R5HqaOnxo2fZtlKiSrLi8cu96J0KFD1TxgG
6sUDVMDbuA9pXyVJch7I401u2YMX0IEN+lqcSdl0GUmDfJERsDnkloJZKoE0k37b2/W5BmdiFYTl
Dijmzir9MzECeUh+X6w0SXmIrUzZx4ElXFuEX4wxO6sHIBonv5BG1aK/l+ubIRTlti19MKAggNvY
bqewCeD6JI84IBbcrQHcSzij6CCn53Ic9kZC0koFbEv7d2sYPl03m3pHIdHSLRvjpTTIQVKm4Yda
OPu0Up+kYfpZhTNlaGovKocGa65KsGqz5q6qSP6J2kFHhzhEmxZnKlcYcgkg3l4IXfpmA8+4bdTd
NRX+UVOE1eowciiPkzx4fU/Ck9/SXreVdFOMcyg7wIOXT/5zJqVf9Ay25qCUjcchQUteEvneDnNj
3Tr2pdIgxzDtMIXaEMMjywP7yiodetGpD/WnpkFnRHp0ZkFHygb4GuZ4E9FL5mD4mqTdD5N4pKZX
7ou4OB9Vydr01RRdthTB60nCt8ZMBMCb2kznIZTEQ6bDRvBHKjQ5JsldC/uJqr8+dCOgspqN8pde
11OsMs0Xq7SCi8IOftDqbeB6jfeJk5wFVvDdyOkBkI3JLQ8Hb0J9ghWBZzhSdrprlV2+Q/Ndu0Xl
YCNiSje1Yp5ninqtqna2gcD4JRURr5siDcJQc0kE7XainQmlaopXliafVU2fYNiZ79BpNTujUHdd
lGOumWgQ1eJkG45tsEpkzBSwLnW2kU2ImZVGrRer+TmNEaLA0OmIQX7Gnu5Hlg6Sp4J8NY1lHbBs
W4/98ELo8YOCZgQnl9Ffc1Ox1yEFA7haexiJ5V6FUn3RRkNzUQbWvm6dcypI2NB03ZFu+bvWAo0t
/O45TE3hJnoL83H0d5PeaKsGdoEX1WhoFbgYXm5YsSss9dD76oWkmJte+Gd91f1M9XBN4uVtMgpn
FadB75mxBKA7kxmjgow8NqZa7lq3Mq0nZQj2FP/fbAIrI9k8lE6heVLbRJ6q5zcUobcAel87UxtX
eR7/iIr4Pm6wb4udWxiN8qYLKURURyDeJC80V8fnyA7O6H5nF0lH7znlzuTWlUPkm9QMu1pRAq/M
IFDV7Bvsk7zsYDhPnGmLK5y14hg614psgEM0KGjvxmTDrYlVH4UX6CpZ64UfX1qWM55NvVmswqnL
eQnxbZUNgLxSqa6myRa7wRC1J7fDsFITWd2kmSS/FEpoPaRtcBMp5ro3csOT+PJ91bpqrH0fovGr
XIXnrNmHyXJuFQUIOSh1zqHBNO8gPsCfqJgNMLeezIxWRaKOB0du4CMWyrnZTuTj9fSrHdYxRtnl
Vi/MZp8HsEf9SN2XQL6uDfvDjMMvmlSAzQE67LU4onQMaE+EnUJjx2mcn/4o85Xs9tEY82il1iBX
YxlfSk6krAiWqDeG0txj6xd6E3EykHhSz7cClg29xnVkPeDrHm/CzE+xRWBJ6pNmATba6DcgLK57
qdQvkyr7yWUuXZkt3igWF7NDFk/OCvZm5imYwmX1cD5mxbUUR5u0hJQ1uyKyXKAylBjqODYsPz/d
94G4cfJh5YfF11hn/+Sel3j12ClulWjXaq8cSqEGl2NPllMCrm9bzK9Y5T3FQXqFTytAmYN4RYXk
ZZgd1BudctOXe8GLTMVKJ0Vj75f5c9YmL7mvJW6owBOV9PK578D1jKCUXENkmyboXgNZrH3FIUWv
xdstP7ebO7lxXI2NrWzQRvpXufk62MQSUszbxnqM5XUguYoeQjKN3XBM1hz7FVDXqPTPk3WVh2Tv
+tKO1tNK+Oq+L9MHswo463aDJJ0pg7LNy3pTyBQs0q2si+u0MEnn7frXlJkgX3SjcpZF9rVTxvel
TWpjR1tNyby2CIAeoq1qXKrRjR3KB9oFOgFmQQTdRbrE3OoH3OdylWsSOOdg30iAe55pdhAxSq/Q
B86B6L7R7LXeA+tbpXHFDcvLAvuO4OUDLcgMjX2qFeuB3A4uA5UnGqaVOp4n6TqZ/Jcs1e6AVK8B
vL7iPFCkh8CXdWbLz7BVdjXcSS8wI1dPIXnlPHsVSiur0+8gDl3JZXXnRMY13hyXsVVftYF1Wxjh
fa1Nztr+jnwYDoLBrmpspPIOonJ9VUwa3nQCmD8lUjjaF6WQ13lHgmEqHNfsaN3ZJBHx90uZdtdI
RrSyhP3VzCogoK6xAYTFYyIPq7BnoWctW4S2RQLlWgaZmQY3dK5xVbSOSzjuNh6HzoDzT1nAT5G4
eCa3scVxRrK3p0riSxrCb6hG5sRgFV5hI7hQ00tbCikAyis16l+gLwbSLvObHYi+24LPFYWyDwpt
m/U/7CneyeE2LqYvNQSHLi82dT7HGcYbBVNWSJ4FVYkXWs7aSZTXIKsbvDaky9Tqmk0h0bsxK3oh
xhQmq8j091ITEcxnGs516DgPutrVxD4m6jppNX55SoERbQAJNTGfC6X9zmlNmFLbrNLMvxY++Jxu
qeNqaKthkyidflHFOl7kTpi6qh2Oq3SKYq+1jGxn6NUTrEHVrftE2ovQgTTRd6U7FkKGwVO+OGZ9
F5LRYN+ppbQJDS11my65GFB/SVFxUcrt1za9Bj/+Wqflt3rmnBrawUHq7EzyKm9Th3dl48jWF9ZD
MMChU+UsZnX6j5YYyWLwS1KTKsXayDppPxZLM/C1e6vRnhAZgwQn0aOTQibWQ/qxk4PmuWpcWfjW
CpJbBKt8NLdDiyhcxEMA2TGeMJPgqi9U5Ydut4EH/XY2g+l1TxVqtGKNTxvZKDNPcK+YNO2lEfoO
A3osOtPHzleeFPw23QGXuiYM7hsnReDsg0wOBvyUVhtymjQwPXMdai3vCxK0iTtLacG7NwPDwAUC
3hIRBi0fULqBsbvrcorXTgEJh4u5SvP5PAg4zoYi+TkEsbqXbafy4KdyROn1Ixygb5WSv4ZF/2TF
/dxIoRNkjk3shV3c3ZAZvC7TwHZtWCZremG918WYW4Q2R8eQTWe2lEAZaQqPJLbSs8LhLof1t05H
6ueEgBxwXnZKyxK7Igu+DiKoKFyIBobqYLty4jf0HgLFjbs8gntrjV+dsQK9i6GuUT9vlLnjUQ70
NIMpLjd15eee31W621jiizWJYCMXMjKAuk3WmGPsbUm97KMKzgToi6uoAWyzQJh72u7QFyrS09Up
2uKce24FmQ2HkRWrhdGjXfXKKrWUDiqKwRZGxo5H1wThfY7GRk39h1JP1A0oyJmIOJFa3Ycbn4Uw
VhzTy0caO2jAkImLxwrOrpea+VWcWijm5e7gVJK2TmLn2szNa2UMbvNQGhArzIUL5AZW4ZisnKi4
byTtR4IjpFu2Ch0zJjR0TxB4jUTeld40xiZw9HSjDKG+r80Y44JYx9rb4S7Z4XVjRyELgnYQqAmx
Z3nGJkeouhKxyEC75O3UZBnhhX33UOZ/phL9VuPjY3jgDViwfc3n7nu9bI28gRT+r8IQUK79577H
eZ4F//o/2fu+h8k/9lffw/xjBlttg349QY4z0vhX38P4w5BxW5Tl2Znwl2HMX30P5Q/iPudARkUD
RphTmf9qe8h/8N8ArtP3mB2Hrd/pemgL9wnLtlV0vBZIMAHACt4kCzQ4S4sSNKnSdxYNgDyshTsJ
NklIqAnaNR1OsWNUIZxzGYpVqWw0Y3wc1fKuCRPcYfp8SwbzVoyiXU0gyHKs0BiBF1mG4aZKzfsS
h0lKMtZi2Rti309AFP2UAO2K+zTuFUq7ap/Fle+Wobpjg50vQMMDjd3s3CQrbacmluzKqX+tCapD
7KAjKqgx91SyZlclAAIm3vkEDwlCpqPhqz+2VQZ7FLi1SVSBwkKqIYFFvudLVn0TTRL1RtOUFn+V
6l+OhAhelo5ParCUCnQy1qPRW/vQiB+JcjhrzPiczAXo2qzVtM9jV6rJC7XU27DMb1XaFzY2e0Py
RYGpjdDkegiy+4RD3nWM9nqQ4lsAmicNCQAKChi3dUMubXKfOf6usJ1vaZtjlldD+GoG9ax0Rs0b
+vZFiShRa6NJoVcWz4ZaD6tyUL+X9lhCIUkeRELdSeP8TK3ktcHJxGWNQIiyfsrH/sahn9IbY+sW
jU8THD3QSkLzhAugcjMWydng14GnhLYrTf3rIPqnfsrvrE6FHj7i527CdW5LLsyiGHwvppfg6kZ8
ZrbKeeuL80xWOyhF4k6uZxabuXbU4qtpoJjjKujGZXjN3vM964r9UEdXSRxxkWBOmG1jric72MSV
8yTCpFmFUXfJOV2tcIYd7iJSITwYrbCmw+k2KjLO6DTWNlmq72rT7zbS1GwjI2lvJhP/nCIKdpIP
U582bk/cd+zAvVMKGCfGEMOmBFG5IrvK8QaAsWEbBnlYrHLVTNGDhGX4Q0Em6ukDx1NfBtjbowIf
3DHgKLcaMN6uu5fbepUWxWXTadtET866nKMEvWEFQUtF9+dnw4VTIHCx4UWWBq6EhgzOwrTsNlXt
7HM/uEAdE619beiuyoqYJkeeLrrUH1dahuqpiG0mq6890vA5NxSJ7r5cVVzEJWgXlmh3eaYDZ5lF
P3jaFCgIHadw1cmheiXk0NipxYimOh6y8zqopee8mpyfIpWbVYDCp9Dk5sEo+mLdWpTkK6cvhutM
qbMSbz6zGdEedObPxAxfjV6NtpEiUDWowb7PHCjhBvWspk4/dK5PgF3ZqslTJGLjY1lU+yapUD0k
EEkNudm2vQZnSmbxGYNR4wMfipZsgDi77DK6bC7EQ5QrQjURfQhW1JMlwyFUVfmxK2YVNvvDzpT6
9BbwFQaPLFmrwumsbdiN5qWhi2BnjczdpE8bSGxKxlk7iZZeqN+mFyksxkPStuW3eCxDV2aT4iIV
phJuPmh39v2Y9erarDp7o2GKio+PIbWT4uat7dyVRd/tKiGqwzQ4yOOmapymTaBwKSzirnoIuL2F
t00w9OcjuMQ1xBw9X/n8TbjX0j+mSymjTrU6Q4DElewPEx/Y7Q15bwvrrJDqrTJV9HwHFlp4NtIl
9ooh3OVcgxs/qdZ52NJbmstN05GomENKOaOJY8SpXYsaRPbSSMLFNTauKXYcL+eGN6iF4QWD3G8z
VX4CRTTRuzmPtdV/iXqqKiUpPMNE6ZFxLSAVXS9/3XcMqX9S227yzIBqRI8i2qmwOEo/3miqNfu/
TQdNRfsxNP3jaLXaqiv9i9rxSZ03nq2Ya3MrgvMhryRPsGFmRVttSoQ+7ACotmCvvYiwXGd0iUWF
wOXXifr/KwsQiE8qi+f8X95z9EFlwT/2V2Wh/2FydM+4hQM8oh1VFtofhqaAZlgz4vKLtvBnZaGq
f4B1YE83H/aWacy8hT9LC1X5g/+/o9kOmDvUAuN3Sou3cApVDmp7i38j6kwllXYZI5TYc397csJD
yF3YtxNvjMeNuRv6cmsO0/pUqtdbNtS74bQFiUeOA1PjLYUH+9VKk+04vOY4D6Xd5ugb/EnBOKZc
UMUdMS5s0u1nzoWDgRuBVQoW/m9BolBrqokySBzSztqoGlBPR4yHhlyEFW0N8eofDMfXU6GYqATG
LTheZd92cqTK4jAlzUVgFjtbfJ9dm/DpumuN1vt8tCXN69fDHY22RMCqqcvGhNFQVHKmOa4kcatS
shPv8Ber72/ayr9foi6bBuQVou0pQd++RN0OzGomThyqyN4XRrOGwL6HCEE4BwaNZfbqdw+6KV10
8vjQowWQg28iUx9+/2GP/4gldyaXDF/qe3EoY2MdYZSnJeN2isW/N683pKnjCbMktc3vdEYwdUPW
LbDNxYQJUD4ivYK57SgEabQ+yFW16rLQM3I64vn0OCmXYZT/k4ebFyBThpp/mbKeOqOFgIIvqcu7
QInWufOo9/mJbISPpgvYigZiCp0JW8O3n7G2gn6qR4PcLnAvH3J9USVUEdUJft6Hw8DAUqFY2eCV
izWQtYEUTLQ8Dk92PQEl5LeKPj5/Phm0ecq9m5JHgyymviO1dlAQFn8I0Yq4Vt6bbmYN7WUtg/6G
zhh+K0Ku2aPAwrRxrBvKGAh9ZPq45Pt9sQJHuartUdnDnocXboC9CaBRuUhWXFliatN+r9jTY9BJ
6s4cnOkmLBRALizwIcu314EAj5KyeqQ5W5k3chC2O2IT2q2UjdKJwImPl9/Rsy5mfl7EDcEwpsD1
ErwR74yHEAmSlyazjCwZdhERETHnvatp4ytttDNrfu9DlEIOMk9sOR8tj3mS/jurnaPi7RzyMUpP
NXRhB8hS9LkQ/muyCpRrP5iGQeBw7WWyhBQ0VU4tTGX+pMtPfjz0Yl6ZAl8AFcyLA6o503nUZH7m
oZBQWpXSl5rL0Noes3VoP4SlfMg7CR1eoP7MYuPGLO3fTZ+bNwqL0E7bRM4z9wnevolEouvNVikO
o4m0JAufUImfcu58FwTya5CZQM/5b5jvUuhKSZDmpHfiQDNg2tpycaOH0ouSWfGZXtMuDUdsmax8
XeokkQAXniv1q6yKEx99fpR3b/7or5hLhyPCLbE0oa0Tg3UA9BjcTn7tlJ91JqORKsALEN9+vrg/
/NAYymk2s0y1l8QO2Q6Rz0JHPVQ1GbVOSMs+JJbq9weBgiLLUDGRPywdhnDaiE0u/gn3e+mgGKRe
sVP8kyGwqDQwTZrD0d6+toKWAwwPLQH4y876HP89Z//5CAvi5b9PZtv5e4jFlxlzIfwRdepB1fLv
ad+2G1xaelolkvzgEHbgamnwlDWYPgyyFHt2PZuUmvGXqq0z19HLCyvrvzsIbNx21G/DGIqyOiGz
0ndOVVs4BFl3ei5etGncw7W57s0sBQlObwc7+Vpn4mVwsCXoJdTrgmPTm8bRWMt+BrKmjVeRHJ5n
RFC4lqlObjX00wnS/ofL4/jx593qaGK+fcNSYUyH0ekenX7YQPhI8bCOzyPgu7Yw9iom1iB1kUA+
P5q/aa83L1Ok1rB38KzS3h15qZlEOYw6cVCy6mqohNsK2SvpuH/+ud8tDPqLDEUH0CQAGXrV28cd
WeGGYoj4kNNKocvj5O7JBNy31wBm1K8xuFBw1cAqkDvFm1c6WoDjUZbHhzEf91Mbfm2N/K4duwej
ka9rNaRo7k481odDqjMBG8aDqixLLlGJlOSyJj5E0W1qIwqtcMnqrhp4jgqWIrby5wX1P9Z4Hw6o
wVzDz4xWrr5YmOTKIrUl3vNQVQrkJmj8YeXFzo8RBlSl48WMWu3zL/euJprf6tGIi4mqdWVuNlEf
k3F2VgrAhSxx9Ug/sR7e7dNvRzEWh3M2P3CbDvFhqA4tvNxC32sFSerIesvu5+dP9OFY3K0wrCRP
lF7523lidkB+AVHAsFmuq66/LKjFCoTQjZButGD63d16frKj0Rbvb5CnqbCw7Tj4GQZBVDdCLU4M
8c5a8tfM56ymtU+CCHy9t0+kS20f42kWw0PtXiEqr2WnfzL88gVW/avTJYca/5oqopkG2WzTNEnz
TyYJpkhcH9F8a8sbeDmVPbxqa/585oPUNGejJq2SJjtRO89l/pvTfH6XDpdTGpwqi27eZY42TVGA
ICS6FB20yX6itTS1zvex/iZF339/htBOmJsJEC1JCX87jl8VtdTBGTu0fV6va0e5T6M5EDK1yNuD
KmZkTX7iG360sG1yMlXTxpGWTtrbIZUi1WM5ZUhDV6/hjT0I8qtSFAC97MC1b3A4OZVg4cxl5/J1
0i0hKJjsUzKE6Okcv04tSOWg1XzG1KIHK7cR9xrWnWSL7gLF63MQWvumH7Cwo3O9zU2IhEqXeEOb
7qok2VpSSsme46oBluxqqJldZezRPUMn3NqxblyVvXJDr6/c4rKGqIFa4FmSe4wrCmB9iAibUVP2
vTNt6Djxu34LXbK7humPoWz2qhT5C6c+Lfx83Uz+j0KmsTsgcV7REN/iuDC4k4LLWS2DImfOud8B
spsVLBFFn67sRr8rB/6/tf1lMOtvAhenSXI26KAuUoUWrtLk15h+fLF4WlXQbDSH+yLpZqrE9AiS
BkV/sGENmgVeBZMCS5YOKAdw5iZ1+NrY8B/YGys8RURDaz+5Ft2s9yeiQx7Sbt+EZr4B7DpLCnqk
U973O+xBMR8DT2mt4rnSg0tJLoKV7xRnWY34S9OibKvrOX+BDPmt0iu3MxEHfD61P1pCx998sdHm
Y2cDo1jRYXA6YGzumSUOByZgxrj+fKT3JQ6r9XioxWqVGnKh/ZqhzA47dTpk0siSndQVtqyvsSl7
RtrdmVj/jRYM4Ey+aPk7Pv8b5iGWMxzmtmahXKKQtRcLuTHJwJzKJjmEbX3paNkO/7UTJcCpIRan
SYkhRQDVBTOKAA+I2McBLu+6E8/x6+Lw/kFos8AYR8+1FDvTq2h0M0iSgz/2533Ajp4dpGDb4kRi
E2VO92zbivLG6rKHQsciDk5H2X33s5FqGJWh1taQJWoYJlC9ewUWXlzschFuM+h+Eem5eQHmpBrl
GoeDs0gt935iBdtKw2sSBkDjFQOmj3WZe1Iy9Pi/6Q+ff6iPtj/0sf/7fIu5MvUisiqlTw6I5wGi
ovyAs+qmsOHtDBpiDHi6rV6cmKHz1//spS5mR6xlrSJJLUY3MQ56maUdZGw/3Do4cZx8PEX+frhF
92rMVKuscBs70JTYjnroQqQ+MUHetxhYbBxYqk68F4k0Sxt8AZu07CcnPvSxspnYVwvfZoM1IOHH
0Mm1Kja9qsmehj59SDvxPUujaFcZcu6qxiThwlmd6r1+/Hb//osWO82gqEkaFlFyMBXtm0n5PNvD
+dhsvHw+deaT8f1X/Hsc7e0pFvf62CYT48RKvyOeeUTFB98cuzkvxN7Lbsdr8O1NIPe7zwf+8LPS
QaHuAVafRSFvjs8WaFTKZJEc4OreyI29T7hR/ndDLJaFoktGn055ctDHqV3bqkRyA2v680E+OhKo
2f73ORbTUwKAwIw2TQ70ii+baMIpULrsEvGAV97N50N9VHrTDbJUlDfc/c3FirN6JdONUmXFIUfT
B2kr0hpXkAu4VNeD8e3zwT58rqPBFs9Vtn4X43jBXqlSONBRACRWsicTT7PPB/pw8zoaaH7qo7JU
BYesOl2ey+wfWrmO270TB16PsKwFt6xgg/534y1qRVkvOquIeLAoQ2QpGcjhWmxUsfWc5L2oflbG
iVyB9zOdvj73ClJL6Odp+gLxUujT2FptRodcaX/67ZXcJye+1QdXmHkIkEWbjhO398XHwuyorsKU
YoEldWHWMaJAJ0ORUjPxXbQg2xb9raZIsSuPpMbCWygNBLjpiY71+wn69s9YfEq/MPRQd3jSqZ57
hGI9IZNvYTAC+FGunrK+/vjF/v3U88w6mjkaZ+u/X2w5RufoNTAjtacTs+WjR1LRlKMCV1CBO4tH
0ppax+SGRyo6LIkVWBdTb100ZknnjBQn2mvy9vP5+dFTcXeSAS3p9/Cvt08V9zlVQjiPmEw4zFVJ
6ekoOX5zkBkepf2pKzpNZsR8bwfxjT4SmQ/uhCyl7jfi6+///DFmt3wGWfNHkfTikHhnP/67n178
5VWZWnnU8NOWClWVpA4d9cXnQ7zb+mYo8Aj2nL/Q0bxSA0H3I2KIYnxR7XgtYFrHzn2VR/8EmDvC
HBcbOslRSoVaBGizPNfXnYMd64nJ9K6MmB/laITFxhBP4QjbERwBdra4qC5ycWL3frc+5gGOAMxF
neJ0dl6mJmiIwCBZu4b5FOdnunlTnsoYeWdBM/daj0dafPg+SunB1kzZ8jmxVyWcqsBtLrECy6QT
G/aHL+0IL118lhQ1hWyNOnjpGTfr7LaIfrdmmB/laIDFpjL2VhcGCYAsCiWFbrGRv+b+tjyVSvTu
ZF0Ms9gffYU7c1dpwDfOfsAsoHZTyN1bLVtLyerzJfNu01oMtThUxyQ3kmrglaU3oAHPn//4R+uR
ppVCWgf0GdRdb9djWBs6yQDQEKgQiTNqv5AJkE63nw/y0UQ+HmQxkY0cgLwPR4FH8aM6rdVnZxtW
P2z5xIv6lVL2puDmTR2Ps5jGJLEF9IN5mE3D3DIvMu256qGmGNthOwbnbfjN6r5JuFzmm88fcP4E
7wee1dmcijCVF58IgwA8twweMMdw1Gu71YYYl6Bw2/3n43w0FY7h2sXXyggzw+AI1LpqDw5ivVMJ
Lh/+/gxQyAgzYaUsnmOYui4Ou5kBgFi7/2klL//g7z8CPRe/r/u5M03z7o9vxXA9iVMTYJ5I776D
g2OmqpgfVPEyZRquzfz9hvHU4QCabWprP1uEKj8guDavU7z+/IE+nNlHsOpixvmdMyq+0ogDgL3b
wZleldqXNj2F5nz0XWyYLKhY6LCYy9sJGbHUY0P8q6RAapEk3ueP8e735/Y1JgJ/AVSLx4hyq5Nq
H9kaqq6qXOfBicP43S6z+P15/KNTP4HkTrYUANjMUh+v1fg+H3+o/dU/eIq/MS9rsfUrQzWqQw7m
Fa+UrXPiEd596fkRjn58seEnEVqzIODHp6Z3i8Tr7/J2K+NzeeIh3p/Fi4EWaySlJE7lqIph4Ryi
9quOGa4nirUxXkzRQ+h2/Ykq/N2J/HY8e3GFymKBgq5gvHTkBHgERJtObY/vcrF+wUB/v7zlKTNZ
yiRVXR0fbPuq6G4RLBqzFSde7ifQug8n8tFAy5Nmiqw0tuaX51xqKNxu/qsZZi/WiYOFdxiW/HzW
utyjT5k+nfoUi2XiFw16vflTaNVdJu9E5d1+/vefGmD+34/WYTzJnYVsMT4EzzBNrJuyPrGRnBpg
URNPiP+reAAFLrsVR7AnutXnT/DhTnL0gRfLcBSlrtOaYRnuE6wjyI6RkivyMD4f5dQ0WqxBO4H5
7/MkeOuu2+vI2X3+8yf2kqXZnk1uAVmuPIT/rZ9vWWdV/y05xdI98QzLJmA4+JhtNXwK7nDOGSLU
z5/h/ZfW4VrL5FQqBkqsJddHJ37HQaQQHbK6/tkWz02PKRYJ2Z+P8v4hqKZsR0M24ugoEhcTttRi
GW4+F3YUppdqE537efxP2hDHYyynVD4VPcocGjyWc7CCLw6y1hjX+jGmbjw1fz/AnrgzGhanuA1e
TJbd2yUIFVbKhgqOtqXrHrRCaOBo87cWEverOrmaZNtFZLmTqnRjmqe6tuYH3fi3wy8WqBULPHxl
E4p4QLhpjnaZaA5c0WUf+2tspyKMGRJrlcsR5uzscqJB2qarKX73qlOuQnl4hMPeuyKKr8FYES53
GSbX/qjvYBLfY/Jt4sIQnoUKfjX4m9/JFcpT4fcXZtp+maj/8AnTfqLIuW4nAPLR0NZVJO9wgui9
trHRiSIM93MESVWHoDs3g3rlmDAfq7KN17GtbKQUD/MpQ44dCHjTpQbk3WU2dj6ZuU9wHneRpmA0
hhsOkXf9FtuM+6SuxbqFwkWr3+9QLWdPRkjYqxMUT5YuSjcfynIfWBgFWaOZuUYo7zI5vxnbctfm
lUMAi/MAKfAmTlKvLmJ1GwIc0Let4nUxakhkcqLIeicxVk7ZVrukGMh3DHGR74merrM+2Tl5kW0y
qb228/waAQy5pzbhp/KIfZyCpdcKPMD0yH2CrBOpr5iyNAjXkgI7fieHstBlpD8QZzqkySYcJcsd
EtxYbBRwwkEzNWXyjSJkfauEIGd5jPpZWCJZFUqBPhf7eaIWMKLnIZv8yhGoqqqRqFu1zUoMD3KM
nmwgO1KAAm/KzcvKEj0yeiAhPwwGLxHyF1y9X2IJAlEwmj+rOmD3ddS1JAaYMKgcPAjeYmsXdeti
zeTj9hk526KcmExYxG+UUX2xtape+WlEBoU/YoxQF8LNkFriL0B2EwSLs8mk6eBkUbvvJqSOjpTe
pIZJk7xJHKzcZJlENsxwMkweNn4Hw1AMeXEeDHW91TUI5ZJZbck1yNxaw6lHKxt/LVvtgzGq+TVi
htlNoWoOPWZ3m6Kb7ssuuO7E/5B3Jstxo2l3vpUO71EBfJgjbC+QyJlMzhTFDYKkJMzzjKv3A7W7
lUrlz3S1d3ZHb6pUAhLTN7zvOedB3B9rqVhQ0aPsYQfkf4t8JHkYGjrxec91jyaWxO96mU3gESIA
cC9dpO2sKbmNOt4iQ6nCr2kdKrs8rsKVGXTkZngkTxmE8i+NOL0h05SgGtXfp1USgzZJukOHH3Nb
+4kM+CZ+rItydKKqZyLA07Ya0+yQAuzYkYX1FXRDe1VPUL+mKEYNFDaFU1WYoLRsisn5Dps1ZQ90
enEjlmrCyylqOqtF3qwyS9/3Q8rNtVsTZ+KAfY1fWROM187C6xAFdq165d6Lo+RGoM4eRJiu+j6f
7XENt6Oynst0+lHMyl+RgSHsErnY6ChmW10J1mqrjWuDRreTNuIBUsQLghRntJ+VQCFMoriWCsQH
qh8eILASc4RnTEM+6c06yqmIrQ1b+v46iOtxmXjQZ0Pf85cKtFSDLuso9Gwns5uqCrELcnJ6mga9
g70toT4RqnfDX8h5qFFrmq78qEcAmJoWNhkID2h+djnifLeC+0Db59JNFitbDbBKpZSjW8pwTgqj
us1MjSgzyQaX4aHZaGpBFxvtZqh26aqUui/sXTZGSdBtiRbd9b2mXdAnyhaVGJ7FrC3RVEJr6p5A
FarWFBtISIHv0tT4ZNvmOYzSr4EeH9qBrzio6Hr2g74dqneIU7u8LRZSc9+RzbcK0umbNei4UOEI
DZ71EPrya2uZt2ryM6W9dvVZglFUUr2oSGrPZ2mGHpmlmybZprO8QzRjCciN3Fm9+aWXIiLLcBS6
tsKjT9qm2ZKgQLh0wBVO0k3vYfRHypfeSSUZC1ZAzaxorGUiQ3eAyXEoh65dVKrpL/BVMlp1xBrp
fq8szal9LvUCHoj1nnf1EwWFbRbiFmC86B1qovJCK5LX2s+Jc/HDeJGq8k3Z6gmWyXzbkRMgZxT/
6tHcmSCgQjXLHS3gPKxMZUdKJtnHxwhZyyadF0p0/a0351i1oUHWg7uRj2MziXSdIS4jKDR5a0ty
IWv6oC6C1AkKRkqkUBjsO3nYhq33VQ2IXzIMEraH4qU3rb1dC1RglbWuivY+Y4XjBBqTHRbHFzI3
MUwTe+DkvnJd+MaL16A/0gZ43yg1M0Lv7BKFtpWS6OY9ZLX5bBvj3udhVEmxtZU7UY23BXwQO5JW
uV4eLLBYsEMldDmlaezIiKAdxsvXGPfxIAjlAhCWNoRAdKTor6a6oXoFuIKqYpQNizKvnCwp6NB3
B1MnWq+R90lsLYXAF0vahFIH/JayXhuqJ+2Jy/UXI8s2Nx4sHAPa0oqzO5GE6QYVkgSBCV2LOuHT
lQqCfFJryfysu6lSR0jwVLHMqpT0EpWT+nZar7syI1tjYDIbs0NELunOUMPrOtYHPJCNRaQNqpJy
aJQvUlnJTo3H1okkAlvrIS1dUScU4Ei+kduGnLWSeAu/8VPX0kidSXSfd7NXvKsJsbMbiNZeeG2S
u5NVVyujx7lWG3FF6IasXqM4ZbohExapW7XPlCtoIANTFml8wobVWXX5eKOm4yYPyycrLFeGLox1
BeBjqRpBTAaKra3rKjc2ASlOjkmWnzOGlrFBxwTx0/fnrL2hWo15AWitkbdBXj/bIZOdlk7eq9ok
V1U1Da+aKG8JrGEUzOoPu86sVVvGvpNn8U1CwKtrqEO8Mbjnq0FuX4baK3j5/dzFrZowLAQoqsap
uyFn2XR0tdIXBOlETtZaMjlYAwqPzE8dIxzeCTN+nNTibbDJRuqH4HtphPcKXKilnaI3txMyqbQg
3Whk5q31xJCIhWMm91PrZVBJo7N4kAulmaIDpdd+JZnimQTVcSepZbsJlEFf6+OkbJJRmfMMLeL6
RH5ttOl7p5SyE0+EHoWTmu+sAM5VGVTeVW+FH0U/Xsdyfad0sreO7Bs9ImOuHcsfTODRQguVu1of
QzQ8WbrXU8LEhco1CSNH2eZj4B+T4rsiFc1DadvmjQochx2iCFaZRqU+huXkKmVmuoqZPvZpWvJK
Zr6j9+TdyXXHQGdlxrroxUcwWBIHn2caswxhBUQE6U7R3lT6G/hQH1ERhksZzhk92eJ6CgTY8n7M
3VDG9s91D0svINbo873Kn1vT35fWJ+WnQSWnMWD5sDMtohkYCeWRHnt8Cyz48xOd2XrRdtJlQZ/D
VpEb/b6FoEA0pMJjw5KrPCtSy2TCnjIFWIZ0aW/004b4W0UVaCSieEOTdRW12mlNDTcbmRDz5oh3
8Jbi8KOG8hFvUEjoVt+0axa+EkzW7Fs6stoQ09chBIqbN9bkdjDOaVgDVxFyvSmwgJEdmF1BBbuX
WCcbrbrRxzJbWjCdtmZqvBMmaKyAihKoFn/NNTNfsUL8apW8PaG/G+ThR6vp2ygp3z1dvzN8sWdb
au0lgjMJGw7lWVKJKTzXPwj1nVxv9KyF1DNhSH3zvZunkIy5xJonFTIUJeaJeaZp5knHB4W9COaJ
CJXBsmJmIlUcIB1z1cCcFcq0RxJmMX2ezqp5YlOZ4bR5qkvmSS+dpz9jngeZDyPmxYL50WCe1OYJ
s5inzuznJDpPp8U8sbbMsPE81XKvlkRl4/6ap2FiUtI7QpEuVZDPlBV/f5AnL03be2k8xTxI+Slp
00MYkXWnbUN7lY0dEtqnIvxuji9//0U9enlOS4s9NV9RtXq4S/ppVamjY5vd2mZ+/fw0f5ZTuDRa
FuRwzmG4xklVLinGvseoQpEgHK6hxtwS3wkqUntMh/Q686r/6HQq+3MWqXDuTwqmlVK3RqhzJ1MR
X6c5qzcSozvhxMNBIkr282s7961T+sCobiGdo0v3+7c+qY1fa6INd51yZeo/EhAMFRC8z08yVzj+
+MiPTnJSFIhCRHqTUYfY7uRF01ovfflqWE+d/6XPlUdKtZ+f7kxRB7v+r2s6GSg9AeWM0F3U3XG0
tJVX07Iv3LWzZY7jU5zUdH5d0Wyl6tTH3v9iFM9d+er3V4I1iopkfIiYR+PO9UJwsnCYJPPSm/JT
p/7ZjT356OBCdUmX8vSCQd8Eqbew7PwtEeiuahaWdkz0JXhY3cnq/t5Igu2cDw7KVl57ot+kNXH1
WBMDBwqT6drzqraf17fVvNL1GuN9lIyblGQ7G+zsLpcLFtmkZthp+Uz6CkkfCNedHl8uzCfp1ux9
zFoVG38cBHfhmK46Yy7FG1dtZS8nlW1cA9weam3E8KgfasuMl55ubT3NeBhCWyU4nci1srRfrQr8
YpwS9+HX0bUxXhIfnXvpsWxgUzRN0Aen7dSojnyV1lqwSyv7OinD14KcW2zDF3rfZ7TLLOR/nUc/
+ZLNaExxn3Me25OyldChghssxi0ShyEqjPdFXxpsykOKEZRFamFfERm/bCzvq6LGE4Hz7XWYC6Is
W+1V7s3HUu6eejV7qyyIZtWUXLPPAoZCQDtuqJiQphbMjskyXIXMEJWAKMyixJelRk+1rDYOiA8W
o5a/jbnmz7+5c4uT40s96RwTLu6b+GGDnS69N/NpyNXaFFL+mD58fqLzzw5aCO4UrBs/e/RHLYbW
7nKqWUEIjuNa9Pex+hxFF5o8Z08h5vAJ3ZZZBs1/fnSK0MgsxNgq6z5LeiFTt9fLKy++1Bc7Nyhi
Evj3WU4GxVKkiRqYWriLg2w1GZTz8H+9BBqL/OrR7O8+v23nxsTjs50MWPkQFMDhBUXoSVsG5pvf
5Rfu2tkzkGRjKqzm8OnNf3501yQRekhBJxYAcX5NlYgX1F9/fhE/p77T8c5W7Tmlg+WidRq5EOmJ
nrTIJWGWCHJ7u07f9r3+pnv9DK1n1V03jWNW8TaM6TGLtrjrps5z4XB6TkFA2WIYiB4OdP0m05Pb
AdIz9WfFHfPqkIAI6ho53fqasg1MgsR8ipLuUOirfrQPAXs5aeiVlQcTe6GlFx7PT5X671f2W/vX
Fid3rzdRyhAiS4PAJVwQSHEkPzXv9bonJurKpxYORdZVES0WoLaJYb8z5fLCrPbne//7bzhZ5xQ6
lfuOutIuTJHNr6fYJXv88yf451Lq91OcvCRyzetDnmxEXqJT9AdSqxLXA21x4UqUPz+u389z8gk3
TEGVEDQi0zfN+1LURE+lXy1KgpRXx2Vs3ST1wYRFXi/HetnVq8+v8s9PgbMfOUdPPu2pNiausYt2
L9Kz+vj5sc/ewaNjn3zIWtaonk7AwM7K7jNy2x76FkDvhQ/t7Jvw6ySnExcfWVwOFScRsVsTWObU
m8+v4tIJTqaL1qoCzTM4gQG4HLM51PILz2C+x398UEeXcPIyS2ZEwPrsF+4bejueg7glSh4uqA0v
POhTW2aqEw1fzg8DV/ewYQP6+V06e/iffCaSH/8c7ioYqzG5tRzefGe9nP0nv/7o8CdjTljErRmF
HF78SGsWB8vPf/2ZLSGfwdHxTx5BNpXpKI1xtJOzZzFCyLgzdCe239iBJ+0zVifiLC911s9++DQ+
2a/9NMqenDPBTZUViEB3yuNoHjJ9E8WLGEpq+PD5xZ1/NL/OczLAjDIEICLlQrRAlutdeDBnv46j
izgZP5RewXFPr3RXOo1xx0Lx/+63z0PM0UydVUZJT5HfXnx0jrhwY86OT0e//WR8oluLG7Hl4Jnn
1teCev/SLzYXQ7vO3aJj1/DJaezCzAsl5RbZ7eHe0Ndjc+HbOzd+HHs4T9buNe1g+g5WuKsoGmXt
Xi5eBgDPYXphPD/3Ih2f5+SFJVFw6sMMncNUkM1VflX9CwPhpROcvKmACMLCamZLN6kCT+oloOSl
w5+8q71J5urQcfjt7X8SnQEPxpbJLrKImji5NVFi0oChLLwbh4WXg4i+UOecd8enUwTDk63io8Dg
c7qVgL0SZa034V4aSb/1ySf43q2E8sUk1zW4VOk8910cn+zkhR0lcjVxbWDIVV3yuaucgPxFMmxF
ufz86z477B5bf0+eCIRedvcBpksrP6TGzAfa6bvoIHJwZk71ZrUXFgvn3oDj850MJ41XGGNl4gO2
q631rBT/wWB4fPiTGgddk0ZAksHz9Qw2JTZcghAufOtnyjm/e0jnSzwaERFfimHMIh6OWKzUIVpO
ZLWIekPGfC8t+gtWq3NDy5Ht8FQF3YhOQnWCtzEEWwF3b/TfW/LPh+fPX4Szz+XI3XgygvlymTb0
g+NdXt6G2j5tLzUkzr7SRyc4WT8UFdy7IeMEpvktMlYX9+FnrHE8lqMTnAwANa211Ai5UW39MT6X
9/1Bvq4e6qeSPuNToV3Yg114LPbJQBnQhG9KBad5uzTK7x298ASkcB9e2Cefm7lwQqD1/acT9GQg
EDl7ky7ACWoRi1Ig0QipEhoX3ug/nz1uPhUKHOo2kkZPN8p0KCXdaBk6oznb4eBfUpLOP/L3oXN2
C/7bF6mefJS6iEKERbNp8UWEm0S6816G7qpZC+Pm85f4z7vFieiJYO/WaZoqJ6+AHnoWtXCK4Ugb
ltMeihsbuL89gP1+jpOvX6MlSWoc54gKtw9NMJWX0hjOXcWxE/HkmcuEmGfhyBm2qR8vo+GuaC6N
YeeeuFA0DfLnnFh/KuEXukcAbcIpnqsv5oWJ8tzPBzpHcUfAaRanx26N0dbzWYupBOXK9wFlQU6o
4Lx8/qz/HE80miy/TnMycZF+7jXQCUnoUMwtK8dwGbvRoINGsRafn+nczTo+08mURR6XYiPko8Op
OdKivUQNP3v4X9pV82TklcXYhVLP4b3qNdAP9FQ+//lnn8fR8U92z5oW5R0aUI5fXKErfDKK7obq
64Wz/Lk8QhtLb8QmY4O0xNMxJPapXwufMSRrUJSEt0aFZI3cRgJNPr+cc7fr+ETi99m3x0tpEZUe
7kTiKh9qtPn88Ofu1vHhT4YQ02xbIeB2sCPxr1jlteZSQ8rw+UkuXcP850criLQr1A42EwMig0fV
X4/D3y8G/C5VPvk6bDY80GboQuY1QQX1j/E/eWuPdconH4VFGrpu5rxVxU2OtFVc+LrP3KFjVcHp
RwHtqG9Gnd9P8iZixQuT95mH/NvRTz4JImPbUMzzRE20fwVOoVslwaVHcO4kR/1m82QYjxHqYr7m
JKhpW/1QjNtu+PtzEYlUqqYaYnbMnvYeol4NVVL+uUvDra5PTiYuLD7PPYbjE5y8RpCQpYaIPfab
D0NBmvyF7+DPRRT7qKPff/ISSYFeDcwWfAcQwuLr+3vpUlz32Qs46safjBbh1BDgqvAQxtREVXjV
x49/+1Om3f/v/vtppFvlJ1HWm/MlRIsvFx0s526QRf2G3ET67Yo1v2NHA0XZD4UdIZjbxW/Rl0J3
pC3Stc8v4MwOkL7jUWvp5CEkncoVyLSWjEWGzLrtl16xOkjSc3UxB/L8uY7aPiejK9q9dopJodkl
3yL7VY6+SeNzN3MbAV6bkQux8/OLm3/7ycqTdIVfLaCTx+9pfseStw92lbeq4sfpWsZPmG/N/92e
+1tAhP83GdOsRj4jIqT/cOEt/YlEmAfsfyERrL/YvtCF40mQPjrzov8FWzL/YnnIhsOYG5v86S/I
tPiLt102beyzrOV5O/+NRFCUv8jeF8RmYBBFt0FA9U+Mt/89v/3no4dV9V8HhRq/jxCsfzkzsQbM
VvNyWPkZwHv0iVUE4g9JLcJtaZWNS2TUnVcZ3wHfoIDPCx3SilHS1KUyDILZv4F0lrlDEj2iPEPz
7ltfDY1yIqjP0pFs/6bRoLf0U5kvEao172R11csomtq97hnIxEO9XhA0kj+RpDki1KnF3kgS80pO
CbkmtAoduFFE4QIjw6aZdGQOproesibey7Z80PJKg9qcx86A6KKCJBuqfEyZrtXArc2DTvlukZT1
QQ8wFDh6kYQHbA32T2PCE3mATm8U47JQMxTU9MYdL9begy6tuSLjgWDArZZ5MOFnSXGeNE9dVH0d
NVi33oTUUzb3dmr7LsLbVz3kYHLfwZzVs5mp1nyMBuIQzP0s+AcQAVE+4VpSStaBbTsipTfMRSPE
x2TF8mooMcxIvaetO7kMdj4XtkBPHLoWFD65g2XaxhXp45P2FsPJ3Wi9sQdyh8JSHjZDrL5jnLFc
k1y+vKThFIdVDXZJta5sBdbiGIr71A9fvKE+gHn9EjcTwMjQfir7qP0CN9h3LGxkhFEpey8qHwPk
FVhZU8XxUae7Xa+itzY1kve0MlgJs04WKRShhVqh/hdRjfA2HzeTV91CJf7iJYBbEAYoL8kYo88m
YKgjLGMFFTXaNqLIdoPPBi4Dw7PCxTRdZaJIv+dy0q2QqJcQddHdjUN5EIXKLULAd5DH0XeNPE3d
sZYfJKTei7pn6z/h8i2VElNWXt40avGiEvHTVpO6MhtDXmrAnlxsP2AOx1a7k+Ryp7YK/NTIfApG
i7xTqTZcKdHN5dgl5gIiATxMotzUxGhWajYY130pwhVXtraDOoX/akvLqLMjMulTkMZCgusswnyN
Ga9yZTX6URdyA/iqMBeKXDwMqndnFRWS7OBg8/Z9EUqpu8Cq1nplXw1dnC/DyVwqJvYnA2Ai4d1L
f4hMBz9HudSkaCeNvVhBcl2mOShZxfthRrp91ZX9vd9mkwtiGwkkXW9douSGYtyt5BbHZXZvlsRu
apLhtKJRb4OpmVAdR/1SHrpwmenNax6NshNwm1aUVh81tQZlHj7ZA86wKYhaSEftldoWa9tXXoes
7hwrtK/TzD7UeS1tkEN/k9G1HmLNjhzLaILFaHraIh3sbAGNyljg9XDBCuL1Zn5ztEI8Du249mbe
t+FHqasmyVYus/uwNLZkWN/T+/iejeiZAfr8kJr0oA7qtZrqt2rOVYjUvDFyGVa6N91KBa3Psgce
meXKsg91lJlWDhM80AFpld9Qb/JvfD3eqFl6GG1xO8jcYCw6o9/dytqwIwVrdunk75hADpkwfgw1
moVRhNCZUuXNzkBCxea00nvlPmn5eg1JWQ2mMTheF2RL/F6rTqtvq658F6V4kEYEm4jlbzzP3muM
QChsD3JKxyNXjR0vDHob7UbRvZvWBAxedSBdiW5dNrL5w2jaF1Xu56J28VVX7ckR+aRv81nzhCrM
GYEeO2bAPfTHolgxlNwVuXlVVqRAlEX4LNvdF5WnQaQOixXP/8grI154w1Ss8wlEHbJnN9DCTZtC
h1TTyGaI6H5UY56t+3C6smUG2j7PfwwZNpdYwzJDYCCZKTr5j+zJ8MB5INDi3vyIGulVqtt0LYaW
PW2jPeehvpqYQhaW1N+MZjMu0l5s0gErjum1e/hgP2T8TwpiBatpXJHzKaCy9xvcbqFfbVW5/Yhl
DwOUrL9Pwt7Eef/UxNKKrTJMZYPG8KR0H4PRQ1hvsm1Up/ZtnDW2O4SBuq666tUoEQyLIUB5WZmP
8G3eMLM/EQtGvj1TD6F04OH6MNxarbmdOuO6GBviWU31PZXNb4ovrfHgucqkAcaKuq3daetJapIl
U262po/4vcs0qPKVchMl+p3Wxtdq4V3lMTg+8DNDoe4gd9+2dQFLq/gytsC7R8lbACpv+EWsGKeh
QNVe6JaTd2PAR2p/DQMNdkK+7sYQdrnPq5mpizQS1xkh4ATKr4lABDk8hu8qW85FYZgPw6gpTqg3
u7IZHqMmuW4tddlm2Rs0tudAtm9kkhid0Gr2YT/9KKdpiX7wEA/aPgzMj1DxHnVb+tEk1QMUw3RJ
rCJjPjqp1oKJ5zFMeUG6hnN6D4rxRhoyctQafd0yPYS1gXzccEWmupY3AJbDfYrD7MHKelcOcHCO
8TqJQGuLmm993GXl9JgF003sJ2vRY8MPRiz5Rfi17OS1huNqnpHHRVIPizFcm4zsQiQpUIV8n0r1
fhpkN5q8FMxsvRV9xmdv8rYQVQeK912xywQqmIe5jCpEkyuqG+rFXrTol4VVLqC7Lek0LuJ2uC7S
ma7Y9FsvqOfbsGRCZyJTw9dIL5ZFK68Cn11u541X6uS5kdSw6m6J9S1Np82Vq8rOaft5a6pRxF0q
4Q8Ae7hyocfiNyzuR6VaS6m5Ye+8adLO2E1J9pEUAkB8WLSLKC528FzNRaFWC0WN6nvZG647YM07
ucM7bBv6dxwUxgL+nwEs0WDf7dnec5VVtjPJTbEAVQnBKbXWuRLceIZ01SaroMrlFcn890adP4/j
+GYCaYdJd+slzQ4SL4cLbDDu0XPmBeGiLPE1yV25Tcb2JsltIMl5s9clLrKHh1DXxjarwk3Xl9bK
VveeHy17Wd/YRXMwUh87UWSS2iqVy0HJH1rTyNd+7H10PS6DWtNJlmTxp4uid+xCI1AnwEBX19mD
nAz1Xg1jjEO2VzvNmJsLr48OUHKCVZIwc+cSU8yUSFdyhWaf0f1b3vvf2i5ApmVM4dKyCJAuskne
+xAcFmWjf01a6bvaDMtO6RHmyuj6o8x2e6Pql5FR75GyK7vY9zlaXa6nOn2zZjyJxQW7EgOAYyGe
6OX0KsiV59zXsA7K9lI0Znzgcp+orSpo7tVu5UnJ1y722mXXaBuY2Y/Ubt9B/qJpM6JpURFtg8/J
Z2ZthmtTsDQcuvIlHrKnQWplEv8K7ARK9YMS6uQqdbejn1CszMKGmIlWHPzf8EIQ9nNK7MZ1IeSr
vh+NpTUF+rItTflaLdXHSpW+l77dL7SyLlwpUus9zLvQAbi6nYJ+WRHWGzXhtZeMD9PQJvdxQRpv
OmUkA5mxvsAOy4BUB/4y6k2y4w1J3YUx+doAS528hmaDbZW5RTd7PLupBN8q2EnGeFNGPK8YgSIe
zE5dakp022rIzUIjvS1a1LSKZ2nXImgeQRl2uyy2bVeLk57/nFtMsxFRND66W7onOMaFZCz8CvJk
mWcGSdfRg6wQyx1mODSjTmkW6mj2a8zT4eOUxQ0/Fquz3A64Q76Z7LP2Ue/7UFIJJGp89bnzWOn3
inKwlVzsg2A6jEJrtwFh4ZCesw9TYBsqp6hwJM9/GHr7WU99Vu7oqh2zMz23j+QrNclvO9m+Hszs
ecQYySJynNyp6c1FkMj6Kumabe6X6kJtxdLq0vtaN4ttHSntKrHrj6Hq+RrMHAhilMSbyvRmvWPh
qpJ3mxEO5NTtOLL4kdFuYKFaV3b0JZetjd4FD5aO29aM/DdfqD62lQxOqGYTVjKp/o7i2JVZkTpu
FZMbySqBy7mdbfWGIHelFE/hhGdV6/TSAQJyP1jtg8A5Q7T6dUr33RgN2xFq+KG1LANkD4+rGbJ6
Nn0S/FTFGYf4OajHbVJWwkmH8KAgS99bfao6tgAppoXGbe3H/iqQ1JWVDSVp6bUbFpVjmku9TvYF
0vS0f9eTOsUVz3tmaMp3D9cdj18aNlIWfZFzGNQg5NdhqISrMB63uEti0J1GsoklmgWCAMmolfyV
7Zv2Is4ZAviWtWedyLnvSpAEXzGFJWyGquKjjuJgO+DvgPla/xBVo7n+xPArlGoV5MONHXuYBJv+
JQg90noRxjuKnrv4prsCmy151JtGTyFQCmkTFIm30DT1SbJYJ6RW1y8kNsBOMcTwp9MhWOld8rVO
Dc1VNH/t54r3pDb4sgeTQTmOWfzaQfGNTIb8ppGDb90U1psGEN3KnGErZh1cJ6LBAadO+7HoVadQ
81VFy/ifReD/n6sqpHbAc0Q+Mqf1/NeFlecwC/5xG7Qfx5WV3/7uv4or+l+mTRcPFbUGp2OuAP+r
uKL/hUeOti7UyJ9UyX8XV4BK6ghOTVufLUMIsKmK/eJNEuqlQUg3DPTydHT+TnFFnAiV8fdqcCYJ
F9H4GQLoxkmhHSCKXeoTOey5IZBG9Jr9wMySPuDWbTcNK6lFzv+cHPd5kEoPZd0z5stoDwiMZtNf
vUiSsmm8GhOweo8281Zu4284xnw3M6WvQWSCtZbfqjhkXZ9eh3bB5GsNbiwq1m2VJ61GL6Xv1VVO
kdp345y/l9XlXampSyVgEdrJJhChUbvti9RA6j3T7DwCyHVWLkNOPrE2y0GByA6JLS3Crnsg0PXg
R3XuZLjigNUfKtu4B4N3P2rFO5NS5LayAe5YDx6I0djGfvYqK236k4cR8DQwvWiPqNLDdePJoKaN
gSy4ylj3Qn2AbL/qpPGb4fX3QCYToGsmymcVT6oNig62sB7gwclZL8p7tOpXo6k9VKbujmJMoEnL
bKzwK47ekkU/+9NoPRbJapTsjdS/IBqpzWSf19lNEgYrcwi/eLKewq8sifRqm+xmbBDwDiYx6MnQ
HvLJmiPC2YfFnoad1lTFQvGnlZIFz8KWxKJWS3tBtuze0nOiCNiAsI62cTiLwW1SfHWtFterhPCP
pV9J5lJqkfkbrKXctKsaHODkGvRNN7Dv50qEPOzhL7/mnrSRyqhaJSHpLDUZAfvJJGOfcbZc+51y
AF20TvMqWWhx+90zMgW4X/bWdkm6sie9XPeS8mR79viKfVTZYOUdV+w95HsiMoeFadQ7UVMSQf9/
F5LS7EfRYz7vswWmalIJXrpOvFZdwzRJXdJJ49BfR6rxKhftQY6ML3lC8LAPaJiXIctWqbD9pZXq
7TIRol36FkbO3h/eqnx6HnsGaqWPSHmROs3R7MBfe5mfLPSiuQ2ipFn0o8U7ZIiS4oP6Ws7DfTr6
hdMNhsZLkdYQPxqxKKk+buvUg9dcYUZo0rB0qKZWbu9XbNBFlS+oK67rHi5Y2VvpbSU38k6Ws3yH
DdgmAMW7qhKtXEW5SIGn18FK9uPaFa0nFGZSFUK5SbHAtAnEC6X2FvIFe+5oV0dEKBlGBx87qdK1
nJbXcttJLpMDi+lmKqwrMfg3hRGZO68R9aPpD0a6aCd9WP0c/f7WTPCYp/z/v89/5yMvxirEGvs/
f/9HKr//+5DuW/P22z8sM5JIxrv2ezXefwctx1/9Z5F4/i//T//wH99/HuVxLL7/j//29i0NMzfE
BhV+NMfjNPJrm6BSCs3/9QD/9Xv2D+ccS3j+a7/GdgpgBghCWxY0+SiP/2tsV/+yZioheybc8D8j
9X+xhIU9p1jrZH/CFZkP92tsVwXvBW5++KAGE9HfGdsp0f/WW2Fsn00TQp0r8UwVtj33ro4K5wUV
WOJU8mAXT0Xn+nHm0fFPtAVZCJpTSNZLTlASuROC2mrBKkrqgqtOZbVA/eraLMxyBYU1WihWTSUy
IUIop9a0J99IWutl1cCXx1Aydj7DWxPf45OMN6C5sSeiUKPz6dpD/6ZLeKaV0Zzwu9BDYqv0OJWK
0857SqbFka1KZxFpRZltrLNwqYucRqZhfZmKcs8atyRKIzm0pk9sW0YSSR8nDkU827Gj7C7CDrft
YzKWOmP4QYHxBRI8GS5AdLA0dbgm0x+tn9irqO33AhPHzku976QBP+i+8p6rxX2WMygQ55I7apmV
rtHX5qonI2TVB2ayrgZhOV7Us+sxxH1vaNnCSNN7GKCUDK0RULzx5vFx03e48u182bZB6sYhdJw0
uVLldM36a17eleBJ8lcpkG4sS//ul9RSLC1+zeWK9kFaPJUNI5nBoGPMpJ4gL+l1SOA8u+nB6MVr
T9tDZM2ylath0chY92USYBZ81Ne1ngvyPKwvsYY9NTP80i2ril+nkpZq9CRh+OJlIINGKusrakLb
3gs3/4u9M2mOG8m29F8p6z1kcDjGRS86AMREBskgKVLiBkZSEuZ59l/fH/JVVlZWvXrWtW2rRa4y
xRQjAPd7zz33OzrXtPC6H6qp8U+4BA0lJQQsNyJOlOiNk1yt2zLi2tMHnAMpZzYZhqDjm1gQkuT0
5UF6cMf6YSXFBXkwL2qGFeLRWqfM93LnrHnjtJeTrA7DkkZoaSQj1bMeVBZSNsrTVW/sOSzsBKXH
YAih5fDTplYohHCtf0lVoYerBlxiBExkO6jscEC+sgOidnQwLw4gCyPvmsCyxhc7cy/LCAweh/2n
WzW3c4XWakhn3JsjzZtb0+Y2SHR8h/l0LEuv9dOIogKVbzgkWnnNstYMh3pr9Av9ubQ9e+cNkwhl
rB9iy72XTX5Lf6Q4v+tol2iU+Us+vXTwzMIhHlHXpdLOzkywRTtVjwJ79o57+HHtsrfUTu51TGjB
NLAuvDRIg9NQJly1vJHdlmUy1vGPxlm/Jmls7Q2VWXTD+WO3aHunXmef9/I9pXVYV/aRmUj4gNgg
e8Uai7/O8umazS/NG97GJeaxHDVgaqjfeQOqxrCviauvuzEtGA25zbWc+2yPdKfxya+PLNh9myPg
xsDT0EPFjTul71blnos2e9KkNbIaN6hdIY0O8oscbuz0w+xnuZ8VTJuogZOAOGbtVrn+msy28qt0
+cYREySj8TXvgfInWncQcLvYgH+KZ+3OTJcXnu+Hso6Ng2jR+a2xQqhJW/pDw36uFF9SPU8z05n5
RldEdxuzGwV1o9tctl7otsZzrPJTBEGpjKMb0zWQlCubqrR7SZT8yhG30C9OvAkbRirt5EejI5Vh
pMteVit66LzV27WyzoMBFpmM3HGnLfYvRM1618Iry9v1jioAWs2GMptadKQVuhmJPbE/bcAztaHP
xAZBq2IgUk0FHUbr6weVN6fKUz+00T7WVMI1GLV846lVG1lN3xhrxkZbm3LWhNeq8z1AbGsOka1g
BRNEUb7PkrQDFga3bd4IbjU0mY1sMfAFGuSzO+7O2YhvSSfzQG0UOHrNyTcHfOAOiLgu6q+QD6v9
sNHj8o0jV21EuQK0XNTCmFs22tz4G3iu3RB0G4sutR2ymTc+3cQIzQBYp83a64QxJmi3YCWQdkKs
RxYu2VreaHee1qFLRs3DQCOuWvtbn+nEqpVvnsbeP3LMm5s40y7qeRR7VRYhMZYv1YbV66rGbzfQ
XrYh95AZkasNI2g2HB98jyHUN0QfgQIR0qrYa2udhZZJ1RzrqP1TOqHJb5g/twP4VwJGijYEYGWs
x2iDAg7QAQcogTm0wHXDBq7JfJfDEVQbUJAP7TneEIOlEx3XUjo7T5tfvA1DaFsZB9AMmjBJk+uy
wQpjqIXWbLZBTBbF2Rqs9JBaSAO1mQTwS2yGXGYa9p2ab5Xb5dAPGcO4I9eolqD3qA0Yk23omGKD
yOgbTob34CI2wEy+oWYSmDMu7JkEBs1ooD+r37A0gsGHt3KWMEn6rDZ4DWLddinRH6gNbWO6SevT
ED0zpqKN2AA45YbCsbKZKeiGx2lj5dw3jtejqtdduutFfupkcnUa8zBsYB17Q+wgxp3TDbozbPid
OVFXo9dSPzKrX/aG6KnWe2ND9vSKTmxeL2YVf3Yb1IfQxooQOUA/xYb8mTf4T5s2H8PYXtQcu1TH
AILsDRXE+yv3smPqLBR77xIKi+d5b6qUjBVtllHrNk58I7NfzLU07joDt24SGSXjpfFJTsj8Ufuq
jWge2lIsnKqcjT6Bzy+AGg/TwPvSrhPJc+XbBJwtUKOLwcpA0un7wARpoJkjy/hq+Wws2RwqRq1+
XWnaQa3y69Ct38tkeC3Aw+UF9XLsJTCGmF7nbgcIkXrFV17vnW0LmJqV8+zxQxASm77eF9CJQfLV
7sXlYt54ktuynSg4khh4lAqOSFNXR20DElLnM2CJtrlMVIK4HXg8sL+2gYjtW33wup1Uy7HvFa2j
lX5jPLMG7myjkCU94z1IJWCdhRVo6/I6efMatov1mcgo8ssegTkp7Ge7Mo5I/FXYVohi02zMp9HR
9EdXZi2MEYGrNEee1mfqIUYrjDLM9rjqUcnuU5SFMlnuTdWpYF6Ll6lasoMntCQU2dr4aW4sO2cB
j4ilFLRYTAE368ZPzywQuArVcmzn8KYZWYZO6xm70S7CRFdIor3hBv2ShIaBX0JfLPfouElDmZaY
4bJa57mL6pteyfaoOYvOA4Ey72qOG6J43mqZ+2J0kTy6ubhLiuWaTLAHlzz64IUdgknPqSlW72fJ
sNO1lWJ+CBmStMZnVU8XePHxueh7zc+buDhG0uLXSSa4AhH/jGdDB00Ypd2tYBUhdIj2QpJPn8wq
+87nnfmt3dypeDR8almkcMEF72QyDpsmZ9iblR3WD5P5jhV2tIF89eUOaIx9PwzrL6o6MPve8NKr
1Di1ZKIH42B2J1Ez1rGyKNrNZhzo+rzPkV8ZUuEfmVBOA5rFMcw6ApO13KaGVE0Mjpo2siD1GGCS
luzNSv4ixfrq1B99RQD5vECAqIvMbyJ5zVo33qnOYrLqddF5nW0V6qak6FnszM8t+zFpk2PX1Kcx
Tk5e/KhnHj4XCyl+Vu5Xlpv9gdkPnX464ACY7hez2wuRu4gbK1mhVWacOTkuiOrPRSZf3HRV2zMl
dslcXF1RyN0AtChP5f0iRp5vY5X/0Rr/qw/d/Pf/ug9lmePnX/5P9c/t6/bH/uhDCRxEE8SLhZj4
py6ULF3PhYpiWM4m7v21CxXeF/rBLdjIJoACUt/fmlDhftnOSaEjVaIYsRTy7zSh/7DzQw9qwdtj
B4C0V3jM9j/ahLNsAevU1/apzQEID+anU+2bqn+FoPNj8cpbBZCD2DFu8+pZVFA4/+6z+qub7C/V
WD7UaTX0//t/0Yf/qQmmvaYvpp/e/Jkb9ukfE+BdYkltL8/Nkz3p3xaToYF01XIiAzJ0RvHZLvAg
O5Q8bBxHQku/F0iV+sRdMyrb2btQtgg7RkmsR2aV5rI+Sbt4W2R7WOKRLnQFUR/BBzhWxvxIL+f4
ALIe7UZ+XzKy0NsyBU9qF6fFgg86Z4Pld27xif6yvhTFagbNAG+yNFeMzsl0LqwmC2TCBHXCmxJ2
WafurTEdvuZmwXzI9Jjbz93t0K8D3qd0bJ5yT76Sb/EwNZ7cWSkFecxUcXAwieXSfZDSvMvT8oN2
tvFnb93Xng2mtHF3rW0fisH6yOSo0TMOhJDN8zPGrvNAQMUu72BOooW1u8zU/EhBBe+6Mt1tIwxo
yu3N2JXtPgWT9jLabf0EkGr5GIySmNj5bMTVsO+9Xn9ucss5mGNf4AZJ3OtWFBw4Y1TYGVzIirNv
F7f2h6Ha17IwXwEFfgdUcMpUiYKmx35K1nODvrurEHyNSL2OnjCCPu2/eSXz2FYiZ3bV2aQT9w01
krimVfVRrJQpi96FfQwkoqpn95IgOD9ZSxrvUSbKoIw1gPZV+msxpod+Ky1G1gqguy1ALSHcYvBS
+6SKH2tCQnwmsS/2oO48vb0dGvS/DEMe32N/NMd4wS1Vjdciar4nDeGNKLUBFHRQSnRhsnDbU0fS
MFxK/r6e1exdalcryRp/Mc2bNWJlfmqLI2Sp/lxKDxtY6vkxvoAjkWRI3zXw2VnPj/GwvvYd3gHT
jm7TpIKVOup9UKRziTctorp07+xEM7fZ3ZszqPWURzQsmaqsUK7rua67F34Pz19Uf5evMIGtoa1P
tE0D3X2OBhqz1O/QhpWhsLIE6HLbM/Kram1X6O5JzkW1X83uOw6mt9hdftQmG5UFCvJuVOpaZc0c
MPezD5FbAM2tp+HYzEnM4w7xzxX0j7N7H9fN5ItEf47N5DTa2681NuMRh/YjGNRiJ2VC85ajZj2P
KUN511E/ohzbAOEzdTBEEQNHMd2NnvY0GIwl7F42e12rqRoT/R7o6Lpzl/iucbPDnFV3UlHe5pHw
Wf/UzfncKu8ZIlZg9vK+Wsk8lkn8Opj1Kx/Sj4kpCQMGfY/R5h6vwXdCf49jkt+1pctvsUzHteIt
GbvoeyL7lKvSkT5IayPQzfii8EIFMSda0CvnezT2FycyIO9yOEKG13r8AZbuE8L8WfXaQ+c6b4ly
n63a68NiNh7KgrJZ0w/lANqTV/wjwnTgu42NCNM0qCrdugkD68VYzOtoet1NMhs39NDbjL28mDqf
zBo70BHlbIU9gWw78sUVJWu53BfgCAP8hqNvWRnvpc5KixgfxTg34brm3T6KqQMaEaU7UdvRJV3S
0zotDETpBnY9aUwc2d2Ptewtv6qQi/pY575XEhqg8WGsPdRSS1g+Ts+3uF8/3dgkGyTD6Wp4WNaW
pX/nG4n8eRheJL7dQxotGoXF0IGs5cdVOSq5V1dnpxb9gV1KQGt11R0xHc8nItlPC9zH4zTOW8a1
PAxpQT1dJo/mTGyktbpPXbIavmL9AgXMPM4Thzxin3abWtsIqBi+j8v6GOuAG8s6f66j8pqq7qS7
6eDrs66OmrUg4ukV3d1j7oluZ9jyO8+dRmZ32vtwWG/T1DzIOjnlbjH7aeL9cIrVPlhCxOexxrdo
Zdl8yNKq9R0K7+9mjDJd5Yt929tlV+801aWbhlr5fVrzcQ2tRmq0eq01GUaG9ayixjsxpO1CC3vm
jmxcqlK53HYmzH9v7kI2cxmRkeZ9pvx1+Slbo1nN1k6t2hgmtUT4AEp51AS9xJybDqsmgG4XLJHh
bBQbVnW8tUQsaPfkufQaJNzsZJvNvG9i+ewwDrqv9IxFIS2J91ZVWP4imwWcNhAyMbfefT6Ct82g
iQZ952y2XrRXlRv3BUOmScO6VI/3sdae1tXF6zlck7IPS0K5rdH7BuKSF9b6aXXzQRSKnPN+OYK7
S0LdjSALV/pTtLhiVzAS84Xi6ZrmGTHIYzru6DiUsypfd6Y+P0edWP1V95a9XmklJtgWkvzQPFHt
mDf8xD4YQc37clmwUsetOuuxecqnOMB4IEOmfxeMNG9rP37yEN5ILqyi7hif4DsPeQsmMLXpNzNa
4mO6YHRdivbFzVMmo0A8GRPZJ8Zvt8PW8EuzOjdKoZtakKiEcvQd5ywqlTFoOwtsaSDERCx5R8PN
f48l0TEe3MVWwdAIeZkxbCTWe1NmR4ZJB13fDhLlXpfYDLUuSS9ZEa0BBPmv81iuZ2UmhEXVBd+f
rH6qQb4y9ol20NXzJ9aOtJPXwLEdWbOUFhrXWNdfNdnXYVczVbWwJ7e9M4UrUCp/sGt1m7fyR6p0
7+xKTpy1lTcJSTifllJPqZEcyibJDjlCMAxuYe549x5kAtTMVM+llCNavTDDUXJLt+30Gd1kKFmL
AWMY0yoqrXXyjGXai8F8SLpufOIzn4/Q+bX9bIjbupDdsSA8DJSdQcOpN6925mHzlO34pMczcuCM
H23SLa6PIe8QShHq+LvnB6vsz7VjxL6szYOtKnk7leZHaerYd4fmti+Sjzoeqkdd1M/WaN1LTDa8
Jwu1hpFOt6pWr0vK7C5LFsdnzIjYz2EBtru/3Xw0kOMJfiiTnHOs+zDN9cp0tN2lSf9uCycAm39c
bednPBRu6PbyLCLzm6od/qeYGH3drld+pWLYL647hGLp4U8XMw/RfE6L2yp6YmiwW8fhaXFQKRze
trYNh869d+W3LHp09fm8tO9xUzw2RRkj6zHE6+CicFa675HHyNyKIcyPZb135o77MXNXg2Ye61cs
1jKcZ7ii3KD2vuc71CeD1bw0h5TsNiZn8RbewVLidmtKnIadH8fabW2vJ0cjab2t7qOsIsB+xV1U
txr4Nce6sSSVhqG11iGau3JnwaINxYjbDjmC5GMP4akcUqR2nJpyTO3jjDrIN4lUYOX7ocN+tnjY
x+3qq67h7WHpkZCJiCtjUPmli6XE4UJVlGp6crRYYCgS79vS6fVLkqDUg9yFWS43L7md/pgzZMx2
wUuQzg+rlHhpE9RY6OMecHZcUyGiz96cVgcVhZt/Tu/4wOx9QRgupUpEzaT1U2AkzPW1dnQD8rSf
0B7uY2JcxIHQCHwEaWrvPSDsAadSu9fbefF1yZwhKS4TNcljU46bFdb9MWIPHmO7Dpp0rNBPpoRl
auVxSjRZOCUj0PdBIj5b+o3HERwKtV6cinEHHykZ9UlxHBxOmIkvoOqwJzaLI3y9L8WBBIz6o9P7
H1v6qU/srLETkobaK0V6KKvisaV/ONmlJrE9JM0RWV6eSmMQvq0yVkWgdO7wNXBq1a2+LyQFbyXF
s6bcg5M5rl8mpfQh3uOy6oipr9LhW+9wCtpRhqnb68TORWHDn2H5zZZREMPzL1DLdxMj353FWIaL
dmh3xtSTR24M7i6tmuFmqmeNqHvSRcrafu89zu1yKhkuGpTL2pq86C103SVHMraX5K5p3WIHf49p
jR2R/1xmn5GjKoCmxcNA1UaL0rNNkSzshoFDZ3uZNRY5hBFSctCb/HpDaiDnM8fZWZGaw7oaprAW
cZBN86eXjXfMPmnR6t4kO2U2wpzzB0vBuBswDI/Ryrg+bc9j7t6SKIyLTZjkIdjil6UsYkyGtzx3
DsOgRg6JNgvbQmeZAEuKIbPnsp6uupjZlEDqZp1lsIKsQalZCPPdRfQWmoeOXRPHUsgVjkJrbMZQ
SnUL8+eCGDRbYAG9pfiFLfuFid0QmuZAOW8QqTF5oRanoazGkyg/N2wD0n/k14o8kIRQnS0vYlzd
h7qpn7p4rINukO8GDzyIxm+RxadRUIt2Y9B59dWa1pchr3AApuwSKInG7FaMNa1V2Duhj09KUUQO
7CJD9HpjX3gfs8Gojc5eweKmyXtqI54ptEK4boW3+kbTn0YXcTSa7TRoRwtBTGw4n+RnwthtF098
76sjWGcY1+m20Yr2a9Lm+6jvOvYUGjY9ZZXuFtMeGZ/N1x693IcCvgaxU5+Gflp8e3QeeVNDvRSS
lw8nPDX+ZWjyZ9HNrwU7HMcuLj+8xdzQivNRClrxtla0ifn8Y4ksvA9eQVSElfDn3e7X3DjLHlbD
LZtu9V4p08QsmYubmrKU313vgn/fDfH/5bbhBm3611rV8/v6F+w9yT+LVduf+12ssr9glwArykwP
WQYD299ME9YXV4dbjWXCguKL8vQ3uUp8cahiYKxICNoGd+0fepX+xbP5SdgmtkxKAxPG78aR/4dt
Q1PfYA5/LKSybcgKHyUPeQ9kcuuGgz3j700Ttt6bQ1Eq6yiSJA26nh4qWzMiMAZxSc3YOZSuOz1U
LhOgyuofMVTtBatn+2KMiLZIxRQsLgJ+1KC1sM93QWdhj6dIWZ8TvLeZmd+MNDFF09zn/cDe+YK0
IPwlztUBOwd39NQy5prbmLkh3hKfsE0niCker9O6Z9xX7yNZl0GTo3EUMcBgqUeYoUbe3HZO46DU
xqCwOXajSp+ZSCXvyYzqXdqPazYcpniUMJIz9xGZ+gd6uhnom4vaqFycc9kDA4bMZ67D2HYSxX5g
ZkIhlj9NRfcsi5bhp1GngdQXbBjruPhJUkK4z7MTLtdtj6q+at4M3NRrecXs7ofXWfnBxEsdSqN3
AwaJD046s8NBDaOp0Qyj2bgdXKul3SDlY8HLsjNG7atbRtxj8T1n1bNZWbfN3I58SG11npbuPqd3
6XrI7Yb7mNekjFjd1R27jyqyYNSpbOfg4cBi3GwtAV1h5h3spP3Mex0LSj9/xXUbPRKzlb55Q0He
namzJ5lWwuEOY06fJhGVbclq5DmyUuNTN1Kxb8vS3ss6NciGiC40xdG2RDP7fdvZfPGx8qfIOaRI
6buhwBU40tL5Ri3joI1ZnmSKedDk9FBsFTKij9Flt/0ELyin8TD7c0y8+a7ymKFFBEz1vRUO9hTm
Ex5HE9WCkUFLnBVbiARu9azyLEvxqemKezHCODDp9X2XsGpYPY2iJCKN6VyRDyfd6l8n9tqihpG1
cqJrk8/Grk+zJyxKhPsU+SW2JektNjOVJrKfGnoPNgbEWxGNn4SEHRMjvTjjcOJ5uwhvCfDGFft+
KO5nbVn8bBHkPDFjBptOXMjUkhZmz8K7lJvcVeu9F8Qy/akvs30RcV8cpJk+Y9lgY6HtiFdTRbuE
XSNZz/Ia7YBxPj7UzBWCeaRQah2iHnRizPzKdfVd4dUP6NwFV+1Cj+Hp17Jtqru6jtJ9h8X2pEUp
Uk3F7ZIy7fXHUvB2VPG7qRCxphQFj/15O0yS/s3KyYRy1uHT1D49Tb/1nOYq6mYJ1qrE8LBg+RtE
Lw9u1l6ySVG28zPOqWr0XZrVsIhH7c6ZzY/VcR7QELubPGpUKBk07aquIYKq51sbsujdwQrmZ1b0
HsVR/agsjVFVM5bFdbCW72CXhD+V+VeXdazHWNTZvosS9qryEVMOJJWjXjCYTWgiEnf9Sg9PiWc2
bGR0vzo6ezZqXka3uteFeZldMlKjMmT7ws+XwY8xtNhGF2btfC3t+n4pop95kvssT7Bn0RI2ElXc
32pAV6U9csZf8t5zji7+fM19rGLmVwaVYB5Nbzhhakrs/sDi87GJmHMN9rlshu+54bCIkL+02niW
k0tBplZ/jKyjZeuXbO4vSz9SWBnZlfSVm8rC3U46ASB/k68+JzOqE+8LD0OA9vpD0P2OZnIvnEns
Sgq9RM84ZM2FyfQ4HtuC320qw3qYhW9CbU7q8gbs5d4dZe2z33zXdPJb1aefLB3dw7w9d516MksX
oTfSHlxXe9Yd5zob+qnJ0GniMZs3jcP210E800e/yzn+KlZWdMgBFBhzuveqtFTIqVMe80R/yUWe
HDJ3Ay8qqOzJaHcPQnTGXmhzGXD20dHLKQmbrHjURopbtlqToHGNMhj0IQ1MAY0f5YN2KGe+aKap
Feq199ITA4SXaR0/TG/pL3FjqTdW4a1dZznioGcmxhX2fN8bI86DODElG28lxRz21fopyr3y6OHj
9m09fmH4qZ/HpGMXKIpnjrT0zVpi79UY1XxjoyjvpNOUPlgoHX/LVJMKpVBKWdcQZQXhXxNPbrzc
sEJs+tPalpepj2jzdGp60sCU3yr9donkt/+US79ZTC1KmP+hXEre07/wHfx39RJ/8I96yQaJJuyN
OPan6Z79RVCgYCEF3EBvgr3zd4+pDtDBpSZivucYFhFqfyuXDP2LAWjfZObnkg+ywR7+jXJJOP/k
MaVYsqnkTJIOmPJZ/+AxJQXLWhYKhHPGAjaGA7UWz7zI7TU16puqYXGLp6fFYC4nHatpE+2zskIY
HtP6jeAjnbXRzL7ojCJ8r2qn+0zE3iEaEpL6nPhVW6N239XlxWP13DcjNwtRpoCDqLKy7x3FvtPC
MifuMBMnYxr3JziM2iV3Sdx2TYqEySYuJ0coDQa33QbhyjtgHfBuBtNTezYsMm7Thc3cGZCbraWs
ZiJfLZoGJzaqAuI0MHF4dr8H/5XeZ2PqsRI5XR18az2NY5AWNtQai6VvnSChMBU9PbVe57eNnnMx
trpz27TlKS+xxbBDMV8ih9JgGNU1TXL3Yo0T8Y4K04I5HVa922tR7QaZNbHEnb3aGKzehlRqPlKg
tx/x2hMiIX5qke2GA0sWm4AjCIwc7dd4ZhkgJs+Srj1Z8ZEVd3ljF4wts2WXclyrPkKRzIg/TM2e
SX0EAUxG4mg0udgNUCMOc7demzh+mWWcXyj8rFCRIrlnVJQf2lLaBwyEXP/ydvRG7bw6MU6XDSGR
qfjEdMzyS33C+Zh5xTVt2ciwtCwjgw4j6uAOn+Ws+ofcy/ZWMVQvkpjQQxOn9cmcxfvEHX8BxqBz
8tbi2WxkdmNRBn+WWTMivff5XnNlGlRzCbqDcPvQmTDAdVNT7qISGya+PfNNU7iFc7thxQ2n7m0x
ZunN1Cprn4weDiz+J0GJSr/jyI92zvBb/lkhWW3NS49SgHnH6hChomIKeZgXyQGK4Fr5ImIyMRAo
55tjdZ+jsLwU7joEZS/AdmhjfNiMPA+slGqPQ74mr8oiHKrUrfwmMwfnPBXzEJDt5B6SpOCZy4W+
jxIYFAwiLRx/VXGOObmF6iAA/Odc/e1cxRn/P5yrO6z7z93Pf+5Ctz/2x6nqeDpILmz2An4A5+3v
1n37C6cqfgHpSJ3INEz9v5sm9C+YJZDItyA1zxQmfoq/Wve9rT8Fzck+pTBBHBvy3zpWf4Px/bkL
JQ/DsxyTv8WmwP8DkHMotSSatN44EllsvUkWYXU/xkt6wE8BAqqv2FUfNIz41YzqSYSKeownc7yJ
OpLNaAu7OnAnPT70bITdropZbNdYF7O30g+9Q5b2YsmOfC8z33E7CCCDnSfXoXdLZFm3CROsRwd9
lDoL8Zb3kKXZcExU/jOSv0UvcmrmswCVbiOqFQ3PbYFN6y1mtndk57G72AIcTa/JOfe1xJ0xQdbu
cG66YVtyLb6xFN18txtHP+ExTnxHS0QXVlpdH9HySOX1irEIlVc8GDE1nq4nGaGWyJtXLxm0276q
um4HwGX6VvaLGZiL9RV2jXsn6yw+LUxig2Ht6tlXyIoBzn0WMZPhUOPRww2OXVIAkQ6UE19FR+Oi
ectI8YaTBXV8ia8dg91fzhS/DY7Q/HobG8+C5qOOnaPujZKZTJzSkMBDQdkmGFWbdJbPo4Z9Ug9w
QrWLjW2xyOo0/tsiipJd6SUQAzTDtJ7wUzPJLmZBP5Zo/cp6AB3CNomumfvVCWbTQO8ZzDJeYLTe
O7P36z+Hwn8VW9Qe/7rYuo7vVcyxkP7zsbAVLb8fC84X/Jfs5lBubUuZ/Js/jgW2MXFsUej8Vbb6
/VhwvgiQtuzyOKZBUsHGEfzrsSDsL5ifBD8JJLnJNPjf2ujZDqU/aVMOy0ZwuPC1G4bNTinH2d9r
U53hZKIaPetUJNhLxpNr1qGWfpRcuw3QF0w/flvWF+K4HtAxDoAIAkBX16wcgr4aL2roT+1CorrD
Tl4FR4m09FAMWGV4oP/us/1vfFcspP7p70rPhu3M4kjkMzTZavlHuKJnw3WK2Do/rU5RPraAOkJN
n+NjqXWhJtenOpnsAHmOLHs7WQGixCaFT3bJeu+GTN9mVxJ63ZWMChwSxvRcM8+Wgx2p0uQDKz3m
HhPkW+Ei9/ZFoJO0E9mwHrqlgubY3Mk1tXf6NDJStRNKcPtF6VZ6O63GyWPskTX81naPNDRv3XZa
/zDMbvJTzVoPg+uUG/6F1rOJ3yhvtYuZl9+YT+kwE4DNlGa9H2b6VFtE5ywx+5t1tljzd81s7/Ty
6sw4TpOcv+vYoMAU8bdeRQ+pt2qH0cwAGmH5rScGpmPmzeFkzB/uuOXpishiOcSxcIQqZjRx/MpM
j42XybgO5cjh4DI4d3vdect6cY6Enh10Uyy+aWDtZcysjmKUP4wG5EYzrJzkzjaxqfofJTZ0X6rk
6CpSL83CwHXOJic0mGY8x+160j2ynUhQNx+0pMqOzQKSFIDIcuxSLwm7PosOTT3d1wp0GF7zG602
vmmx1d2IJH4UAw5TLUlD29CBEXlXvcMJatrqmHUOt1bLYtJQoVMyvN5n3QBquK/NUBIrxnyKTXyg
EC9lDqLLrqcnbPvXtTesbJf1i3U/GWuT3Kw9fqEre6dDtLbtrqYmZnt4ZiuFvrWTxN07eXFTeoyp
gGtcFfJe2Dddj3EXv0dPLApLw6gec9qSC7fI98WJunPeJHUCm6Ube4aUzZu78OvFScFlA9yoeSF/
GC8F17P5LZLLe17AiJpslpdKywqRFMkABik0NTg36LTgsFi9vWcx9mvqxD/6ivGS1vU35MDYlyhz
H9y5eskG54VoaIA8WR3aMfs1MxvPgelW6W3GN18zqfGNpWR3KWFTOuqa5LBgrCTlWrZ7Y0XVjdeF
WTQrRnQZSdADI4HXIpW/RNESeJX+mjb/l70z2Y4ay9r2rfw3oFrSUT+NPsLGNsbY4IkW2KC+73X1
/yOyKgnLqtBKavrlJAdAbJ3+nL3fhnRwXGqAF/M83wyR8ULKRAUvAe48h8N1aluVV0cjB/dtjOYY
MkJjKRhDeUo32q7uxTck4JS91rrDFsCHtlIQSFmT8tgmHblGCR4pFHVlXeGwIGq7XLmu132geGpQ
PeViKxfyM/hFI9tUeplvZKWygEYVt6TRKN9qN6TG1r3+A6z91rc4Fx3vQ+lT4+mHe0ykTxGpjch4
kl1vh5QCpAfSwnQGtYG92qC+4er5t9qAZ+jHFoCCjKsPCZ4tJcV1E5Aegsu2wpuhcCAKxfdJEBmr
PMBLuh/BHxoZU1SpP7uJRaGdIj3lwFaPIFRLVxrOUR7coCYDzuxncM8Yl4dORXq2+9wXV7KvAcgG
L9C4PzPJeahD89ayfTRDSLzGKd+jP2DJjuyM7GlgJhUqwIH6AGFvG0c//QbycKn8lCEbCrxUPczF
68FjQWJfVj/HuXNl+/FGZNg+ZvYqyscP1RyQDjmqDvq6jY6mr570tN+aggSp/mWobIzV6yM88DtI
P6SxIYsoVbzvVGAwVbyVI+c1aYKD1jyCj3SNrRvDi+ai9dSGqGIgE7F3IlA9BWXzjd/1X3LPQnDD
geCQ25SCQyGnCGghxZXJ0g6JwVMUQadqAYoocLfWRV08o0XjopwBn08CatanKvBBNxrJpEBZQRok
e88pyo0VdZ98hGZWkRMxnWXq9CUp073ZK0+eQupQjdCeg8V4i4lvsYV1YOwlnQPNziGQ+kVZHwLE
aKgRBkdO202dBSiq2cHPwLBuQivflpH4GSHQZIb3uWt+dWOU5aX4Q91iDl6aB92iDkLitglyeU3e
C96771OADIX6ObCA82hVi0O74mzNyL21na9J1V5FGviCNg9eSySBwtTb16pyXzn5lSRl+QarTG2N
LXlMRZq6yAB/X2s9Mv2uJqOQI288vf2sAszYUij9KA1YDg6qHGzhE7s7Cl1Psa+SLI9hYvT6HQBX
oPxJ9iqr4YtA+nEb2h6EA0t9KkYnCzU96m0Lu1TdqJlrb/WhsVak1QVPfLA6ZorgmgL91OFRDH60
0q8caxhOUtidQBPYuwzw0D3W6842MUhnw7Vo1l4mX+u28lhY+m3hwpMvOXfLLLk2NfcJSMXH/7t5
/rp5Whc1WA/f/t/DbJJv/Gf/uXca/9K5W1KzGP3pJyohiqyahqnaSHP+cs35z73TolxKxs0y+BNj
VEn9fe80/wXHnIsqeTmh8RrV/tFzdKx5nr9GufKyu9ogDUBX22Ksvp7fO/26cVzJLoxjLfVPlWk/
WHF7aKpcBzkcI8zTWq+J2d2GifKBf58DvPP3WoypgKnz+tH0RSc15V3acfwiLIFVmeNXU8VEtqTT
TcmIzMw4Gm77THm2X+Wad1eELfglYdQoYXH3oXQHyjnIr3N2nlVTdPdtSuEoK+q/8td/yQ/M3HZh
WLzvH85xXdNt7DnU8WvPiPaI28lK0hr6UUJav9GVXR22myxY0it/PwwCLj9hyFtw/Z8mBYxUzfRO
roxjBQaf9V66C66vPFQm7dBkjAWgaRhMHpryth1BEbUdsDz9yPMUMGO48dWnPtqZxo2t3heiWXgk
vO82kseojSDMRKqaB9TbcJpTsxQc6JlVZQNY0ZR7w0q0Xeg8XH6MzMwW4ASITPP+AnkAI+RtIBjT
howRpnl0x7uAfgOd7kqpYXYYrnZXd1yya/eqMKtvBegQNSdXiyAtOJ4hXWrxL82F30uJZxEvRZ5E
rEs4OboxZqTOpwrIdV2QJdSOVevHO93xlY2agDuqHOWlTTV0BQeUEezWClcFdSkqgX2617ROPup+
pJ1gmVqHAFDineIkn+uEp0gfWiWPIWBUwIlAOuWlu61Ak66TWo/3YNNyHgGKv4mNLNq0Ptg4A8Dq
VdoaKJU2AIK9rkMrprTCL8jlQezsgYL2MMVT/97NNPitCQpFaCeniTiGuv6Fyim6K0OZInnYf7F8
U93ACj7JmnStaIKXi9yP8FIWP0dWmnFdUqNTF0ckU2y1RrvckxGaHLhVFV+0BmlDBfcO8Grc8/Qi
vCZ/LTRgp1hs7VsELB4KI4ODwwXbzUiAB5HtrMPKhg5s5Po2FP2doKqbcz5L4B5AjCF74QIryL/2
MTuBqzVi44BqoGCMVkLsD9Im5ua2biLAFWU/wDevBjjbW4EcobbhFhvkWMzawWdYezGdmn5qY/Oj
5XrXmalo17Y2YsIHXpCoVnpU/TZ2kGNMaOrVR4p+YFb9QG37Q+p6H9ogvXX78ioNCzjzCYxQT9Vf
ei2Gfegio4bA2Qetht/Ds2G4rUfOjxjZPzpb5sZK9fqkjdygyja/dkqpMRJhD0szeEnLVF9HRRbv
5JFdlEEzsvMWvpEhfy2a6r4amUipaO9juzAPXt5ZdxEO0qse4lJQpOgjy58Q+aPuN3Kb7JHlBLbX
3KEsFqzR1Lmm5vkVOPPBifrxVR19S/T+JYc0FSBCcbR1eO++33+pR+zUCO6H5ACeSh6RVeaIsUoA
W3Uj6koBfgW6V0CVAJGl6GBNiqp6RcxP5t7JJ0UAuLoQvoxUBt/RKlMOulQ91YC95CT5wMtqWFm8
WNDY5FoIMMyzcpJ2RnoMRsxYKVESr4GR9SOeDJY02c8RYyaNaDMf2Fk+4s+QwGuuc7kHaj6i0yoI
W4ikOa+uSHd+oBSo07JCaimwT7WZHxMZAgOaIzHSUmDfSkBwMmA4tzF3riZWGVAbJ3uuR8xco3Q+
cP36U0CvK74Z8pJAiTXRwqMWiJ3coYLYGB1XWKkH42LawcEE6itguOSSuAuUqthIPg/mtNPtXZjr
YGwDkQL1jB5qUG2OJCHYGdqHoCkfLUdGJQFNZWEhYKegQpLieofQVXzdNh2m1hTC/VR9RkD7pkul
csP6ftHkWl6JgYK53SgDGFvQh4qVWtsm1p/Jq9jrJGh4HRXdVmhdQPZy2DVVd6tDmd4kwr6lmsK9
W46B2YXpzgrbT5nqPfoyyOoU3XZ4/tpw9DLf3hlatweaj1u4L4NfIBN8zBFliUuoQ4aB9NMAfvRQ
CscnqYBAFNZvvJx0ibd7FknHDBX1je946zDCr4/CzqZWD7EMhUtWKbipNbi+xHK21cjztz9l+bdG
Lz8HunGVAlrKsmiv9eI2Fekmz21pk8ggp1vglYgWXEce7vO+LBPO/tKoBUqKKc++0MweuN0cmW7f
Scef3Ki46ez6k+5/Gurnuv6iCOurBNAL7cPyx9CXQI54GBWSs/M67UT+C9h3Y9NRhvSzRM6bFAml
JnMHL90OHysvJydSKICEoIAZwDhUEwQv2mMgnXRYsumuhB3lfo1k4Dd6A3tKUo2VUcP9LrdAQba2
+oL6+Ao2xKueK9d28SWxiyfb+DGgdB4NASS1Kjm5anadeeprKJk9JmTOp2ZEZvpwuLLwOCgIQoUk
9v29JCHMFmZwqFPEuBPlUUHjN7JUEFzIf8XVlyxNI5Y4zx47Tu47j78VflQg9ZqfmuJJ6uxTpEl3
vKs5IavPKmrCnfdtAI9rSfaWnH8aai8+GrybrP1YYIcIACLY5Igcp9mN7PZH4HKfW7J9OKT1XblC
tvBkN8G1H0YgI3SezkoEZDPtE7byjl1YIrPVOF+gA32oBeh4K4/Q0un3sfNi5GRuKc2uQkROqrLY
17G3gaFxkmTru+bFX4uYx2umQt8BJ52QWCj8VzP7VmsvRtB+TdISdibULsPMnsr+GekYFvfwo/Gj
L7nm32vpxotrslAIE/neRuvrR6eG2WYG9jdkCI5UCL/5rbtO1QT8a7RRAa2vSgNtI4g195GcPvTh
p/b7mDFEKlq7VhF8AcK/R6H+Q9Y8uwlnaPXA0cv+oHVHJNzXkO5RtPSeRNN8UCoswmUruSq45MbG
M/AjtJbK4M53v6NRv0p654ONhKYRk4AoHeAn+S06q3dlrD+lcOi43uxE2fHW1W8qjQSXpz+VtbJ3
KyyfpE6wy5CP4Kzbeq59TJL8SxP7xaqS7jVnE6VRvtdRYF/3EpoGSg5YFtCati/gcyKmhIpoL1XD
1iyFfTTzqNpYAaFkM3GPRQX4JNb0ZisCS9qSGEbBAbHxrREhGWM4SbGF9u7BJOK9KwVZsgMN9Bl/
peSgpD2laOq225i3cl/UiJim2W2rwf1xdQOoXaZ+FWjaHlpwKF/LwUXUPWqyg+9AEmmHKIUp5h0G
E1JVF+Thurfddh1mCcC6PLxJlbpfezm0E5x/+i2vfnq0EsqxU13yL0NochZEzZ6i0nUnRemqyp3h
SrfDh0rmvqBUzSHI8m2eq4jddVp8UGAN9j6ipq1j+DcQvQAX9hWF/oqsaVchToNkd3ZqWnmX2/ae
HCa3pNY0n+EkUN+K22BLVj5D8JfcCpYSnTOK9oGB39ZicA+e5RwLquCrvPHvE7V/ziHGBUgEc57s
s3zoblE7fW1sBGWpjW3zMCVFYha7/3u0/3q0j6+A/14uuh6rRZ/SOd49/+4/r3aqRTxehKUgQm5D
ZjyvFsk26BqNV5qG3Rp1pP9gc8S/RryOLau68Zci6N+vdqEgCDo+8n/z9f8BNuf9a3FEDFnmr0cp
zN6xmHT2KNW7UATw1esTuNLgpB7PemPmyUsDJk/Ft78+efJy2fdQ7erqk5NGHzLbvDaKz7WDmLTm
ib/SRv/1df22ITyZKCWpvBwMehj1YWPy1s8p0VDLBsOsu9Y6FPem93q5LeOb682bbBJg0lMJ1ip9
ZBLAqJyNmQHqM3+0kXSHO8UelvzlYG877n1rJh0XRj4ozoJh6f324NTdPYyMexUhGr9YiPTOy2ns
OHBZmo4zFT04YvDPZ4DpOUaYmWp9akd6q9of8wjtIUtGePvO1oJjW6gbLTBOLsp3lxs516Pnkcch
PZt7VDZiPPl4vgiISV6qbgyMewZnXRriYB0ux3qbRfirQwFk8J+i0MhpKijMUb4zC7nGD/Bk5yPt
dGUu9OTcDDwPMZkgEWykAuZWfZKT6nttaUe3i/7aZv/rJJ8IZbxvxmSwbIjXZh7QDNJq5IjD7EPe
gE6AWTZwRtatNKoZZRv+0lFJ4AaoqrTQSmVuap43czJqRVK7vShYB2b+oEtfhxp5Oqpw+8JNHgdR
ndTUes064xalXuxCipr8s1J/qqqa7L2aHEoy9esQ3vYfjK8lENOE7gC2ZtIxruNoZqoxl7KjsjNu
g+3ln58d27OfnzS6GaymMwODRQKmrtmF6ufLv6+MyaXp7kLF/u/vH+fv2VooAzcP5YGBheLBnS8v
j0mbb5pxQPuoPcQm2rwomN14CdWlRtTIQcUq3JL4QWTNi+c3hzLoqImbuBskeBpIPfWRLNEXdtnZ
JXv2mePkOPtMx00BExp0c9k2q6ZzKH48j76aULkPnq9tFnplHLVLvTJ+zlk4KfE15AUJV4gegYw7
J8xwCRKrzvyJrvLRKY2rsByFNtobex+56i6VnIVvmB95GF9AaNmHpucKDiENCh8mI4+YpZnv82hp
G5yLoIPc1SGQgCXVJ41MQZo46hihgFEoCewfFwZtbsWeBxgTume9iCKT6MElsWLNn7IHBRsrA+Nz
Ofy4PFr6W1LUX5vTaAM34oxBsUxFdPJEhHgDMFq1Nzw15nDl+uWdJIwd3IuvokH1UapUZyPjvgPu
8S4eZED3ik8JziUhQ8bosy7xMqIIf29WqbGKEvOBMwI9/8q8o3oMGNLDX0LLtgrajwAtizvYig9G
B3E9SbQXRBQ1MqP1eGGH7ekbiFcrwrjTPSSnKyW49WPzmsyNtZXh9a4b23xK0ubg6PpJpwqHkVQN
SFjuboLeRx4tQdvKz+6jyv9aywpgUidcmFtzq+m8wyYDkyLqOPhtU5+CV0j9K5JGYX2QXIgMNwtD
M7OOzgONu8/ZDKhrpahFTiBDxavA3Gm12Ek8yy9HmW+OrekMPugoebKHOXWeZBGK8CfyzD98+1Ez
coRem01bBGv331LS//UonF014Cv/E2yyE8FobZqyZ1JXdXtrZWS4e2l9uT1zIVj4KkUUcvEIQ73t
Nc0yq3G20B5JjPjifWgslFLmesyQQZCBIQVFOq3VtAknWRQRoYDnq2PBZjvRoxxplNnJsUWOtXAf
n2/R3/F+3QXP5kHqykhkomd6Cj+ibeukC/N5HODpdk1TAKNix6hZ0wqg1PdGp9caNyBtV30PAL13
vfwHk+w8xmTN5KqcJWrCdVVfCelGDIh77vvqT/rprCGT9YLlX+gNgp0M/7Ct0z81Qbi9PLd+Paze
9xX0Cs0CRPzOErY3sT4Bg8/TSAcQSj5aHES5rYfjbrMerEdZLFyQZod+pHP8O95kvbRu5JVNSrwP
u4XNZemXJ+eX1QEXiHruvdQ6DrotNu5S5XQpwmTMNb8fUcIKC3EbxCgaLHTN/LT93TWT0RZu1thF
3NYnlHeOnZvsTfNLZ9kLp/BCI+zx9Dxbe1VaYEXmMABl+IRWbYDg9OUptRRgsl1V/KJt5/QS3p79
a3B/+dfF+9NdwHwjhyEUGMbvbtiB35VWmVR8f5ftQq95HgJ3F/rpD6p5aLRU/oMbiqOvZV+qxu+3
HsWtIhKPRv0Eqvs511A4GcizYvCBbRHV142mVofS8neXv3NSxh1vIW+/c+yms372CjVpQouzrt1T
3fT2g/4TuqgjndRH9RFK7UI48W7Pextucuh1AOwUNj0uV5ht+Fl4pZcDmCnrU5KjM2f0H1VleDDi
8ktSAOSr1e5W8e2FCfz+GBGypZAkBUxrKqY5WYFGVmt+WZf1KcakQ6dbOWvArpOOBF72Q+nbr5cb
/X6mEU8zgCuT3jHlKQKAMkTkGl1eYwezSh6jhdbM/roOq57rGpiN6VOuwb3TtRtApz0CLHb5KUz+
+WtO/CUQgPOCaUCheDtF7Nxp1TJMiWBCO9LrVdYsrJb3W8qbCNPFXoOVRsQ24WD3pY3fXDnUPija
XR6GpSCTBR91dobgFc1wYDiFwVXipmv9D4YaUASSoTapIVlMprcfypVr4Fd7AtcT54di4Yo19vTb
U3Dsp98/PzmVPErbKq4OjAQ+DvELYrPiqsarBsE+pJMvd9fcvDqPNVklcQHSwbCJpaA9rIfbPljY
4cePfdcYDeiTzJNtTKa9nVagWOsqlQngJM6N55mbTDvEVHBSNO8vN2V25M8ijU092+MqN8kE+HyO
XBkZSdvZ6FguRr27MDpLYSaDr8uhK7KBMFCbEexfxbf2Irxnbu8CM/Z3p01mgJ/IRojhK4mbLNpm
g9ah8+ZeiTzmNDZPQoO4dLnvlkZpMg1+911ouzDEcbm0Ga4o1neIri90oLrUg9bbgdLzpsyMuuCF
53gwEqr2ORlVR5HURUmiKynisu5WJTVENJjR5nHc+lhE1UfDsH+YffsjKFX/mGZogSX5a+/K+J0i
6ZSVX6UhemoVwMdtkXzJkAppjGaXDt2RV0t/5xTqfWyG2wzVKl81pZUbJ+haOvY+Vw0ECuowwrkR
v8rLXTuTS2Y5G5iEAUQUCpmAt80tgyaNkbkio9uV66q6uwYEC5BArn+KhcU8dty7tXYWaTyWz1ZA
lsVdWQ0x+9JG4Phr4aA87HN/1y6VMObaNBLdVcCTgNB4cL6NpAz/iSS3Ge6ouMBuG3eNbbpVrg3p
qs5O2tKuOLNTvQk5WRMAQONuGBtHykRcNdLCuTH/81wUSIbL6JVORklx+iCxOn6+SUHFwJYuq+of
vwnIlSm/Q0yGpxSNmWRmyET4ORib3FlYVzNr+M3PT3baRHSOojmINxjOo6yS7UQaCquZ2l3oqZlk
99t2TDba2HNkxOWY0FJTxJtOQwrfVEpkzqIr08pe+ybfxwBnwFavhNbc1SO8G6gSQJA6zPFjd/S1
aVAwRxrh+vJam1kAb7pgMi11CT9Y5Ku4g7WathWVDbEg3Fe52OQGhBeUeFaCHMLloDPH9Zugk4mp
hbZwDJOgPtgN/D47VFaCzVrGk+dyoLnWGeTm0CUwECFQJ4+lLMjMwbV9HuAgCZ5AmGzJaWs43LXe
wgVnZocmqQuXT0NQaoTNvl3e6LjCKVM8MHR1v090+TqzdkG5tORmd5HzMNOei5rSckrCKBIndlzg
PFohhxC+jOI8TYV4Jn/K1NHG98PSsM2csdzUR6YdBy38xHFYzzbLPExiHFu4xJmh/62pYX250GWR
IIBpPlTOtao7u8vjNxuRU0BoKm9GeHBvIxaR3OMjwrrpEbvkSQo3TProl+paV/aXI81tZga+lBw7
wOGos7+NlDQYRGV4YJ/A+7Wvw93lX5+b8Oe/PtnHcPXyHJLO1anVdtJhU7ioHVB+WLVL2YHZnWbE
bBuWYNLTa2/bMdRD5CbJ2A4lfUpCl+3DQpgQLakCkSkBqY9sOvlyr3+MbZFsCgNcCw6l+c5Nu09h
Xn3Qje7KbZsvqQpK6HI3iNlePvu6yT1GRDgBKCFHhhP8aIPXgK2G6+aj7Le3TSGMW+FbG9n+gZML
hEnmb8xEbscZbefGLgxfksaAsuN9zsZvM2SEP6T2iPnKZ1sGhjNYtffJ0BBMXtivZqehrgIIEECp
qa287VS7CdVgsOzqhPXuJy+VcoB06rNVD4fGwutcCbrPlztqtp94U5L8xEfgHQdikLwwCwuSD3p8
W9W7vtxe/v3xgyfXHsQDfv/+ZBy4PJpZPlYMRm90tnpkGu1vfxACRCJOERYaMNMXn2MreR/LHUd3
gEzrU5btA+npcoi5HA33jt8xJruh6mWcnNaYcXORyjJ7/dghhLYixQEREIEClNZPVtWhfQnAUUnI
I7c6uQzwx0lYDqfLXzM3ZiY/zRsJGIw63R2By0pBO2Zw8O20X9R+Ycjm5uDZz7/zttCUIhA2eTPN
BM+oifBoy8rnUQgeX/D7odv/T60xJ/thUKeWZDiE60/imC3sAwtdZU62QymCzCZsnjO6K61E2OOW
rf5vo/FLSujsrPIiV+RpTC7r+/bT5Z6ZWzvnAzE27uyXsUlOnHL8ZS8cYqTAlM86+uHrgWZcDrTU
S+OHnAWK5GRAdo0haBlg5No2SZMvtOXXzjXdCM4bM1lBWDggCme4PBH6yIAGbiEkX8qPhR3f9AYm
HhEVMdN191LofnDRp9wpedRsnTi6QXIp2qQWSrHjUsKdE1ZjPLorl9usDANIzl6DoEVzj/PCgJlV
jhydcuXXMOsj6wkdnRiJQNdFWrC7DoF0tRliselQYlJXVs8wxq/6utjDk7y24+Bx6My7Vka5r60b
sCkByO4qSL2rKkR2snNsBw/fJFUOl0dgprqCiOz4utERQHhftYc+I9dY2bGmRfrd87SPZtaQ6nOc
5MZzURQ0bf/YoRa1JV+OT73b3CIzdeX0S6WF2alw9h2TBWMUEhqSKTev52dn4Wxb+mn17SxrtLoO
Qp0mVii9eegyfbzch7P71tmnT5aLUaEg7tX8fimhZG3tXfWjYyeHWPGudavdXA42uzatkXeFZoVM
RfRtY2AnRl6C4PXJ3ZY2xKr8CS+HyyHGFfFuxZCW01RwlWSvJ6sS7mXR+zlJ67i+lt3b1EcOMpX2
bvlwOc5sU8CKjAbsJvNssgELeFPgsMZxqQAxJ8GV44fYB0Af+9/iTKaWPpRG5mOefcJbYQMwvtH+
IIClUMlFexI9o2lxWpiekjsSb7D2Gb+Fl3gJeTjXUWe//+vJdLZNWip2vdrA7yPTtpJ+9uG3haNk
KcBkJJDhVqKi4s0liZdGvVXR6VyqRs++684bMRkFqZAVq9eJ0UcKqH1r36PSmmKwIyHWnZXusc/a
YzkUP3J7YZ7NPU3OI0/Wf5LJtd9HAXeoBIVWpDjCh+GDKnZxfy83r5fn2tza+SUng63t+KKbLE8v
y5WsKYllGh+iXbzxQeCLhVNzdrRGyZp/x5hcba2uCYaoJYba3qVrVGwpM/5vrZg8g1EplyRZEEHe
lmGxsrAmhZ+mLCybGSifUM86a+Rvnx//cBA9f4hZmPUQoGIu7fB4htVY1C/xuAtUlYR5j2J8aXPU
86Uk1NBDVPJ1GQGVxOIV+wbDRIDVCj7hxYD6bulsRsjlHrfUeGHb1Wb2xPNPnayQVAKXoCr0SBjn
1+grnCzoNpc7fS4EgJNf4j4mqZzJ1OHS3YWdoDdk5wli0Qe10BbuQu8mJ1kGyoTstyDo4J5PFkKo
1Rm+XewjQbmFJSSUR61e/fMcyiTK2M6z3QrP0QDvKy5cRv/c1vfwHf2HArs0I93+ww4bA3EICiSc
MH3TJrMUEeBOqlynOvVa/YOpYkrV9/8pwi8c31lTgloLlSoj1WA828qmGBYO2nGhvjloxwaMDGZb
pWpIRfptT+mZSqorGJXcYCY7NirmqXzlud4e3eqPqt2tkWNb/0GLzkJO9o6gLJ3e4OA92Z6/d9Rg
i0LI5QhLjZqMCiIjisQjFHizdEKUe1XI95q0aW/VRx0LvMuxZif079YYkw2kxvUhDWyzOmEmFIor
ls39z8sR3u21b4doCmptuiBCN47W6AEG7r7qXznY+/apsjTTFrrNEG/ngilruRI6bDBRK23UUkcU
uW+dVRGGzipCXXHtSI60zuo2WJGc0YIXv0dnMPSKx0zBxLfWrnPd/VpK8HKF8uJXzufO6G6H0rvD
woRqN3RaPHVuPK0YgJJGaB5UtwWiKpZWfxucBhFtt3wqovTGrtNnPLtPadA8yZ30Oa9wSY+k7iDJ
GFzk3ktRU37rjPa+q6ovntd+1+3kxgK5yOMNKTDF+ZG36UIOf2mgJztXn/Wil/FIOYV41w1X7S5V
10a1sD2+24AnYz3ZuHpEIPU0ZTYZR/1DuVQhGRfzu8Wu41SIMgNX22nNWx5QrU8iYP+K/c0rdrGy
GRFa0MerzR9M2bNAk2b4sSJZmSBQmbi7qELDTjyW5sKb5/27ceyssyjjwjnbGk2vjlUr1KpTEdwH
0reNqTEp0OPWa3WlfMR0xFq6xs+GVDm2RjlRgKbvwCg4cclGQ8OkILYpKoZIBTfSV112j0FbFJuU
K8QKC3kI4vku12AIhC1K5kJfuC3PzROGccRjsCyhUbxtusPuZtrI7p6QLlgrKXP/4fIIzk2V8wCT
y0brVYbXhkmFgZ+0CetrCA4rTav3fTtK6S8Em9vhznp1CsAxstxjF1FIpwfevojyO1IFH9qRB3+5
UUvDZ09alQyGjzU6gRqJFHhfPOvUpeGsg1a3muTjQFgoA3d9rx4DT4dLyBijVHH5K+bG7ry1k21W
FLLINYmPiFGsknHdWjhf3/OOWBfnASY7FV6NGAM1Y3dmIaJ5PwoLJWhV3svYqTnhFd29sormXkfk
X3y73LalkRzbfrYk1UJKx5sSC7/NPg6ddG/prwZJ/YUuXAozWfnCy6AWIbRwyot2J6SSCn95TPV8
YZXNbfnnHTn++VlrsC9UYtljtce47uUWFb9rCF3HMNX+4GxBLEcbdXq4g0035mjoRBxj0ntqwwzS
ML5MWVl9KCXtxh1o3eUxmjvmz4NNxqg2gSbij8ydtbe/+XX0ovWYscFRs1BGaZ+QZFjLob+wWc92
5VkLJyOGObxfKfiZnZJG3dSQFz27u02tb6qTbC83b3ZukJbigBtRLdOUju+IJI8ymS1a+ablYJxd
7rULXTi7hM9iTJZwFHhFJ7XEqL671/VSAW/p1yfrtzQS1KO9gSulro+nJ3bH/p8soLMGTOaAojSF
2Y4bYTwamNXiNkbEUTX6hX5aGovJqCcOGiAIMjMWpb0S6YdMeVi0A2cNTu806llLJmsUJ3JLFG5b
cdJmn1RHvhpGm0VJu5ZCBG2SONpJerUzcnWhafO77Fngycsp61A+AllYnVD5GddOpCPUUaLqihsy
1q2Ii9ykro2HtfA+ogj61Q3UpaTcu6zSuNEb6igIBybiXTGs7DEG6tSMT6hb2CircDylM5TEmiS9
T5r+NjVS8C7U8/9kif0dd1oliwrqD0VbELfybh1cgxCKReoxQBX4cqDZXeN3A6f1sQQWp+9LNFBX
sn3mdD9Q2l0BzUBo21xYEfOLjhsd2WZboNH+dq83etfTUWtiVyRfnoT3EW/hy40Zf+H9TP0dYfLu
ZcsoLAs1dKgXESVnfR8D+6mxXsAuprc3l4PN99zvYJMncOD6hVF5DU/gtj36sX+bkf1elYrLTi/k
58vB5pf538G0yW3U4/nnKgPBjL44qhjGe/rB7v/gMP59IwUE9HaAND81MfLhyqtYewmFLyiH37D6
WljWc005jzLZToAN+qWlhKNoGmZSBXRVY8yJLEyFuYV7HmUy2dIuTm27py0o1Osv6TfvFSMyD83Z
9dd/PjLngSZzLuD+0gs/ZnfMuh/4nSKgX9+iS7XQnrnZdh5mMttCG8WS2qc9ja18d01j3xMmN7Jn
hHLFwgjNLaPfsYQ8OXt/j5AXDPdeLu6QV3kJO4SoQ5z2KhMrqct9OB8QG0O0CDh4f8GGz26Bil+1
loFdwikp3RfZS071GEMPOxAdPspmMKovB5ybHYYOKZN9nVLOlJnX9gCKhvHtlQdgE70WTXCLXbxb
C23YSThpy92PJZbFXCPPY04mStqkeOJ4KXnAuKHcrqL2azRYuSKjaxU1gPKlW+jcfgtPEwlH0sGU
DCdPsXaoezl32dqBsBRQwWvcv6Lu7nJPzraKZiHnYquyqU/2jJQ7mlpimneK43Abeu4Kr42D5d/W
2MOFgbUwUeYu1hRERvFL/gcg8u0OlVt9atgx0QK3VPCH73ZoLPurUgvXuklw9I1TvHKXTq65Les8
7NgJZ/PTcdXa9mKGLhXGMdEeg6HH8HWJXjDflb8bN5kgjds3cZKxkyRl9Kmz9Ac3fnIy/6eDwf2o
XHV54N6X6rjagEjEHgEbLFObJlqCQDHCPC65OUYKanku7AKBpV0Ubooa8UeR8EBXt6bqnjLry+XY
s/35O/Q0G5EOKJxFKqdZnTxp2io2HtWlau3sCqdWC4jVELhSqG+HzBI2evwyl1acoyJnnwS72BJb
YWPKa+HIlke7unq63KpfF5jp9QNJ4b9jTq78aWfGJhqPDKCCOUPEhoma+aF1oSPpSISjp448lgjd
VWpqq67EA7sPr9Le2sdB9DNM3ac4qe4Qkx2w1yofUHs4hYyAG+unGDnOvizWg52jBqc/GbX/Wvsx
hqYNWG+924ZBrcKTRfROCnLMVwcNU6bATl/9znGvbFEhUVhqUFYSsfDsnPhrQDAc59FZqyc7QGAO
Xd7XDKZvqTjOhOjl18VRLnh2BmbxKAZr1+rJRnHiK+GJhyGWrG2SoyzQmfJWaZEbdFQ4y2a0JSmd
rJGwQ3wu6lamH35MXBsLBNp4eaRmd8azT55sI6FSxKba88lRJV4dM3koUDq4HGLuvAbvD+Z3RFFz
2307/9QEZVPXNdipsmRbY0TdJtVRKlqyRer95VBzq+k81GTa+bplur5H9aKPrtowOvSBdzClx8tB
5rrsPMhklOVeEVHZkwkeAnvrdPmmz46XI8ymDs9DTEYFUzyLWzpLtuxStGsxxfREmSD/GW1rT9uL
caoAt1G2dRofyrSpjmEp9rZr+PvLX7LU1sl271llm5qYpp8SC639wd20/5+0M1uOVEfX9q109Dm9
mRERf+8DIOe0nZ7tOiE8lJkEAkkgxNX/L9XDsrNyO/fqHdERHV52IdD46Rvex7z9voVzs+Noqw/t
yRTKxpAx3cYGKa/Atgvk29g17983dPJTbAihe8gkggTJ0afUJvgCoURDrtAJBHGypjrTWSc/xYEV
FeCEnNWkvk50EgD2AhArgjadui0geey7l6nzwsP+7vtPOdfQ/KmfDmHb0h5vKjS0dKvL3o2Iv5qs
5fdtnNzMcDP9JSYHlbrfaoFUnkMMBUNfAn9iDSV0a+W0BK1xW3CJ/FtWiAWYfKCYMHaXtuRa+U0Q
e0668uHZi1ibpwsO4VbWuBe5AXqQqe9Na8R0Hul+lL25VXZ9LvXt9Mr59NZHBrsUWZ6XkOfYCu5c
MNe+JHV7oyFErEw7qam98ez2BVm3ixIoDssFb1CGZ6bByU3o0yscTQOd+TrkDaLcFZoR7k/BnoR3
zg6zTk7nT60czQFJwskuSuyqTn9w6Lh0x2ejF8jqdOLS9iDBqaK2FRBCAhCmBGfIHWLRAKHZjPH3
E+X3lO25KgGoAJRZQF8e9X1fZ2NdCC26CmkJCug4t51iw3MXoklfK9IviKrRz3dDCMxIr55Gli4m
CL+AR/PnT5kvb3HUH72DY7/6lfbaXPn+HVzcEBa+7M74zk+M7ZdWjvZ+e+q9qsmRUdKMS+Eesjt2
TinllDH6pYl58X9a3EMwtjyc64E0vaUeMMheA3tJr7JxVdTiw2TeWlciDvIz15cTE+pLu0f7I7B9
zFMAg21dAMghke6sv58nJ58PwisiwpCt/y1pMOBcAGOHNBlELptpAwrh988/OTR/PP84abAc7Cyr
JzwfLsJoUguUXyqdfN/GCVPamym1//yGX27aT2ODlKXGcXr0ERxrTrAOp81gA91yPQtu92esSWs+
+Y5s6C+NHW1ltUM5xGPxQcwXcWUO+yIY32ATHsLBP6SGyqB1K2niWtC0Jwc426CgF1zwQi1JHqyc
vrtjk/9U+8VTnp1LmXXmG/N3L3e06O2OVl4zYJNDj+dxno4vDdFPU5u9BQW5bvnwkBmgRNVuBUqC
mp56OMp72V6R4api1q4si0MAuGnvAVAWWJFtQSW+WDNRxQXY2qw0loQXBwOF66z1nngPIhrz96E0
aZKFuFKYrGvPDO6ZCfprx/00uAWgXsh8QX/XIyg2U1KZ99/PntNLG6IS0EpBXdpvyZItxoXnKPPb
8mapp/sxXYFPXxErLnf+ThZnfJinF8QfrR1ZVqM7NkIU+B7HusxBblj45wAcZz9oXi+fuswXKkSC
KT5oM0X1tbqQt8NtmC3Du/czPXdyujkecZFyDLrNsWllp8AMuRaqzCgdMugAGI9mOeVxdlPZH6Yk
8WCDyyLdQ9OmC1KD//AftQ9XfYg6UIg4zO/36UMHYAVqZ96Uu/ASwuF27Ln5HsKpLGottWps696t
UxT0BpclG+qYdecSgqyTo+naqOwwHQIf1lFXC4v2gplIUgfdHfLdys02WCGv9QROA80vaWi8lzjf
AUDeiALlzk4BMXkZaCCsg/suGy99FAR+3yu/uDS/bQJ/vNNxumBAB6/rasywDrxSbO6rylJLiU3I
9Js2spHTp4KV1zaHoUddzVgY4OrIa4beYug1r+MyhmgAiA/CWAx5+kxYGJOs3fghX3K88jA5G4hW
2/sm1CYoqOa9yVIQF7S/HUG7m/R1NplvSPFDBTCTZ7xCJzscgCQLrjwkvxwXHuQkV6qw0OFTmd4P
TaBjHuaXzG/Cxffd+MvF+ls3fmrpaKFyu2dFNqD8aHzMrultfV2NF/p+OIx36kUvgOkigM5Ow6IA
z/A/OjU/tX00rTDXU57RWSDIyRau1ElVm8k0tB/ff+PJvXVGQM2FvyESLr+uH3es7VorVNJVY8yu
+tf/29OPTKbKHXruzk9v6mZhVm7il+kZ62h+xO9j9McHHFlHeQ3YXTaiidbYrYur9MY/Z/idPO4/
ddHRLCiyCdmxJVpAvtU15GiwYKSxSF1vzZC1n5f+HmVLN/+3jjsa/UqFWufzVy1/nptYZz7nOGzb
NeBqlhYm1jTxrZx3pMwNLjU+gWVyBeH+IWrAWj5zhs/D8M0w/RbDzUpoY9v4oFLbUbADWrKF+sF+
EGeCkCe3YxC8CRLiSAiQ2NF8CCwQBYMADXGnv1Ta2AaEomKefYCadGsCXpqV9rMzCzemRg4elnuJ
miAAaER9K1TFYzfju+/H8vc6cdzDPr/S8QQK7FoKjQpgw0Q6ovbFW6grA8ilfkq47vKosm4LjYTS
XpYbe341o7CfSW2ta7xzY9KPwa2WWZb+B3bI5/c6mmSpRnoiqnpnaQhAmHLYrYNRbAojPbML/A9j
AmfmTMdy4Ij5usk02Hwcs1PYZByOTRNExcgbRBBzIdmigVpZYkMwDA7yacl8ZznSCt5XECJ7XEZT
JpYG7gvjaJwRPDl5Pwah7N+vdbQ7oQ4oI938/SK/G6S3Z4CBuvLOQIsebZ1o6Ks9r59G5M9BqJ5e
jGV5xRwZnZke9oml4fm+6aFriPOb1AOpHK/1ZhFA8F1gktuXPHVaGN8p4GzCTqyqt1eZ1SJ12oAe
mcmlSLrceAOrhJx5lVNbw6c3Od4aGi0bIvwJt6giXbEGtJEwD7fM6aLCow8TKXZefy6gf+oA+tzm
sQFXjE4gfI0ijXn4LR90D0iSv3zfxycbgQKiDXC1N5fGfZ2Apc76Is3QxUHZRtB6X9qVccYBMS+W
4w0OzjjcoQMLyrDHkcweXTeOLSZTg1zZmFp9uecYJWseLkrsOsokZUA6+5BFPidHPb/+d23PM+yT
Eew2NOhbibZTFet+rZq1b54xtE9Njc+fd3StbBvDDJu5CZ9ZiOQYQJ+Obx7Qy7XZL2t5i44/0+K5
j5rH9NNHOSIYAZWZO1RiD+yXHsDaFTlXYHayFfgNCEGA2Pwt4cdpoYHvpjgNy/xGD96Fk99x/0+r
eeMAAOTo340cHQATapBs1aOR4a3tD/4eNwN++/0MP3W+fm7iaC93Kl5oazYYiNfGU2+DpQWycInI
FOvXAfnTUs5fv+g410e2DlF2j3p5iSiL2pr/iRcVNXNIrIPGjwXUytGKdUrLMpxZ/tpoLAe8bWuR
+nBJ2B1g622DdF+/e+7nYiVvXI+ZtTdpsQRy8sekp3olrMF6+L5/T5mZn9/n6Kxwm8Jjcr500NyN
pGM+h2JcBo1csKL+88pDc+9++vgjGwbC8EUYNpDTtOS4ygf2o+jsNSRK9p02V6JxkPZkBtWqsg8y
BIzo+y89udKJD1btr5q24/ts55OhUHPjGQ1XXqVW/dxGOT4HprGAmzUWpZWfsQ5Pbp5wiLgwswHP
Oc51mYCcywvwEpCnZlLA5NSbmE3QnoY/FB/vWpnfuDOjy+bCO3PmnfLXA7X7R9tHi9MgfRk0JtpG
dIQjCxbNyKG8AVX2LrWNH8EgDcRMptewda7DrNlNeVrftMoc41bQD4d451iiJ503n9/oaC0jiqMs
ksFcor7cIasCwy0QNR81So74PYOAQz2WFwTvMjLr+vvRPzkSYMrAoQM5V6Shf911XR8QCmbhOLYS
jIS6UPRAun0tLrQG9O7MpnVyqn1q7GhRIV9FBhmHveHmFRKQKyBiHfdK1jTKUoOCyBaNEwQtvv9C
pP2cOi4/NXu0vFJRQOOhtPlWSKfeG6Z16/WijTSkZ6OsR70V9J6K1dQoM6qMbuGltlhJM9ULl3EB
vpkPE2UEvTMrwVxroecZEzrseRr+CAF3QzKENJayqMoDk8NT1Zl73+OoEMoGPwkc0DFz12dYVdmi
LqDRIAPAJsO5vmZw26TJ9QqC/C+e4b/WhdXGdQO5tqCaDlnT3wjQz2KzLfCfNehMNTGQ2+w+lzx/
CdPSQL6CKWLFptsytQ7V6ImI1/ylpLALAHlvYXpbwIqn7mvaNt0OLqpn0ds3cJWDVWmidk6JeyDP
Xt20gcyPicTpLmiAfTXvgiIFmy+D+oaAY09O+iOr88c8LL3IMpom8kwBF5fdopSsXNC2fi7ZuMx0
6Seis4HIcMSNo0HcE7xLozTnQJNaHgpQoGqYKOlXW5IFV33WXdtFQFBaBJT8NJUvnNIpVlU6G7wD
cn7SJvbq4gFRvHhwnQE1Es1F20wk1uDVtK0N8Nwwe7xaSXayRCy5I4h4ZgAy5UPaJAOYEGSsdAyp
Q76sgIwwgI7QY+DeIb24gERY8GjNnIl+qsiiGLx9BubfleWxVe64B+0WNPLzTkZd3UlE84B/U/me
mtO4t6HYbEC5eQbKMYkqm8w1Lvis3Ol3prcc/SnKIehJ0nHXiOFRinoz8BIKmP6LHkhzIcM+doaX
ccxXPhfPdLQlgksyYlZuQBqm3vYm9AgJhAndWaFwnLUK4bgR0BAoF1BkbZChhKydEki8MEWdiqtv
BOgFd+as0wXTjWzKru9xpZrWoZD9pYXiIzvOTZwl/SzuUs0yL+Ms+DLO0i9Zb0UuuHYxNKo3iGAO
LW7G4rkwbijrV2PQ/Whn+RjQOa4FGKcUexKnT6Nw9yVqcXyvKlaVYeWQQutoUkDMBQbDFLeu9neC
gHznMYSZWhH8gHIWVtNcQg8+IAEVOXuoULjJ5grOCtKdQ93FICwuSqd/ZVnxQNzXsDD2Yi79tOca
UCid1KgJ5XNxqGDhfYtq0RRVoyOMAYEqUstsH825rDSd4MckORgj4FziFzDHUSQ44JJDiOLb3OMf
VPIrS9sbitKeghhLs08BJuvko6D0ljiqWfhZFVsq2/U6/JnlWRX1JkpZW8dKXNxyY7cKgBsO2wuv
My6njsWo0PMXyCWzQBnEmv/lbW2cIWJOCjN6pNvJCV+94BoKgshIHKKM24nvZeuaTT/zORkqndOi
mqnkO6vNny10Gdi1TDYRAHHQrZxTqmht/GKRggYm1DpQfF9PzMKZkcOjMDVr18Sa03Nc30eA35oj
/Q08tgVC/5VSTyDZ+CsihjZhPQVkdPAwYgjpABq1aIh9p2iTQFH6Bop9yxIhINyMEwdRIRfRobIe
7oqUIw+K7wCqLjZDz550WphbPiLR3Pc6ez9NoOUidpdoB/Rgp7xsQm+ICrPqtnJUeWS0NoCTfXdv
z34YjNJ9SXQTW0Z1BZV6emHiNgh9qXFdQFDMyUABa7VEfA/AbCx7xiMwIsH58EaJWj4Yf1kQrFLe
FwtVZHeBb9hRb2X2qsuBUqVeeOflNnDOgPs6OaNROHXmYqhkvdLCWUEwb4s2nzJPvgD2AMWkrn0L
Ggux8SY8GAwq1DY8WVHgdDLhQQcNb4ehxqS7Z26p4drB7+yxL2KbI7XCu0/TEkBQ9apHAzrMJQ5y
NVx71HFBFSUri3cKi7gNooE2V8gwK2ID0qWosCQ3dW89qBoAY5PnXpxBvQ8XSP0Tgg99RE3z0EIm
ZYf8rSpxKP3ps7ZYY/W9E06eWuzya8utW8DZsjyuhyBYtIG/G40uXwxmmwKrDBljk1GBoyitI1Lf
oEqkUhpKbmYG1it4UZechyxi1Jj7PETgWdTXyLNvlikp/Shoxa5w2dZVzZAUhYfgggm2LUuNIOnY
hFWHoDUArIgtpigGTKD7WsaF70H7OLU25hTIRHelgUVjhQlzGSDXGS/ggurMiIwenB4MMOQ6IOWq
EdJNhibcaDYcqF/5D1NI3qVTPqVOUUXSlY/MzufEhQ7uCT4NSQgUdDxByjCSORm3ocZ6k7Au41aN
G5TEvdWgFfXhtDDM4FL1nXWXiVEvdN3VuDnRAComqVw7XCDtqXfuy7KnMRtVNcNLX5hLZKRJ3iTQ
Dd9LNtzxwttWLn+wlN1hqpXiKq+rZtnq/LFUMl8OvpNFYJuDnoBcyngy6i2YrT5QKCGLlbYNpGEU
bVKAKLogmUZ2JGgyKyeseTwirXyBFCwUuZfb3s6bGIsJdGUGp63bONeZkwa4AYEPVTPrAUY0icoe
7sOpC+8njpMPmdtLFLTYIBPTVxC9MXKdtets82Aq5wOYrDHBgD/ZArhcNsk+BvutiDo1Wz525i1S
K3uzHTDj6dhdQZ/r4HeiWMAXPka0dR+BT65j2ntbPTZ37mQ8D5O1dnEbmwp5GTaaYe60y9yE08+t
6EZYpLmqgbSdDL0O+jH2S/sRdgeDRWDCDe2bL61TXXnD+C6rCWlADr9GnSx8xU0OyuqYP7A0e0wD
JFlQE8wlZRc/MkMvRkL7VU6ISFhd34tiVAsyuDVQ5WyI61zSCG69S0f0u6JCqyaKtjd97+9q8IgS
aHIhzBsYdWzKakM6q14URjVFylNrN0C5REur9eRX9+PEVeRK7J5KFB91PVlRU1bixtYUdLzQ2QpN
35VX7S2eXmZm/jqh6Cae+9lyey9BGEQmdsbcBEmxL9qy5L6aDECL3fQidYWZ8MJ6pJl+DwnAuqbR
4th1h0UH3xGsfnEfuCUkWY01AZ3er0kAom/gRaTDxYSyx8BBITqMgjCx8uZAPXlP4TtZQfPvrvFN
jseUF13TFXHlhXmkG49HQgx3pJy2dtAnqGPvo5H2CZRftpJlq3HMgFbOxiKmrrmYTCexFTVj0jd7
aJVeNnb+hrgIAprFSxuA3tW6SCAGZ1pFhu99VEZ/r1V+0U125AIzMs+6rcfNhan0SpkMSUgyDjOo
07lJXo9XEIq4wurpME5Yq6Bjk8gp/buJ5OkKGWNlUS+JWeyo3zigRnc/uVIiaT2BzAUyHAao4iWO
HHc2wyj6xchRwYqSGm1A+d4U7cPY1w/jJGSMlIhNzciugQ0JIGIe26T0Yt9nb1Lpvd15aYS45RRX
lo9zSVW30LMncTuCvl7WjK2wRfr7Vodp3KSWtxWm92KGDOYiq/dUD2WcAhYdd33AklCmPC5UsDaC
ykzCdmb5UpjPnAYv05CGUU+83VB2GExsCHzWwaknHKp1qpcWu6qHoV60xvAw1kUdhaQxokp7RmyM
GUkmMTlJnvM3HAYXdggV3YCbPHGLPgD7u9j7TkPWdW7pGLo0JKqzQ5eD550ia1k5gYoh6ttE826Q
IBMEh3ve7Iin2kTAwlOyQ+Jankzwh3tOBQM43WbQRDXaYNUweznIfNPPellVlgjewlpxG6RIl+aH
WbfBprbVT8AuDVj2xUFRCCU5ed+h6DPtQW4eyQUueUakdAAIujPgcErrMqHKOzRgMuMu1T/gOrZh
jfdQdG4eeWVdJEVXvzs9dHtkbr7n1bip/G6KAZbdVSOEJQYnmCJDGGSt6/5HZ9R+Ynu6SKAQWCb2
CIu5D8YBKQA+i7oSR5nysWH5IRK3QnmA7pu7lR7yDTM+Zonjl2Jb+tAGZ37RxxOuFblqPnKTgKpa
9shfxp0noj2OYxoYt9xzpwUtggGRcfEDDLoqIX2w4hrxcuRb31tmZcYetbe+cnEAGukBOXkQNoQW
BoDtP9ysapFkr4NI+9a1sNjeMTD3taP3uIqcU+s65cKCg5OgxA/UYCTbfr3aQ20Halodbtvcdle1
YSx6ddHrfjWwcfP9FfuUu/1zS0fO4nxq6lERtNTAl1IsG/tcRG0uJTx2eH9u4Mg3bFp5CHIRvBSU
l0t4OdfjUK1yMSKq6C29vFjYBrmra3tdn0U/nnQYf3IeHLmLBKn60Jl9Fu1SZxu7hEXz/H3vnRon
BDv+7YI5cv/AH9DYoppdMC12FKJh9aMku+hMFtuzyfp9a6ccx5+7cu7qT272Fm6J0p5jPsCNofYK
ChiR2fLIaM648085XT63cxTnQVUt7r4ztZoagB1VMEBbbk6b1CQ06uxer5k7Ifk3z/4REP6vL9RB
8Qun/cZaDen3XB79+N8XxRtngn3I/zf/s3//2dd/9N93rMb/jv/ky7/Ag//ZcPIiX778sGhkIfV1
/5Prm5+ip/JfhO/5L/+3v/zLz19PudPtz7//9eW9LpqkEJIXbxJo8l+/2rz//a/WL8z5nNTzP2PO
7/KXJv/LmiFQduof/otz7v8NSTTIngqgsRlgqqufQs4NuH/Dj0gKMV03tCEo+Qfl3PybH5ge6hLt
0HUdiLj/m3JuhX+zkWwMV6o3161Ay/Wv/+qDwz8W7z/GJfvJ/vnzX5q+PrCikeLvf/26zgKEY5Da
A4oA/h+LARizr/NycNNiBP8y3LR2FXPvCiZ3ZP3J5OTfWzlaaw3DRT7zVbhR/Qsfnsz6RQLy1hbv
n/r+xMccRcB/a+dYYHBIrcIXSMrbFNDrTVSFu5Wm4xC1OVSKJFIAszk13x2zPEqHYdWl9JmH7Vtq
j0mvcEF0FWQFDWaPZ1IAvu41/3ovZM7NiY9z7uPXXrZziNqhyivcZPazh8srlKFwEDa72Qz4vgvO
tTT//tM+k0P4tO89jCc8A08IHt1kmQ0Ho+BQOWmhvPN9a193tX9+F8i8yGkykdw3T+DPrdldWfqo
LA03YWUsHEl/jlQ8mUNzqJh6aRU9E/w9qm74Vz/+MVuP2qMhazi4qbhX0Mh47C+xqTW39q0Jk+MZ
GDs3Ms8kL5xcHp8+8GjiZqhNFGOOgVMh0CZh7JEuUuXd9714csz+aOS4BjIcwA9EQWCIG/um5nBa
IPk2dIzIkMP6+5ZOfg6GK/QJ4qQIA30dr3bA9DAC3PKtImmsIDLyNTf+nK7lr0EC5wgKGdg/UU3q
H20puBcOrqIYJO27P/OwjRkz3r7/jtnw+MMw+dWEa1kQnIEO5JzPcXTKhVk6FXnehnAs03jon3t1
Zqad6KgvDRwZcVZWcSTaogHBob33EzhvUp8LiYFD+OUz5npJRH8g6uqjegRIBPtodjVCZa7gJgG3
yu4jp7frhQgmXCOlD41LvhKtXoq234cT/Pqm0+AWYOi4rSs3Vj6F/W7aEcTL90EOMT5i30MRAtk0
wZr60wJXpETZzpPlZmmCbCsI83i+QiCF8PbB4SADj/UulTnyhl3PjxHwHRctt6tITU6WBFPzSBwG
I2Xwp0uUxyNPp68pRFpbP+wSr1UvoKyB+YHgUpS28GGm+NKrrjdRdwO/lnqsqsy/RafJ3Xz0re0h
h6JsJTf+WE5xqiAXk3aQjyvzgNwgf2zyItBzRGywqgdIyoOXyu2f3dJAFo7p6gW0+uQ7mENk4zBF
n1IuyxVtOhU3GU20RLQYgnRQj3VZd8NtL/3RWmazrEzcxbshR8hmKsuoRbyJK5ftdVqFC6NmOPIc
hDsDuN/yVKaRqtWw66uxuHRx515TFx40E76gqODWfHC0EJCHo0dGVWEPm9IpriRzklpxfz2UdFrA
Jh4WpqVvO9DNEjgx+nU/CLXw2nTdSaDIpjBAc/2qrGvr0WDeT18j1BRK/jG6rr9urUbvZdjUMTaF
OuYaWS0edHCXbLC6S+FU/UoithPhOWuz1/5bR5AhbIQdojfsEYvyeXDIXN+Pkl8BFQWISLJXo7be
bYNPC7O1JghM1g9D7rCIduMTRXgbLvLqo28RzYAyeLWHgJDcAMV+yX3eXRJH4kYtuVy2VIFCB18R
Imx6VwdAKYVp5sat9qArGZSJS11cjpsSmieQ2E+qEDWaLnUQtfDaucYZehEWpMx3qWrpK5labN20
Y1FeFeG9HygadxK1WqjqazeK8OySGng6IlpjTEd2SzQMk8xRz+NYLB3DbiOFEymCnxGPoDaiCyjt
rgrjAR6StWxy8koM9QqPX5OEtWDLtlIQ2a/yH20oR9za22sPKhpQaCvvjUm4Eet5etsz98BshMDq
gnWA86h+2bhIui5wdbOk8wH2WLccDe3HJjXMONfCjJoCsT7I59OlJ/LXbkK4QBFEU8kw5RGwClmS
9o63E/CbRgiUrHKJkOswcPh+mI7LHgYHRFoBhzFCA16c0F9aGQSGPBOu7y6z7nuGQMFghSgMCYhG
VKTC0IliFj2Ua4gQUFz9c2dVNcWCtcTYl2N1H8oKbU/+D3iukQlPqV559nAHMHgW1yL9oZmHchIQ
UUMJt5fpl69jL4yoRrD0CoNVbwI3Hy5yLhCBr3wXWu3YJph20+0gJhGZFUXcKUf5RslNb+1JVK10
TncYPaCTeIrQKcn3/YQ9oB6XvguoUmEVTdwG1oNu8nVWGB/4qHVV1iPadD8sEKUXvaPuhs48ZAzw
wcHM60TXwWPatT6ymRmWEA2zQ1nV7qJqhySVZEnRDXExu6AqT6nE12qDwkc4y9Igbgpgcwzmx8HI
rXUxqBCEBfnAldxpYgoEj/QQu3nWrR1lrMrKogl1gnwxdd1VyfQmtBVWhkm9y8mqh21feizimVsl
DSlITIn3NBrO2yT7O99wbgYfLkhsrtg8e/uJOtN7P7phIqaMININFCwSyvOkKYkDd3RDl6PG+qwF
vNNlma77PnD2ecn8TWkP6c42KIt6oKOjgTnATIRdsVe08COO+PNBOQHYuRC54i3yFkq+7DNLob9S
7JM4Z+ChodCdsfrEIbNodkny2OgCG85v6mx15q67ls7b7zLl47Sm0oFPz8mqhBZdDJVxBBERu5uU
i8BeMMRqkPeQntKLuoE4QwYX9GSaXcStYi+HrktU4O9rmj8QQ3sLEwWOC8MOOlhJPFtLDjkT3eOr
CnuOT1hjYnHvUXn55YS9Lmr8BjHGhsXVr+KnMC2ScMrqxSTptCm8vllCzFYjTmH0i64PD6oInzzB
70pjkIjfO1smEIVPQ81XHKi0LaRHIAkmxePUaoakBjfFWWhOSUbSBkRJXt9Okzk7jhB8hastvyxc
xDI9OaGWV3UZDp3+DknBdO0iZruAbtNtVg7XkjioykLxLyv4m63tpWEgyRD5AVcTnR6dAvQpzw5v
GHgdcKQPOFUU5kRnvbaeCz0ZxsCzHsIXAvEaiDTAJ1lVcdAE4QKMuiceDMs08yrUy2AL8jlbdYF3
WXXZomXVNXGzn8bI+2QK6YqG09NYsTWyu40Y4T24LCaJkKhEDAZp7PeBIQacDb5YW2UZRJ1sdWxP
2Qc4eGOS85ZfjoF3wcvsCa9w5Xp9lbC0w+C3SG+1dTYmRVW9hFP1wzFHJDjUW9dxYU0IBIg9bziA
uIUK9Xon2PgkOKoYHA8SzDj8vAKZYjjihmJXdJArTeeNCvUac/Ct/WEoEqkAyg2B0a5lJrzYMx+c
MhwiaoQ73ylROhMeTKq7yBgWqgoupDS3pePEfMzfHXPZN/oaKdqJItjCiQkgiYI71bjI4TBtCbk0
JBQ93AyMwXA9ott7iaOAq70/QTnyYUpzFTXSsxGYpWztF842mKo1fJCRSa1n0sPPY3PnYOj0PkSK
RMogxdMOQzR0HzKHYzTNhxXFDiMRxM4CazE2dlwHsMyakuEvgdEm3UK35kqPI/IvUmVe21m1Txsk
MI352sSOCLm2qA8xOWq8ZSg2lr7qxC/2W5KVLwbR6zZ9MlJUyje70vVgK3jLuoHvO1O3ju5/th2m
DMMUhw2DYkJlhklZYGSm9nG01sS5AURpy+DWiSs6GolZd8u0BfQWohoXXel9wAMWwZO2tej0XhSt
jX3EvBkUZgtDURGs4Gw7aM9f5Xn4XhKqYpvlG+3aqzJv94g8iTiscuNHza3nEkzACHxFyN4NKFe0
GeJ/5rRGxrKM84lv3JRdU1bdGVMJJbxe3bTm8Jx71oBgm23sWQ8brPbddaMQ9uhyDcKNm94i4A/Q
DCtvREHDyKdAtvJWo6gAoBOdo8NCBzs7bn7rzMa5hsxYscKP27rCMAJeQhE1Rd6ETpFB5rY55FdL
/tCRMo2l0b7UjYV098wpYjFAR8Lg+k158geFZn5stwwpPvYrHP3hsmqVA1EUPG7E1oyDlr1z7dEl
InRIChvGMM7HYmMyP71gVgrztYTnvMvTDvkLql0gs/ymosqPLatYjr3bA+hX1AAajlela6BkjQew
IwNHeYsxC5qFa+YVzuj6AsGYIsqUvZNuiPSD0b1uhL4gaDuaWrgmCUMdaej4U2wR9oqkJXPhGf+f
vfNYjhy71vWrKM4cHfDAHpwJkD6ZSW8nCBarCt57PP39UDqtJrMoZkiKOzhx70QDdRR3Athm7X/9
Rl631KNxr16JUquX/mTflbb1gsT4KjWLNz9QZLfUrZrmkgxBAGoV1ojloYKKpLc6Z+ucsjXp/iHt
BnWhSZbmEv8bLlvLfxlYMA6Mno63L9zWSo595W9pMj/LqnoZGvKqkmmBSp71vdXpidXhI53myslL
41Lqp4VpSneK3u9U76JSbyX70hoUhPECq/EoWVuDf8zGbORHKZeTRGZSKQTdS7vCEUdIt5rSHTl7
Ike3bfo7MewKOx6+q3i1OhHMxjtVCyCTqKQWwVzJbqSmoMgGL970SbSVAxm3nIJ9vbcv5aKDmZRL
+6andyjB8dikRk6WZOqbawtuy0KVleshzOdQUq+mhzR8j/T8ZdCrZ/pw2Qr7qC3ujpJDPxZswYgC
epj10gthZqppLDkipQ2sN2W+jcamoGHRHvmTws3H5kEfx11mNMYy8nysMCBzbfPYfDEIqHLk0ub4
sQ9x+MsRVK7pM2Xxso/ERR0l5P/V42MZ8kxFPi6CUaPpl0Mc8seQD+L7D3bc1btKSTdlB/dr1PW9
UmaFG7f2DmLyClO9xM1aMB81scttR0ZRlBHmHiY0R/0i3sVe8WzQo7juu3RYlnZSnwEaTmIRf0eG
TkCAyIMSY1ogQ0RmydECrXZGc3qZ33uLAIbSzej0TuJaC4DHQ7CsrsNVuLKX2lbBZurvINX/h6YF
eME/h6ad17e/XYQ/2t+R6fnf/YlMG3/Y4DS6wGsMY5hZ1/snNm38oZIbio8LULOOM8I/sGnxx6/A
SBnAGi90/J7As+BCNMF//5f4g9k9J8mrKtRoHbO5fwWbJhb5A0ACnsjfmW3XQSB0i6PoBM30G7bL
ocrazZjUeytIdXthRULnSkWd6VZFCo3HMmD2OeWUTetxgkRrcyW4roHQnVoT1qVWQCKxI+1YmnFd
LemIwJippXWqRcXCGGsP3pdcwABsbKwu2zh8SJOnGLwa9qGv3gbxeDB0iAqBHekPbdIlwAjJFC0k
1vF3axgNV5+Kva/FD4lXXBe1+ayNw0su5Y8zRwVqypLg+0MU6LvQ8jdsmPHSV7IDyM9RjlVudlHF
cepdFlxmfFzBrCBeSlK8k3K80NUi/dHEBjXeANRj4Anm6cOrVkTfYk0rnNKoLhSa/o7sdz89BejF
kOF8lh69YFHbjwY17bINzZUgZkcPVHURolgxpBBqGqrbJeSj60mlqIP7lM9lTz1Kri9Z4AKwYizl
cuB91ooGrdB61jJpncfgNJ7ormodPDQjyTM0XxS/vFcK+SIfu1WQWRtypa66fryr/fKJCtFNk/w+
H7p7tW+OOdsfZaoqEzg1cIaU7WtepdDQmije0yv5lmrtutWnR6MWe7UbX8qU3GgrTJ+TQN4IBApw
hWXzkOVxQeu3ghID1CM6UpAte+/5+XU8c4wVLHAg0KfxxvYruaDop3SWinqtN7/KAxNKJhS0wAOc
DK0eegpqIqp6BeLZCJkng+cF8pEvmlj94Yf6uKramI/LAWNF14AXgFylHkJEsI6louaLLrH39Uih
UEXBfQua5SqZ3zmR0aiLmuMopxkHU2Ggmja7uF+IrCSWY+oGQBRlU1XAH00RPecCSbjezD4yYX5Z
S+AarR/88A1padrSj2i0tljqXnldtk+NYuZMTEd57GN30Fugvfki1SjJYzma96NtQ+7j+i+sblcX
IU2AyrwRo07NpDZIAe30VdKUFVftGuaDxWEmw56o7fRQ5N5b0Vacr21/WQmN4zW97dAXwwSQsnXY
FfdZbcI5mLhwdkW5wfQsW+esr4WOscXKyxTz6E2iPsKRXXVKN7qpSMGR+nK+P9nfKZMLAAgvdhSK
PLi12ptc5Rd1DJ5fhOndIBVPk93qS2EAz8CJCidPd4TOBU8PzJ9tEunryKx3dTS+2sq4LRTpBxVS
s/eMzDsYne7KnYzZq7BTJ1N7z3cgi/CnjSog0b1axE33mBUJa0zLj+nE7oi+JNCcCtwQQg2glqUv
dTU9tr4XHTuZm7CBUPy1AFK4Ao9LACHLcmXarAZ2kOoBSB2iY0r++ViB6sg63x7A0xWwQI5Cil70
FMpr3K78UD4MnP8T+xRu3Vet3xw0Afta+No3mCfX8VRvLQM73GHCBIDHCA56DLUva4W3sqNoow8Y
y45CKlwUeMyh3H9RrQmkrI+CRZSM+dbIWuUQqN5dpXT1vqlL2dGMam+2qbSTQDTdeJqUNfdFqJ71
6zQoxmJApEKIuPZT66HXGFOnLOBzqSBTkPDtQDOWcV68ZF1qr0SLmeHA5dpmpv86n/5fPqglC8UL
bhWKQavln5/Vm1dc5d8f1B/+3Z9nNV1kDlwZwwlsFhFrfTirabWYqGA4sGWdYzTLye/77/9SlT/4
P1VCVLBxIMV3Nqf6n7Nalf/gVMXLg0BGjlZSav6Vs9r6ZWHwoSdDW8ngB87BosTdnFocyPoEZyet
QqTnwwqy2MHPgA6JSxYUx5i0ZdlUIum3FadKxENaGaqrFGqwaEIwgrZSQITwL1pZQwoAZfkNBKJU
W1bATZSu6wT4SKWx4OaBOnDys0oa844W/jEObGWZSpHusOP8BPUUC9lA1B3CKHIEkbMrcwyTRYEQ
xYdrz1noHwo9ya+BO6kbIoC2KBjZHuXZY8Nny7XgCYPxNUeaGbejCIJVONBgSIB/HNFK+toe2VKs
pLg3Bu2K5ocEGcYL3Lw1VqrHFmffqGFTLPuqbVaxSQqWDcPXserpeZKlYBHURri1PXDjMCt+WCWX
odHG60AyExmesQGUJxKuO9QdtVuZbY15zfQqd4rPSe11jqb03rItYaCHBZ4iRiVBk23kwB1ExAWl
QOKuKr15CwvzXqTEqrRJnuxlBGYO0RcE7hU9TGIjuNazjpQAWODQ+qdFBJC0jZrIZRPBy0wenWrc
dSmAihZ2K7AZyFi+tEQBuakbWioERrmJB1woy0A3VrmsDLCqDLOmeRoTgixe67a8y6C+Okba/8iz
/mUQ/T3k6otJDe69+bjKPBGjw+f6WJlQ30zTafV6D1CzqOxgkZg/c04mwx8BbBpBry+PrgED7/Qk
uc5G4xbk4qGPxmfEjT/DEB1m1zUZgp8CyNmDRx9UeAC3sjOGM21aLDBmWql+f9UX6m1fFZMz+ckm
iVEDNakHcMp3BOrS3TKACJcHtbWSZXZTYYc3wqxX2jSFTryjbeHlulNn6gEK/Pcmidd20C2bBlNx
QbmpeUmztIL8J/olwPAKZmf51PclMnsZdVk2eZvUhq6MYe3lFDW3lgEkp8gviH/Xw5iXrl7DPzbb
cu95Zeeaar4WMtzbKL1XJyVyxlmtghb1UW2kyJHJoHHGoFm3NKeHXGUhyMMhKEAyel9cd5gyxF2a
0xbyf/he/tiOyDb8cj/GskJzTSjQ6Cs3UuRdWIyPDScshorqHgjxqEaR+qJHolk3rc9tvNMvtKEu
FykzY5BU9A5DmS/UBk+DvoVJ3YI0rHU/3fUp+qCMZvPOq+R7KkU83ILwArb3TLPU9tYkLZUE6l/a
BVdxbN4XakqeeWBfk6IQOWXcX5ktyoc6Cm9tH3Jhlo03UlLdovViTQkP4mjiP+ZB6i1ZiNdodrdh
k7k+12A8VqO9HVdXdeTpi9Lik6FdwtpArY8K4g0nbIZ4YehhdinHaeB6eMFvQOce4zBYFXV2Wefx
PiN3bRztDX2qVSiH68ao3XDE0VExF60YnkYZ/KG2jEWpMpOm7kLyxr0R5IskMgJnUGKKqqoPwDVw
HY7FkLiG199MqvJd6eRVV/t3aWisS5OQudqTUZBQ9K2nSr8TuKs7ZlRc1B1E+cTPXrQ22sI+v4X7
z5spwgjgpvgm6ulG8sWNQSBVDsKm4yruaEI+lmVzK3Jdcvm7tGtTCp9+yLdJ0B+yNtqFBn2pvqOf
YI4qAdQIXbh6aK5PoNtYpa8D8RlOkkvXougqh8QaXJRI6kxmHm/h9Qsa+jUTNz3UMRTYdnhVRnvL
In0uhsBfKG38Pe+iq1LTbmqvPqimss5oi0TFUyonG0Nuof3UiIoaX9zSjtxlOXeeNoex30N834yF
mdzqaS1udTFIbjcZw8r2BxNYtlHru9KMrJ02+JikFvaFF/C1aNN10sKrxm8NDJullREpwYZh2ssq
Cyiv+xSnC0zED4WWV6439rSAbc9H3iKb/BjJqmhYynq9NaswvO3J/tiGih08ZYEk3Sf+APua2OQ9
Id2RO3VjclVoWbDnhtUf/LnrB6WUhhxc4lxN8PhsbyMt33ZT4uCWT2fB9mWniYolzt2gTHFKmZWg
AohTIimSAlhKBbTdWm13ICggpTtH63QQsAM5xdd5OSPgQpcBZ5NomRZZcpQ0frXmSRoKyTrgLjW8
TRCGRa3o7lAn/UXkp94iLCZsUZvwpreMq4kGDkGkhiOPyZ1qFt8IL74vNf8+ih2uUH5BXkwrpz23
iOEY6fXoIts4KNbWisxHbDluaOcpknphdoLchGUTpwuQMReLcG8Z5d+KYKdpNHgTNxruNJjlIoy+
+0O3Klua6741S4P8LnQq7FE7KVkY3vXIzdfmBge+TkJ64dHKp3V8LQ/NNvRMFCXoomPz1aovM0g9
vSQ5zfDaGVLv1n22CkXq9L13qXSx23qtW3rFgdjGbyVexErVHRvc8iJTXQUD5P+kghxrlgvo5U6n
4J111FPaqOLn1JWL1rgI0PRl8lOYdk4gPdHExjmeCL3Cuvala7aGY9rKdxkslkjXlpnioyeEP15r
bh0sZO17PypuALLvKd2VAVwa1a3bEGoyn0UFRIEgn+5UlTboVLVO2XUaoKXYSyVfx8cNmpuHn1WO
Yoe7qoMhncMN48AjqOlY2A/99K33qcLx8uz1y0G9tRPraOXBd5mT05K4qEyTtM2j7/SZ6Buux+Kb
2hBEU+ibQp2b4yD1BYooVKfpVSOi46jQd5RhbiNvog9/zAz5ucYvKhqljdYqKE3EjcrToPO80Ya9
yGixD5O+Ix1uE2bxXgYIdXDeX6JB3ZtptQnZ/YelNcE0gLsU48k2DDcqMpKEG0Ku9tsi+C5N4YrF
8WByYTYNzSm8A4YWhr8cQo2m160HdbkWqBN1uBXwEzgcXKXsV5P8DUqEKSsETV5m0AUm+n7y3aDe
S1jsDT+S4rEbt0F7EQbPIlsF4sIvH/VwJXCCnrYNHa60okqs3L7/Ifx7zdPd6LpINoNyiZolmjYR
ycHZnYceMESxZYJGAPNI2gKyDu2V14LtE4TZCd9mcxxbeavoJhSbVl4l/rWirnN54U831ABGfkzs
Rx9P+Yo22pvQ2ZR+FkPrINuxOa797yIBADVBZq5Yhmsqom3WPARmTcxOsGVO1MZ2HC+SCOtg/7HK
1KU1XJtookWdH1o7Q0nR645ugg3ow7Kq5VlV6YZev56kejn2Rw59t08Fq1DAclehg6K5WVKwvhIi
ilQ15Bv1BY2KCvebcZGl1kbTw+5n0IyHFi4/UESfL4ze7J0uzJZlwdSf2Pm90gJ0N7fIYyjz2nKj
Jti1Q/qbv/Ux8H0eK0w2ost9aqcY2xy1pf/XFc+1bRwtLU8XSW3fjaF010TtTSbX21jPtqHPkGRi
/Qw0Xkoc6quqpxOX696yD7ILQfcTIz/SHAbLf67Cql016lg78JqXXikfUjP3EOxlt3R16ln7hCan
fEHIjCZYpVrWwnFXC9FdTp3M0SAht/y/dVFd/8iPr+mP+n8B3fnPK6cqc33851fVIx21v90F7Wv2
2X311z/+874KURlqnorVOCxmcq7/uq/afxh4xdo2xOOZwAy77n/uq4r6h/KLkgxXgaY9DMJ/3FcV
rrLY59sCqpxNd47E3H+B93zKubRmujMDmLqKSuO322pZWa3Um0W5naz1fDSL+JBDykiav/Pi4bd/
zq+eGanvb8XzOJatgqHLCgy/Xwj3Oz6u3cBbamPGyapgZUWQHBQ1OAZ1NF9o7EMwlhUSK8RH777J
J0xomri/DUycB+8WEwUgdPv0Om4ZqQ0BV0q3pVWQ0ZZBB0wA7/wei0CaadMh7EzZKWLtCoDoR9o3
DVWM5maSAc+q1C7iMX42zekQNZAGvdLfB/MSLWd3BTOEAqHq6cGgE0uUzSJPI21TDjl215GuurBY
BDh9KTZqjJivDWPb9eZKyo+y4ahMUn9jVWi1/TTJtp40Nasmmu5h1AWbMlEUt2AT25Zyo68yL7+L
9ULd6NQU9NpTdgpkPeyv5NW7/qAuYd0sFAGnZXYD6Hw0SkoN76Tzyu/4bPGXdf97kw8FCrVy3DTC
/EbLDRc2aGukz9PJt+RuXGpaba7legTXG2yE5NlACS8dbCkKnJQCMlJyjXrevsjpOYBBdlup09dF
YN0mPYeGXnkXelMUm97jXWdScN9LMtdaIzr0IRq3IUTPPmRWeJGYXenEVnadyWm9GOTwphn0xk2S
/rX2i2+aHOBKV1jSquWG1xAduQqmAiP1pFuNWJoTFpReVhX4MLgIuik/hC5ItEbEWd/aW7sdqNab
Qz+V07aEFua2bQg5gAzw2JlA0LnahIS5lJa+D9TSX5nqUFwaoa6uJnqLjupp10MRbRXMRPEle479
yluVdlMCdphvg42AmKAYMHIR7C0d6LSD45f36ibIUt6PHjyquKrAOirhNFKg+ZGVL+2ivPX1/DWL
SCCPPYw5UIxTMIlMdzqw67WSzC5r3PwHKXltg1i5CIriyYQBRhnaLCav2MtacJWIYtiHkg1B00Rk
SBp2iJhY3vJFfEcO6IJkVbSM0buXdvtj6ihC7JYwlcG0F1nmXSOXe2O1XGFdeGUMM1e1y1zutgdV
ycN1L0Hfc8RYPmk6JBA1LddZAVKrT9OmjJGAjnlguz53TWcwPGMv7MmnRWL99JLoxmppW8LhXXGv
2kVRX8ICgoSD3Zq8LOkICZkEFLMStEjCtaKQ402XNnms4uBoFdWh17zros9u06aga0HshTNp0c9J
Uyoa1CDrpW3COZMg6GadHi1SVZWWdlDTxfeqde914WqKMvNgjaykKqhwtxP+z6FL6JB5o7WkRjAX
JEPleDvp95aBe68nl7vQj/TrTsThgnUYLLRSlnFILpR1qxVPyHwuC4UU1pFriDwCRlXRGLj07W9p
likuNlumG2WvdbKoNb0/KnSIEDzWR27tGO5PdTkbKnardO5gGUk2QRMDHWsoTWmzEOvVWHK0nSQl
X0kNjMZ0jJ8aO1eeWoKQXT30HmiXXOkCU28tql8sQZGWmkbntmoOMqKXwcrPZZn6F8qhJLfWwrJC
xaEgGZmd2Z1UdcFTN1tgFOgJH3O8EuhXxBlENGX0a8KqdYy3VQVsALyleciy7DnU6h0NwE05oWjj
hh5csYN47FLYgbhRXrWEn3EHaIT9Jnl+uNMaGAUONgw9YMLYPiB3/RlIE1qENkrdsjI1QPn+tqiK
K0kgLsmH5KBp8z+xtbtWAMvnLdVUH+Qro8OIksveIjOgiappYu37QcOCoOxubYsLZj/Wk/v1EfGR
fG7xzz4eECe9VSARH1hoPpnMEXKnBZtrvn9Pq3+9Vrr73yX5skHW/3kBtHn92zp8zfz35c/fpWLz
v/uz9jH+mB25LVy2wOuFSRnzZ18dzZdGYvSvzjlem5zbf2L12h8EtJEMoOIQrKEg/av2UeeyyOQw
RylgWTh36f9J7aPMUjTKEmtuGcgmf+yDaic1fJEMgZLsijqQ8S7pfBhllzZEwKqzbt+9m08KkdMy
5HSseRa+q38aNbIVCQLjLrnrx6WKzcXk2n+fYv+0xpp/7181lo0DyqyiU1XaLLolw1L/OIalNXru
NUT4yYa/Te1mGUU/v34KnYr0yyFOF4sJH6j0CGTLp02VZdYLQmg3aSK8u4d4TTotsiC9q9ygI3xB
Efqu7zhntclz8fEA8R8CFnQM5QWKq1tOw08jxwI/NJcUKyBi+NWGJMw7eZ1dTHGx6Khc+mHcxngr
mXq+r0aLm1kwXvrltNB8HbivzW68XDx0rb+OE+NABLiP14C0wZD8yorzA2DxMgKq+/pFfCRk/P6q
5//+7nMWQWeOY817SL1qK8Ev8zT9RxSYO9+4leDpn9mjTqrYv48364hMulqqJrST8bJOVqdC4tPW
FYZhtWceeh5Y4sEtWdv74LhMWZAbXsvkTZdZKPUo/rJ9wouLm2pvqCbMiuxCRZZ+PQn5XJLjx030
9983T/9370NS1NbXVdIw4mbY2hpEUS1yh1hsvn7t54ZhZ3g/zKjmsHF9dPF6/L2tv+swD5PqbJDN
Z+vo3cs+dZscMhnZvMTDRE99ju9Av+ruq3vpWRXPydo/s2iVWaN1umpNjYsROZ/kOJ4aICZKUJUp
phY7w0SoDFwUB0CUU6rRXhjbVdj3m9iS8w0aGJr442ucWeuv3+p8z/zqJxgnomwTajkxIfyEZl6F
E8uxafJVxfKceqLnRNy7SJ/yTcRvMXXcHOpRjbaiNoMzv2TePr54F8aJno2tzRiZrgSC9th4xPVl
/pSpGg3F8Mx19NOJ9NdLN+Y38m6+joXk13LHQCB8i0a6CHG4a8982XlN/vYw6JxhiRk6HIuT7XjK
tBgmSkmkI043iNEdwv2mYq0O0KLPrItP39u7oeb//u5xMCfAVL1iqHpq0fnQta3doBcX0vevZ8qn
K+PdOCfbkI8kx9B8xgkPyfpcqPpvRpTz+cX0+ccLO9lE4IZ44UhZvavTfeW90eU+JGZx8MfmR6JC
kjGl2RxPc0vlzGPNf/irL3WyrcDuitJinnayJGxXz8jSg9lHm0P5YYxaslYm/zKx9XO7+pm3eap3
hXhLFJ3H86bmFd2sTPLPnFKfLWwx+0/j9A1UpKknD6aS24dQZ15PaFiM2xKPUSm4nPaGG/X1Qxk/
fz09PvuC78fTTjaSv74ggIiq78Z8nVrCsTw8WES3ylF8Z5Z6oej5maX2yZtkXMxcWWUAY6cZHVOe
eWTB8Jw63RtceyqRLb5+tHMjnMzNybPhxwmiYZsLOBWSdcZi5PcFTKYNTikEEiqySjn8cQH3eR2C
GIt818Jfk0j/4MLv25krCeVMnMnvD/JxpPm/v9sqtCRXoDsxUkVttI/kM7r73zc9/rylsuexElX7
1Jc8T+K6hQWU73Irfpwq69KTmz2Nw7eJdEwz0bf/6mf5ONzJPq6Okl4QxZ3v2L4xykqWVvjt6xE+
OZ8/DnHyaWJNTbDUsfPdZF3Hkr6Er+aY4dEJy24JtbCSweOqMwv39+NpHhPqMLCxBd33dN2GalgI
gjN2E4rmavhheN8UYzxz2H5SVH4YxTpZrW0YhAQkyPkOUwa8B40YJVakPEbNgPIzrm0wgyC9RLQg
IM5Z8a4Y5Nu05z9Kvd5s4dk+taQ86kZ6kOLhqtLNeyNJz/3I+fV+3Js//siTkiBNc92SBK9C0Ges
HnzvaEbbDv9eH12wMlOgrgz5hdvU15/983n8jy9w6l4kwXoERFFZJgn0VfxwMbV1UrW6SI0b1b77
erD5c371jCdTrB3STnjelBMeMjrxcB/WD11Wu7W+UppsXRn5AY345ddjnpli1sk+0FR6ButCYaF6
y+DOsh+FfGZTPjfCSf2jYJQEdYLpBdq4kbEvb7Eok+6/foxPN06iq/Ftt3RSuU4GGZAO5jhZFruh
8WnwdWW2s4okcvVBinbkICj/zrzArtzGtAb2j3X6qbRWS7o8K3ayTOhXlpkkauqPou32GVnXaH/q
7sxe8HtxwgJ4N+LJh6oHuzfUjBGpP/rL8fHr9/fpPBf4oaoCsEWWT3aaZBSJ0uC/vlPKwbEhpHTF
md//6TT4a4RfNcO7Aye3JjMsWkbQ6GbaSIjwyzPOfJX5Hfy2gN6NcbJJ8Al8nSKg2BXk1DZxe2FQ
R/6Hz6F+PDhDKpfKMtNi5w/yYpg1b61xM5L/+fUH+XWVP30Wst3o+glag/BRP44T5ApU1ZFnGWhF
V4md0tyGNpb72USfILmPzKbYxwlnjhUjqezz8C0LsoPXiO9hryRLlHvbSWjJDVrp0mkaAccgDTzQ
1KEFrpfWlVLe1r1twxhC4WElipPEcM0mtISuV1TwTMIUtzore6qs6SoyOhh+WHEf7DC/gc/Y5fVa
kZyKi9PXT/7ZVHz/4CcTPZbS2JNAYrmFdjeT6JRl3sESz/uXzMPRwo7/5TugYb8f72TraDUcbjNt
ftHW20A20lxvaVN8xjlHm+fFV99z3sHezf96SruSXjIrbMQ0Uy4rGntFTEk+bxV11ME7i5MHLEyW
sGx6Z9Cam5JnzXnmxhhfMDrQHWXKcJylOZFhtVtqa8s2CydDFLrI1Qnzl/yuDE1jdm/7JifgBLVv
XuuJfKn3arYcknHRzjm1MU01LwyaMzXYp98NzBHjI1O2aRZ8fMBUT5vGg2+4Q2K0N+GaJQYqyXRd
FLrrm8t/Y5KA2lIXafrs/vVxME7iypzGnI9mCNeCGgWtqUevIc59t8/OZBOjaJlqFU65PT/1u882
WRo07LYrd/qYv7E939bQK/sqezW64CUx+yujmPZt6PdntrLPtvv3455cNLhlhokFxWQnhw1yazd4
ab+Vj9ZdEJ1Zbr/Mtk4npimbcN/nmyHl+scn1ESIu0LMExbGeDWLM3pRoMOG1FvSIk5DUdIexn+3
EQZ9wT7G3gRW0dQ1qPyLpyrIyiV8QVgsNgKt5jghWgmyeq1V4zKevNUkJA9L5Hzpa9ZbmmkXXmS6
wO1oa703eMj7MfdmWfBult8i8IA5wxOTG33maqV+Nj/fP+fJvlIEWNEP5lDuugbv2cLChTdUtWeI
gqC3erJESFreDIaCLLfe1FoYrQbc6Vmayg43g9soS9KlQu0ywVpE657fjl76XKcBxv8Gvt6jJx/G
xuQva/WFPYXWtjWM0il4h978Mr+e/ygHf99OTAVKA/+DVPF0tSl9quCrqZa7oLa1Bdo6iGcezrxG
LOO5mj57/EC6Z6pbUEGWoXEhqnFTWXfE8F7ZnfZmypl0PZoY9Ksy8qB4H5neucyL+Y3+NrPe/caT
o5KQuSweIn5jVmCslSmwJf+dVaIQvwylQzbs022AcNBQwhSg3MEi9med0YFG6ouPSwFiwqc0wO9N
ks9Fi39WyVDyqYaB5yCsmZONLsmjUNdL8lRf5OQKkkeuntnctE9f3LsRTl7c0ChxNHpBubO80Sl1
EH7blld9EL6FpY5ZpsiThRnHEmEQYkXr1rhohYlvS1farmb5WCJLS9rNEJTLO6/Bcpwl15OWa9sP
fuO9hZoULeJarPBi8R1TlbZRhT+gmXq7sa8sd5R9y8XbiawHS/5mYKK3CiJ/E57N6P50Er97zpOt
x4KtElWZz9aD/2w1GQWk2BHVVu+UJD2HGSzZshwOstZsvl4+517wyV6QNgMwTswnvFz+h3/5pJrI
NMJb1ZG/vNBd7cxs//RX06EUdMxoV57CeIUEwYWOPK8LTefU35v14uvX8unM/muAU9wOU6jey/Kk
3Kk67Igu2g6a2JLacGaYM88xa6nfn6myXLep4kflLi+P6ezl/J+9p1+l2Lsz2+/SFJVwWu7i4BHW
leVvv35Nn/5+EusFOlBFhbX38fdjENfq1VSVO1GlmyGKF374+vUIn11nOZD/McL8C949wRgqlZlM
Wbkz9J9VC6GypZ0ZNgdhnnlV5wY6ma7qKIygIl9jF16Xw3W7hREiDWewwE9nlWVotC2Jb/4trHvM
8XlQagya/PZF8o1FFI2rsjiz7j493d8NcvLGTE3VOJtqrsf1gywMR+zFQx6cm7mfj2JbAita/CJP
c7+9QpUrv+mKHak+t1P1GMZ7j4tTd+6zfDrDKDb/HOfkAMimOqr9lnGmfer2j19PrnMPcTJ9LfRF
ql7yx8Uq3C+H9bkc8HN//+RTxLEwYiVqix0O7AmnBlobJD9v54Y5944+Tt2vX8mnB9G7931yORNd
ldUQU4ud4R9xSa6uzAyRXLDOfnw9zudL4a/vOr+6d+s67+oK5UjD3TZcSKTevJxZBZ/+fVrI4AYy
Mu3TXqMhlV0Y632xswlVaK8mdR9W668f4dPX/m6Ik1dFFEhAUDOzp+qt73Vp3HGAnyluP51A74Y4
eUtxn8eqnQwFm1KPbn0o1k13F5VPUrj4+lk+BfVpthtYdMz069O7j2enQajaKt5xRYfkYqwei9pG
vNcb3/1URBv8ujbp6Gt3GPjmS6Fdar15d+Y3zMvttypZzLUknZ/Z9/TjnBAegGaa882stHcC46eq
XYRii78VFu/ZOVLDpxPk3WAnG4ufyATCQo7ZjdB8U5+olDxeSRAbv36oT48VIdBREy2LF8C83t7N
83GkbxFnI++12mnRarbIzw9cBL4e5dOp+NcovzVOtYwrBu4TO3kwNwlE7bZPz8yQc0OcfJxaxUSs
lXgQBF793VCeeU+fTkASD+nyEN6Lr8vJVA86P7El2St2dFtstyGwT/k/pH1Zb6RI0/Uf+pAg2W9Z
asFrtZe2fYPabTdbApns8OvfQ+ubMZWNCvU80tyMPFNBREZGbifOwWY3tdkjINt7niR3fYX2Iorj
MfKiSsD7cDmGa3Nt+QHW+UgRwkz00OIDxpA7emKhKc6hU4a2cAVoYHUjnL+3qGKyL80JiaFMU86g
LYN4pgDg5lmjPs4a2BoZQSpJ/KHrdi2tIb4WMmB6kgj0KkxK97jeTzwcx59YPlzL/bCPWPoEAY8X
s+tvSGmC0QY0sCA5B98UOaRp/coYzu4xt4Ftn9LvTMuuwNIIslZ14/1kLdMXDhnC4xnX0cvKQfkS
JB1kGaWhPNQ4wkgVGFnRGby/PFhrs9cEszEOvKjxuLA5HyywyfZmbSB69ewLh1MGWhpAhMc2XofX
DZmAUysq9rgizgzEc1kWjgqWcKhSOQkiaKs66CSVLaTPqiHc4uG5Xtd1WDr3qKYg8UMWNIFJ5j5v
Aw101YBLyrDin5djtz7VFqbmqb6oSVqfNFkRA7TCYjRGAu7/0vQcxEWwVM8mR529RAkfn1tGXwso
dzllNG1d6/0Gk/4xARZfMQdk8RWJBFKKETelgQIYNlR1BtAaJWGie0Cqfx+qCnhGNCPqM2oi4U81
+oZZKt/bXe8nmfJwOSSrcx8P9Lg/BfjVEptxiooWVhgCzMANyKA+QnEL8n2SOwJwn26UmdVxBmB3
fpyDFrq4yLGe5GgNgts6xQWidkzS26EtXi/7s2WEnMe2jiYzrFQYUa0MWRsmgZylu7RXuHvZ0Nqq
MPcS/eONkLVFlY9yPXtT4RWLWKcp2ZjoK4gd3VpaEJI1NbrIMH8PDUa/QRZMyAZs2wMowY07hlcj
aFRijxql+iulirYvlDYKeqgb/QdXrRmCjdYwBXkrFGwOIbMUYsVNYDugk9z9fRwXPy7eN0SAGtQS
2oIDFVTCvADzqtJsJN7aUC1NCCVTkSyttguYUGQvtkA0tRGftfq//H0h5yBKR+J2/v0I9IIq36vw
QAVPr97mG5bWstsC+ZsxF0vwtQmVIx2VDJ3zgIlNAERX+xFt0VjiLg/IujdfNua/L6pTrodjh0IM
yCtUT/2C83dq8l82AdEBqN22isKqNeD78WwClXq8cp5bizK56IBnboIY+loeyIZ/yeFzZdLmisdb
tW618FoLY0Iiy8YApv051+JhBO9a8Y7S98hkxcmBuAAfbgRBMPmoopvbncJnu+hODHwp6AFrk70a
p8f/EOivr7GEbUPRGzoBTSyA0gb91tvqXgaFbE/KO63c2ovPjokrzsJx8c4ijnQ9MesOeQNqUpdx
/cGUFAc4CQ+Lb4nWQXAGZuy6Y8VGMv1evEXLs5iODjjnTFcolEm1b0f0JmN8B3hW4s0T5IIpKEl8
0OK9YMMG9v0BHXNxC/nBNvrWmBAoK5PmKpbohz60eNK7HPTVqgp4A0gc8TVgZRSmUAjtVQP7aUSd
yf2D1Bn3McuuR+qnEXB2tr3nJT3qDFSwapSAgxePsrjOrTYm8lrao2sXL6XgokIzsBAWdIPJuMgF
SjFn++6b+VzfpxsHoy0LwuqRhXiCjW1MY7D2x1cVuJrxoDxsRHOtHi3dEIKpTSlpQBqBykqvewtE
KKCB2NiGru3ZbIWARGvu2dX+OJ8Dl2RPPTRnA5upAeSe33plwEbFGkBDQEu0junx5DXo1+zUofc6
A91i4F7fmKtreXz2FUI4tSmnfdYij9H3NwLOSHfNuBurzAExOraJ1z0Iginhvn85XVcCfGZWCHBI
x6SBukUTQMMUHLGPubVxW7QZXqHcT5ZRtKOJ8Ma7EidMtm8V77mnXgZul/zbZW9Wo4h9hIIrDk2e
Mbrn1Z6gLYnKGoeIo16/6hoov+2+vVZSVAGL7EO0rsZyf5NKFXMtG1zuSm66xghlDjOtNkZ0LbKL
T/kD8cgKqAvrTR1MOTq2M4Jed7qXNibhlhFh5yF1lakyjGAATrw7Ajc7BSTY0G65HFdzpb7P7SL/
xFWEKMadDQEc1tbYWlfc5Xr0Ns6QIejRAKMwgau7am9rObUdqHj4U4cnealKfmUqqPLbsn5LZGa4
rQ06DAAM1fvU6qS93Xd4M6Y22OfIZzrTsFIyQK+gA5WO3IJKJ05qxW0GLIsQpp/utCiy7tFbnbqy
nev3dkTGvTWpxwrLeC5HBD1gYGVRcH1xTFDsM53cGiSafDJXWHmutX1KntJuuC2rew6SK7efp3I/
T+oWs1vuD+jSuJpagNPSed6bgOKjBbctbvS0gYpz1vhF2J9KUALtJJk9Rkz9UTDwRI9G9a7m/Fdq
G4d4gmDzFGu1Y2oq3/UNsUHxkx7NCiVlbpdNagu0mgrOP4oCQea66Uofne6Q1e1vqqEBedWGrNLq
BCQzI4IKxAwWhPmEtthv6Twv8cAPFFAljadYYo2vwZ9BBektj2t5b4OtwDUplDQKFdxtphHf1Kze
mJmribr4CGEbFvYAlslagk1fneyhz3PTljmC9nA5T1etmIAFAZyJt3Nt/vvC1S7WuxB6C3CVvfbZ
sX6rpHRjYV03YYDcTAZ83hb3G1hWZZ01MS4TyscyAo0QaPDBuXjZj9XpZn4ZERaD1MxnZRREq00f
qum2m3ZadlTqHTpGkgQQObrh1MohHbt9IDIBpAB1prh9g/CkTHowS0DV1Kf3UfVhJTeWZrga8S47
thq9hSFyPkC5HU/9qE11oCT+oB/VwZmGjfV8ZV9y5ouw82Esz2VQI9dB1iY71iXfa5I/SSmExIFz
uOzNPAzC3vPMlDBMxIgVQH/hzZRdg3fJru4v//56tEDuOU8c7G+F1Uy38tqENBiq+9WQg5iP7CrK
NkZkfej/tSH245UMWE8rgo1hmlWkOHgzoUQGkER3gwJ/2Z+Vnh1cy+AJ5P87JPbcRYAFyOHsEJGe
K8BCSiQAKZy491VpY9+xETux667v+gEdnAR+Sejg3XUnfXy67M1csv4YfTSTq7i3kAmehc9z2Yig
PVpUVg1RDLAwgdfYl3vNBxrYU/S6hv4HiERGzNjLVldzbmFVyDmVTEkFfHAdWGqyB4egnWYbkVsr
PiihKnjgbbyl20KpjtEWyce6rIPeehhUDQ1IkBfX1CdQNB6jIcTjQehyI/Ev+7W6TC3NCskOMh+p
hyJTHUQgk/SyN/N7fQLHWfEKfRZbera2gGNrdeLLHngZzoePReDIYb/ddJsDdfytW+e1ibX8fWFr
Zo41GLqw+QmqEBDjEqAHc95oZlVXu+C4hS7kRmasZfzSoFBbw3wAiVcBgwN7LPLGLVO/07fAcJeT
Aw3f51GzcWFPlZ6hgFsSdyK7fC8NeV9UIHJpCpB+gaP7Fe8kRy1tk41qu+qfqvymTyCaJT5MNICf
gZOkqAMK9Cdvv5l9vN++AVtNi4UVIYoFtsEUl211YLQgg8/cTAEvfOyZH5fTfTWOCzNCHENiQmLA
gJmMKt+GLHo3bf6Yc+M0EvmqG+t3Dta+yt68nZizWixaIAj7N4hC+WAUyscRlB1Ae3iqQQ5jdo9D
alwRKzpm3e+JrXEwuoHHFgysG8vZavlfGp9HeLE9ozFoSiE4iNhycoWWoFM0WG9kkhgeBHdqcpK7
yR+77AnsE/Z/mRwLv4VT6DBJiQ4NiDrgNXgkCnDaNW7Shhspulaclw4KW23WgdXVlmGlfcqe4q13
9a3UFApz0UC+OponuA5+Kx4lDzYZjh0nTgYk34Yna4sb1mmiGRrezP7o1dEUtbI7vHEGCjjU2lB3
AQz1CyzXVX1vjsopVzaSY3V2fxn8nTuL3ABBqB5C5KwOcKUGFd7IifMHOX+5POtWa/LCiFCToT9S
4WYM2T/FbyFkgDLeeV19C4Zpl2e2d9nYajLoumERsNGAW0ZIBk2KwftY2VWQTJ1LCEQhAaK+bGJ9
0VzYEFIilVQrZRYIZe3O/KAtOLLB5B7DnmT/aK1biFJDt8X2xp5eD0P3n5bQhXVhyQ4lqVQ4nsNw
69tfRenk06jzwKp1sNnzZUfXs+PfWIpX2SrpeIz1rQp0u8SRfsQlRxS7xsS3YNFbhoQMMaDWNsU0
qoNOJ4eE9XtNrQ5Nou0v+7NeCkFXpODWHBo84km1krUO5MzxXIcjfh/bYG2di24Fmi13pOkLZBvv
gOTaWaWh+3W/tYyvlpKFeaEcxny+a7SkKlDUGM+y1c+MT66ktP40guj3sq9rpQTXDnPXH7oLZXHd
5npmWLGMC3GdAgnk9M/1j8F4Sb5ftrLm0dKKsG5DdbKgrQkr3Yt9Nz7Lfm5vjBmZf0JcO5cmhDUb
hL2SDeUy3Hj7hl/tpKs2KF6MwQ/fphcwDxEnrJz0PqmdN05iiPMdjIfLPv65aQBVzNyMBNEH0/jj
dQ4aDpx0LUQVsAN6HSC2i+oMpteuDFJZY17W6gc2dVeZtfXK8vvp/Nz1c8tCvqhJbkSjrVRoFih2
Ha4SsNtj3+uwoS4ukgZMegj86ino2cEeOZoJ6N95bkA010ggLAGqTSOJ71s5OmQNxBBaMtyGphEA
XONmkGlOUnDCXQ7Vn/MYHwwySahzWIpORPi0lUXWLOBaBa1afhKwkGdQOnQLmvmX7axM5HND8yqw
WLdGbmemyVCBLalzwWXo6c3wmaMSQ1z6g0BLUAcPMY1P9dZF1J/Ly7nhOQJLw31itq2sVQHXZFw9
gIe43GpM3wqiMOoKuC1VOYFvOZ/1JzNXaRIIBqgbE2vdDFiYoV6GtgPx0n6CfHHdSEhryzAOeZm+
ou3oJEPX7z8N1b92xBv5zKp7no1I4pQV+46NeNT5NKD3mkU7KQw9C9TmccE8xdyiWPizNs1D9WVY
XFR4CybLTq6CsJVfKBI+R+JDPXQXhVtFaiOWf1zUpzzJyho+zoekJAX8rX+wgHq6HMrV3APKHmBS
xQaIVqyEjZLaZtoDd1kOnz0rX6bqr7eDCNnCgjCtlKphMYdAeBA3LwzJnX52/V+/nZybECYQqGE1
mrUDdi+JUnrhQH/KIwHvbr41/Ct9dOeWhHlk2GOp9Q2cKfXyqe9i+aRQcOjrEE4IIrAu5NCQ7FAT
6Vwc0WR2MDLpTp7Lpt5AqJQWuIQJuxL6UKFT9e0niE+oE+Xy4fKorqbpIubmeUUBsCnsoUSP6W6U
900EgfZROZhx+g5RtA1Ta2mKM6hGLJOQP6kUyqEiEm849nN5HUGjk94SM79XoT60YWjNp6UhIfRQ
TAc7f8+wcEEpDc9Vx/QZYALQtcsbrZ9bHgnBi1kFl7oKCRveQeNImu6g8XZ5fLZMzButRcWfJBNQ
1qGugkEzwAEPbA4URYp66xC7tstYhkzY1SeFapYQU4bOX2pEbjTNkoTaU/ciF9CvbpSfRqoPvpb9
+C/OqZahGbZhYJNz7lwHDUGS0hzxK0050JTpDpTXuDPTwEF42dIcJnEvA67Pfy0JpWXKDADaorgK
SBo/Vui8jUBgWI9ddT3FVr8rVMjjQYBxa71eH70vs/PfF6NnqiZN0UqK0VOj/IAbsx91nFdgt+43
/FsZP7A6EfX3axvau4VIFmozQdnPLoCZgEhnxaRjoQy7ivwkPTm2cvqt1CFKBOz/5bCurAkwq6NF
FqKmoGAVFrmkAs4pL6MyCHvgFRJ0XDtdJf19ZwigaQsr5DyKmgRCUKWIy4Am+QFNsm5NwtNlR1YG
6syEED+tDxNtjGEiG/zmbiKjI6VbTSFbwRJyUIplJdEUBEuqbmYKaUOeNjZVK1cD55ES8q2LwLRY
yXAjrVWQoWTGPrIhHwOK+qemqN9Asw4ZmDBSHXPoruJBCVpw0f+nnJi1+H6zS4k7OymEoHqmmkVA
xxH07Tg6lMX7348WWHpNWUdDEtQFhLSzMoxVIikFrtnlm3Bqrlj3FKsbW8e14VoaEbJOxtZRogmM
dBnFBnh0i7zcMLGWdQaI86A5ZuJ6UwxVVOkFKNpnEzrISJJ03zfxsSn+nlsOtXWeouhIAgOceCkF
uaYBvSZDERgmJG8d/fHyaKwst/h5bOKhGaFB41hIOlkb9EI32yIYxsqRRpDEgylJArot0z4vWxJ0
imca2NmTL1PCyq7nUY/Xla4IRtB/QEa48VULjEKHsbymyl5VvRrLPP4B0K7wBu52lpsfFX0jw9eG
bfkV4rKvxbTSjaaA3Ou1cqiJa5r+ZUfXcm9pQVj1jaZLdEmtiyCfXPWaTRs/P3+gsBqehVFY7Uf0
vodlAQcm4hjxy8QOWeRZ9Y1q7P4nP8SH5pCgdyWVYSgyvHLYF/zp8u9vjIT4tsxl3KcloKQOlIPN
97XlZH/Px3WWceKTcpKA2KOdLfBv+RFwvMn2AFeutnD5K/uT5YiI78pyJlGg9jGHwl8muwvvCsuD
CMTlYG2Mui6sP6rWpX0awcbkKQYoVPYqGtz6+8b8+2McSAUhKG5BwOnPg2KkkLqL874I+l9D7qqQ
PQw31rnV6bGwIHhCq9KoJoYywJhff9/cTK0WtMXPz1m32LWFtDK1ClDQwP6ZFm5ROBDyYsfLg7EC
GUZiLYwIpWzK0eEoFfCh7X2m3MrarfJDM/b2uJeTjVm4mlwLU0K90tIcEGoLpuopsHrfDtoPPBWj
t/zvu5DPfRLKFkhFIJAGuY8AUhh4pAq9fFZqK6WN4V+7fzuLnVC/QJkYx6EOO2TwuHbVQx9Dhfpi
5uo/CMReH+nL5cFanTlfASTyeUIMFrTpdIaESEvdwZuiSyGQo2rjTQdRw7baAkBvmRO2N7zBS1yY
wlwNiVU8rsAvvicjJHI2EmNlHoGST8OtsjFv3kXAeMyIllloUcepyKn25K9BWThRLn5dmKV2RuuQ
awzFX36Lwf9WXiXhfosYfmWunhkR5mo7DUMoV3ChZRAS9SOJOkOwRQu/MoHOjAhzVVeMEbqQMBKj
fTbyczAvPZHUjyLfmLYGf6Wf5Dxswmwlch7rOYjAAg2PJl3tM83v7XtDbx2vlXvHbD8qBVI1h820
W1lMz7wUZi8HtF+BRFcR3MjlrcXBhupdnkZb6SZMW4nrnd4N8Kx2ylP1dvnHVybN4uuJCO0peZyS
jvIi0K9D6jTyfa66lnTTPF02cznfiHj00AzJbEMNZtQXKNZqJ2PY8a3LmMvphi37ebmxgASNChtx
UsKrEvpl9D7Nnbq96qKg3nrzXx90C70QBvqkdJFzKq8oNHsI9jdF5HOwLiY7deu5ZN2dLxOCO1gD
QGqjwwQUeqdb7RXX7UbpQmK837ztX8+wL1PCMV6yklAHDQYybHT2eun1b7ntdvZRyZ525XWTAHmI
iZPty9q9nBYrXMfzrP2yLBS7LiFVnrSw3L5BJ6PSrm3rnUNJ41RH7n4A9xwQKD8osOfSsN8wPTsl
7ObPTAslUJcTvR9szFsT/dv5TxlayQOgG5+J9sTUXaj96NnB3LK6lTdCSRygw41eM/hLIeYnQXjF
30JLbVkQ6iDo/6B9mcFCZH6HQuW0l8huI3LzQnopckLFYzIj9gSwfwDuPtUv3440qMN9u5UcW1kp
1L1WqqQafb2IVetnH1zZOI6uV75/U0984jLbMWSyhEDZt5nlJ8H0NKu0/P2mfplkprAnkSOVqiSH
EfUAebLj34PRMX3ASTuTD1jAHgk5jGefwpSmogiyXgHjoJoeraJ4MPKco4knivcJYafLg7+aXguL
QgKr6GPDgwzF3kc+Qfdcs35c/v3VQQfwSwOXMwHXwXkpuvxbq4vO4reE4mJHdk5Zm+BbqS8dosZy
etnRu42IbH2xMAYMwOApVuw8mPCUyLUSenXcu+zIlgkh6FyvtRyMY7jXgCjd6Kpbr25bvy/UjKoE
paUa4vejHzTesy0VhdWVbDEOQr1A847GozwtcGyGPqBp0fc+NWp3HEygYifPruKbYsj/vtN8nhtf
mSSUD6njNYGyYY5uV+tmpDFkct7/p2ERkVYJFOHxLIr8ytpvzQhp6OPl31/NX7TngKDBmmU0zufC
/0sgZEXVkefBOETHUR7cEYD5PtF3wJt+v2xq7YpQlRe25hRZHN7lFuoThlblQTrIvW/0TLoJZdOn
WnydVQbbG31BHJb0aH/K0JItJc09rSH0pSbTzcRAOs1AcaVoU3FLQGKJHNI35sBq4Vl8oDDNaugV
anne5QGT4mcL3C61YriNJG8U7PWYA2SGPuCZzljIGoOCjDaXEpip7PIks0nH4UjTg06qmT9WgAxe
Dvy6W//aEykXtDKrGpIViLv1ZD7hNraiGxbmL/5jtba/LAhLUAbNxBQw8zwoWsUx7zTq9Zonv0AF
0DH/HiaAJPoyRc6TyFSkbhwZnGnQKHMsZeuK8soCZW+j+5fDtlaxsOiBIBkKOn+SL2hM6tnUGHlg
Q2et0XAjt8Xvv3bThK61LxNC0Y0JBLbGXsuDVn/RsSFt49LVR/JDjl7CDBdBIHX9jOr2NITT5EbU
vo4V8+myl2uFc/kJQl220beXd7GZB32Pi2D9MZu+Q3D4cZrwGrGVJoqylopLa0KZbowe6l4jrA0F
OqjQm3RrUc4dPvQJTh7jN6vVJUeyk5OUzGrNE54rZrGu26yTAmAvpR2v4nHPxi7dhUQBHFO+s4z0
IZegxItWJpdW4wsq3WdCJrdTcw+NMYqj643bQv9Yk7LHsGK6w227cPDo9y0Ko9HnoQUJ0ii64xK7
igsLz4wSOl0Lkv4sBmKA3NlUoYaLoYkV+Zkm7MXUw7ueR+/t1P+EQozssjGx7iDlTZ60Wn4Oi2sj
PoB0gD5kWTf4rQ1dorQHSs+W+Wc3NH4UFmBzlXFfUfUeyRLZsSx6aGTu58nwwkvmo0PXsa0RCnSI
U4f/raVFim4V+Ukx8seY0fsh0x/Qi39QR/MaLMmQo07629JC52w63XBuHqxQ8gvIVOOS3xlwTeJL
WuzpzODAIIN+vvLxphBBeCompTuTfecgOU9uucVwX9dLnlnYhpPzBLR0A4hIba4DTZi1HkekoF71
lo18dFtOQgeK1y9V2RqO0o2HXtNfTYvDbKndEWt868Pm5XLKbiWRUD+JmuVaqGHWJBqQhHIOgpcm
PrV4qLtsZ70AmACKYXWEiLuwNsaTEVMFDxkBEnan6Z3H6e6yhbWVYH5g/MeCsCKySMpZzkkemHF3
H0PzWuqIV+T2adgk9VkP2pep+e+LxVdhul7aoKHCoqO6HXFMK3XtesOfrYiJ9UzW4Ig0oDh796+X
Q7V2s6yCjx/UIiD/B/25MBraUIVgE6uhBpQUt6ER34JAzlegTj4MBykOsBvYSaZxza2Nu9LVbcvS
sDBIYL6kNc15icg9Jtke7ZI9j/dqdlcmN1VS7wF7P9hTvUcdca3olLNvnPeY8IP2nRiDp/bWxmq7
mjWLSAhDmRddGld4Og7e9Gt+ujMj93KoV1Nl8fvCKDa5YhWkagFVAKc4oaHXTPSm+g/r+DKqwrqT
QdxJKuRmFncyd5CSJjIkOMBwd9mVrVAJ603blpnexzMiuyAfNocwqc2cMJVdvbc3zmjzB4t7oKVD
QlWCiNMgK2jUBNEMUNSJKyv3zY0E2fTLHm2YEckHOxJG2D1icJK+cFhV3CijdJqmmYgwKQ/D1t3t
agDxdARdYQAIFJHEDXAzcN9LtAx6wNAcuQbTiqb28gFy3c/AYBwuO7e2j5xxBP9YEzZ3TdpIXUcK
aLpJt7WUu4O8A09I9VzS3ovMz8vGtlwTCgroV1krpQygn9q3p2E/qr+KJHMrsr9sZ3U6LZwS6kdS
x/ZI0QkaJPqVlFuOKR9HvjVnV6hWDPTTfYVOKAqj0apFhv1jkAA7pNLhKlIyFKEMPBJo8XurG/N6
6tMDurFa8PbYFHwXRuv2ZRUAzfB+2ePVZWDxLUIBkbIJkLAWFROSh546fZRp9D/GdJ4li9VMrhUe
WRwW6LQjz2kWxNl/soCb9zkZwfstTGcVwnM6Gjygw5df99TvtWuS/TWP6Dxk/5oQuWwtrc5wQ1yV
QaEBPKcYXq9oPi79PWBKLw/I+rz6siSczyo7ZCkaw8qgmXYZROwKzzC/EzX2UjT90+tkSxdofWrZ
hgJcJzgTRYpb2SwBJAbMOtCnSgeOBU9xvV3cawDBa0r787Jz6zsDwFT/sSYU+SSslayr+hII2RuI
2LymJHxI2tuyzZ0iaq7aXgUjBJqBxm4LZDmn2R81f2FZSJIvy6TrcKIY7du0ve3QqJ+25asSblDH
rE4rSA+AS2XmrRbvDbRWkvQU9TgoAWxqMKFbeWvLu+YQ8JwzU5kGgmwx62O0lCZgI8Zd8lXsRW9B
cpds3UbMoyHGzIDQqTarnBmQdT6fulB8B92ggSv3vrgHWc/opxVxx9DVj8pWS8GaN0tTQh0CBypY
qedn0zJ7n4oMqoqelr+MBnHJ3/deQsh74dX8KYuCZJCJt3aHwE3xvsHRqhi8COcqKdyCS68V+plg
G/pXwOsrYIE6t5ROIZrG0U4CPPFuqg+N6vWyH8f767Y+6vLBqG/C2L88w1ZWsKVJEStmQ9YV65dJ
A2N0Qb92n2XaHc6Sl42sTeMzK0KRojGSss1DGryY5tEIb9XwSUcwp6sMb6y6euqNLQT/yoQ6syhs
N7qY4EJUtmlA7+39FtPlSvKd/biwvehbaKkyaR6nULnODnEfO2o2Hgf7YdpC3axMqTNTs5+L5Csr
Klk5gR+ZWcq7Tit+jcZU7dtYxRWJMd2ReGqPibbV3LQePpyMdRkbX6wu52ahHKiDSCrOg/x5CLY0
F9fD9/XjQlFXimSKKxM/3nglkMTRyZweWiCn5XJjFd7yQphPFP0TFiTQ8kCve6fJsSBuXfNtWBAx
SmPaDlZVZHlgjakFUFJxFRby0+XZs2VDmDwAPiikIjQHybp+Ggbuq220UQVWTeA6EHXbsmdK5/Ph
Ho1xSHE5jkveGoquEgQFuy2yqNVEhsAW8NYop39wP5aj2upmhEG3CSg6D2HQap+tcVDvo62Fbt2Z
L0vz3xdTxtDQOJyMEg0k6tb0UKgbp8HVkrnwRAgWa8wC10f4/Sm6byenmdzG3ICor90eo2MLN9NA
cipgkxMydzKHqowMQoNOtsuD1hqRHzXQsItL+RqB9DmUaxyjLFUQDkBZYMhiN7VeNjGZqzP16zPE
bazesbjtbZkGpJcjT2KvpV79GMJ+rxpx5uWV8nk51bfsCak+4PRrMwlup8q9GV8brQ3qlOKRT5+4
JL9sanUULbzxQfdnbq8UKlwfdSkHMwwFbesHS75p1lNqvlw2se7NlwmhzrWGpE5lBxM9wWMJ+UVx
jv9eDt+LZmP3uOWLkC1MK+QYWwesR5U3RqeQuwNupDec+Q2yEnZ3yEm8zwArYNmWuLvjYaiNVpfQ
oNGj9iqO8X5v983kTFXU7VhLH6hhB3JMfxCmXOVhGe27EM+mRvqSGeM3JUvQ/GsWzC2tmrkpz25j
I5QdhaqJ1zT6joMumcd4XMo1AO+k9oj/JHQrSDJCRi57gFK6huaC1lOH6YgmmmuFWm9Dlp7YoGAq
ZCMa4eXuXZab11bX9xVIjLxq6l5LZrbOOOXQLLGm0I+gQnHVJKAJqaaPRhop3hJY6iWKcpq0/kOK
IZYsTeHesLrIDQfcfCccqqdqn+e+jKOPjw7H2gEtve2MSVS4VlXeTDiFO1pE8cKq6O9pk47OkEKq
orKLE+36j1Kqb+S+6450RPsESm12Rcb+pk3aQ4KOdr/TSOSDH/JXIXVebUi2q3fKG9XVV44uR432
n7FuMicfjA8ip4HGs6MpX6kyaxxigKBGZxnZsSpvDlUrnaxpNNAb0agOmsdupKLexfVwGEeuemkN
qgabFHd4KFXAQWknkCcYS68o89LReNU5cOVK1pr2lMt8ANgWu8JoqqtrvLx/9JJ2X9r0mvXsQbOi
3pMz/SNV8ckyyKabKkm8VsV3WplZg010GF2QW+KKwrbrPUtHC+HsEMQpelP0NsPbRa278piD25Qx
4ubQL/Caqus9SUmoo2esOU3VCI6tqCdYvK0G4ptW5NfQjfQ6pe6uzYT4tqqFB7kn2Y9sin6ZbRy6
sWqnN70J8lSNDqkvyWDFjvv0G0+54adJMh2g6U08PYoek5hnO3kc+F3YqopvDpO1o/04uWWTc1+R
aAbpBDUG7SjhByVvWjeTEsPXoHfq2FCShySndSJxprlNRccnqtVgppBr1U2nOACHyuQodvuUKlB7
S6tE9vAu/hOwocgFwUr73IXpd6so3yvCh+uxtmo3Smm8U2lv7CYQiHtGazVXEQ6DJGwec9qCR33Y
5yn+PVf2hkT8tFFP0D48jkzft4bty2F6oHI6elTr3zO5u9E0qXFBZHEXyjz2ciON/Ra8mm6U672T
TZnlhcx6lcbpqSOsdfpRL7wyVNRjXwI9FyVZYI9olMr1hPuj2pHjBF9OGad3Vj1MXsEG6kwheZPq
btxX6NrYGRKIlJmNcKNRzaXQqPZlO35Km/h7QXq8T5FR8ULoU/oU+QxxyEpy2KR9DKR9HmyMtFKF
1c9O0fNjpSWKj/8+34cqntrA0jnsLFoQvw+NpzAMLS+XCsht2IzfFVFS+FPGj7zgkqfQvgZdHzmO
zQQCKnNMrm3kl1eXyUyJ0YG3vB4tn7Y6dyWkCtoO4wL3QNCnoVJkekZB78FuPKJ52YC4M94qIQBg
TA5TyztTkh5KFidOGKauEen3mRJFXtSVD5HyrYcUkxY2aAFFC8Oky3cqDSvcxJlvQ0eROIkJ3Rsj
j1yL4ZlzBFjbzWRqov073Xd0ysGcGZp3ljw8Dxq7yeRRvart9HMK+8e8ah+teopcbmMmQ9yYINOl
G1krDReiSr80C0BS1TDKEweZ2o4NeBnVtKH0TS0d3BATwTCddgiiflYqs9hVkbFXdSgad+i03El6
+cRmgZRylkrpGH2dNOgCMyX7yfoGTMCpwzMU4FmSopzFKfJZpiKGXkUcNrgJnHn1+cywHxfNKef8
XR2M2NeNrHLKnJtOzAnEkGY64SKz76pwesAEtLDIg2+4nZmHbaVX3Ag6P14djp9W+Ankf7XLZrbi
Qp8+oZEdeUxp3qUanQ3daJP7vOFsF/dT79XmcLAlpDRvMEpVbBRePZbAgf4fdV/WLCmOLvlX2uqd
ugIBksZu9wNbRJxYzr7lC3YyTyYgEEKA2H79eFR336nKqemeO29jVpZlmXFiOQGSvs/dP3fqcJxR
w6Xpr4h613xUtteJ6fJ3sgR1vFbbbYvyKd+wO7Vw15s79VVR/2V2MHe9Inb7aiYoev9RYheKNIxv
MFyBybZcTHd9k39u1ZCtXXFTwVVI2L54aHN0GayeUaQv3g1DQ594cPFoGjrfLKN8b2AYQ93iHpzy
ImoZIcL9WMKaQm/BW3g1KVhoYHGo8LirmvqOwKY8RqlVn/o8Dx5zZEhf6p5X2eKb/ZjDr/aacqya
rUl7BB+vyn0fVzhtyQZQMK/bexbSR1803+ZhdhE2kt/B9+uHD7OlzatpXNRS72lpgtPgwgBvrDrY
c/+WRtu6TTQhoJY1HslaPnybtuaJOwNJh2tolazZfiau3OvA+zTXjDWwna/r2spYsjHDOCIk89cs
IzYsc7wEnonWa3j9tslDeY2zF8i177vmzIvtugnwPqrCsTvatXluYZMasQo75RoUez316oT5KXIT
VMsRSb2vqg1v4FqtI0BAbVyKEgK9mtRviDrFJBo686Sl66sr6fA2MFtEavYeMVBfRwHgyZ6yi6j5
qx2aKaVgGemE4UXZhQlo/l0wZLKyLwQD3NtnGZCk78fmRi++jorVhV+Em7YY6sWdYaBjCnfVdd63
I3jiFpRRCOlA6ao3F6FD2J3a2FzVBfqqM1jaVn6zkB5UVw1CDzHCAqq9v6oTyqtOgeXLQ/+bcuGq
YaAQM4wQNYgCF7+5BjqETSIhexB1+H0R01t71UPkdXsREEggv/rWgWBC5K7M+quGQlzVFOgpbkjX
9JeFiCqSou8TJrB3T64Thc38sK59lUBbYCJbeheBjNKIqYHuAoQXQXC3wE3HfWt6tbMglVGVixSh
wSdvCdPQOPn5mldMY+MN/U469Y/FhOFBAZ2NsVEWaS9YfaM1VDVtX71xrEIV5tDuqepp5KMbNy7r
ktId71rUEPHCui5aJUJ++m0so7bq7WlUy5PxivkYFt2FOHBwqfp5fu8RwB01vH7qkX23tyMsyANc
SixwnNUY826TrVrrg/YosvAK02CMB+L6fA3ITRiI8h3OfiXoO3mHtmu/YceAo3v9pmCZnYyuO6T9
DA8htxhe5rVbUuRcrPDsQkzrJK4TtrLywCHZNuum4l5P28vENp1RBct9jwZV5K+evufT8OqZMU97
2mEZ52Ub5WGPMdm2xGEzDLt60d1JTDhqN7uF2eo6LBMWd9s81iJqglAj9UA9yGHG7V2G4wHtOS4V
E0cXpo6x2hoZCaOaqJVjl9pNkHhYFPS7q/etqJEDrc3GktyvxI4sPI9YN9homIZmtzY4+/MGcQsr
HevECT1UsUFxDwFK/aLJjEKpp183GEdGhTOVOBYRpFVs9Nl444s/8EeIbrudcp2jGuXJL9SBGe9J
9CJtOwKNyMxBcOjK7O00H31nnSO14YDZvPAp2BCH6Nt2Rm5ISDJEtLu7mVd3tFrwzuJi3OHxWsE2
g3uckOaFyYvpKFsMs0E1YzH6Ab2n+6NxBmTBdjiMNEVfQIeZZkH1byiuP5vn/0Oj8xO2vBDWyVlv
zU1vxi/MrE/zzDJkKxxcI2HJtcVoG+PFISlCEfe20/t/3Wn9KX4hYFUXcgqD8J91m6urOcIM8PZQ
+MPIpv43je+1Gfy5jaOICINbItgGNHR/hEfKrSLO4OPlJWLTdMzmEN8jzB3iGaIwnGP23/le/9nv
87s3/BlEMLnpl8rBG+p5vKV79e/dTq9467/4lcRPsEGDsiqnOd7BfV3hB1b7ERKblriuMsemxGb/
+vr86f3x+1/oJ2yZiGH0iw5vtzIG21pIpPwcg2K9MsWOrGGZVIher69b3HDd7OARcFrW8v/hLvn9
h/gJg26KonIBBTc3Zrr1nXgw6b/+Lf8MU/j96/+EorEJjhKU4fUHd4rlFxV+4fTw21v8x7flfxTf
9d3fr9Dwt//E37/pDudJUY4//fVv5+pbrwf9Y/zP69P+68f++KS/PWmF/37+kT88Ay/8jzdOPsaP
P/wlbcdqXO/t9359QLZ2M/726viI15/8v33wL99/e5Un5AX/9ZePT1W1STWgqf02/vKPhw6ff/3F
QfoHbP3hwoFp1f/4/fv844cuHwrPTz7qv1xQO/4fn/r9Yxj/+otL+K/g6q9ONi6oQf/qkzh///sj
7FePIAYbDW4Ab+grgNjqfizxJO/X61SKgLyTg+OAp+wvfxm0/e0h91cG4u/6GAiXUAjvl39+xD9c
rf919f7SWnWnq3Yc/voLBGZ/WHcwyncDUJaYN3cB6yLE8noP/Q5pnfu1XihSUQ5zDoZi0FCq4BTf
1QC+oGFhQCZKDLgFPqJokB4bxKoExMDVUEVUIygrN+SxGquz43QxxUpFZ3/AAY3WCsXbkZqhS8wM
b99prn6wJXhC0eaeOWwv0hnIRKo9crJMOGdnVC9FubwNZKmiaSkMWlsEoGAg/oYV4ZYot//BzVSm
7rqRGCO+z+tk3lrh6Eip7Yx+LIwc2IdGZSi3OBxMGc+s+hr01ZMMgz2T9ZR6YH2VT6eMD74bQaX6
7I6svqBtEmlB3NdKuy+FU59YLT7yGa6MzNMjEBKr43VQHy7CQ6HXqGMDLeNNFQ7HKewRAtmKpCX+
HFl3RkwkhnAI0lzQ0rL3eVzL2LWcHIfKa2Iv3Cq4sQItmZX8VLn43HooWtbGORVDa6NSTgCuVlNm
uWku6H5YPCJ8C8pRdG1bswzHGppVxXWD3tPvIrfFeYxoH3RKUCbMM0qEwrJvIwv1bnb1Y1U5Jg2o
ZDHsP254N150yfZOIdOcHuWw8Iyh/O8HVH0u+PHRX85UI+urRohdOc23XPSHzmhgd4Wq4sbKl9oN
X1UI1T0mhzGqzu5CuqTLun4Eg37BIMaDgHEfkkIzu2Kgwy1vXcV3PGcsW8mIG6SeRCRE/gIXgjHi
FWFOtNAWUZcb/z64eQOo0B9vBrqdy2UaHjTtY+7NLK5r5K7DEy4unZDGpGm/WTWFN6Yu92zje4zd
7PK1fdAjhMOwql+j3DY/pINiyGPObhD6ZtLuKUd9U9vpXDujjqCgTuZ8PY1lXsEfnWQO1WlHqy/b
KAr0yRy++uY48+VglNfgjt/Oa8viqYSlDTexV7A1kgHaHe3SpA5bjFvl+a0nTBPLefpqwhFBVAzz
urTcrx5EzWu9r7dcxe3sJq0zHD2MdVNQQhG10P1OqW36WJlhjX3dqribyE531fsIrJbOICd5q3aq
3G7l4j7l9Ypw4HFXyzDt1nrHfbtDOnfScP7YzzIZxFjGtKUJimYAhoAcaQ89CTyN1jZHoHVwW6/F
gwrrnUPz+4nnXsRDe8+RABQBzVRpacbHUDg/Sjd/qijMHBZ4BYTTpd+2tDLej3CajvC8biOBvIhc
Oy826D4mTlOnbs/duDzJAAFhLXcjE7JHtgHSM2v11a0VssNXILsEsyPSO+cTgLbVL1KJZO+JdDuz
hl+oK94L5NoiZTyANRxi8WIaoA0JGwQ5VsCTEVPqJZ3Tv05Dtxuc8W5GFFkdiKityUGWxZna+kwV
u29799a2Po8R7PedeB58LFE0pXzyd4U7Hsjmg/qBCalXODuvzz81o1/1OmIRan4Wlh2KWR4K2uJt
fQ9LOl/a6+J+5ov8oKt4srqBIZQpx8hxxi+OcbDaEWMAf3akLU0GNTqyClGHz/KHcWoJBkYi0bnz
hrhd+XzT1hPwFIjEIylrJzJwF47Gbha7UAcPfojQYtpemzibG7ineNhcK73tgLs5ST3HaEVcAhi6
6FDqqytom7uOA6SQ8oPbcidCy49cDQO9eOl2/l4LVeGj1E/C1yzz6uV2C5YbWy0PrNBVVNLpx8hd
7Bfk2Mlti9TEmthM64Qk57mLkHiz7lY5AhWR+Q1Z0fa2qr+QAR0CJfYE/By5gQN924LmuZiQjtKv
H+Mw12muu4tUakC3a4LUqTa6c+CeBdMzymNnHLECJreGit7/Afj64M99kWg+2bj3l52nxbMk801f
zkUksKMlaNW+z+6s43wsukfhTBdmpj5x8/kSOCuNKs7uyu26d0KLmQA9rR4Hot7RCyJFvnclEgXn
IgbSDZOj0YF5nRl5bBp487I1oJkHZkf3XpWFufhSS+pltttOTRh+h4cAukmj8c1bit0ycGOTL69d
p2FOSeDglC/5iUMohvRnWA8V5L1cNNu7Nm8PiPGZohoF3yNvbVqtIs8COBFnVTfZqGbomAUviwi9
5ALET2Bna8eLWFS6lgYplCOhScGR/dLmHHsQ7cfz6rCrG2ZUDOLkSGkjv29xqYJiPMy2BG+yVvgC
dZ+60vksh+4l7MWphsBMWqQZy8HUtxVxndfamAbYZY2sQKVddGgCRAAg7bvNnYEteJdZGXuqpwph
AMx9FnPmyEWjeV3LBOoMDCpohkXYh4AespWqsz/pam8W+pEHZNnnS7Ul3YqufKAmcgj54W9TgaFk
bz72ZXHHVAHRGYSemRa5t7eLoFGD9RxLf5BA+cwNHYEn1uuWsP67f+7nMvGX6g4Gy5cRC6wk5CNw
8wmZal6RMG+tY/A/P+yU37U5/ehF86Qb86k8zAhZXMelRXJa/aMpmgxeDZVpoa7z7jDNsiPzXEd1
UTAY7+QXMYLgmgj9KvAY+OHwuasbPFQtcbjUu6F3sfKJgoHaUiWVqGKNm7bjezYTG3kS7lN5X+ya
EGRXuTavuVP4sbvwd9W5qZgAYbfW+bEKNM/+fdDcGaAA/bUy0O21oikBgzF03IgWAqgx89ualhDZ
sO1SbfxNW1qlmnr33G7wHqC+jXhevRYW0HvT+a98zB9zlfNjKZ0HgO9OHHbO18K4+JYK+CMhXmWM
6oHcFoP34dbLpZIhZlDG7alp5BRh/G2M55ZDsozzxM0DeglKB7+eYzE+a+fnUbPTvORBBu9HeHlQ
XSft9aaCpuFZT04YbY24/v5DlRAjMDGxEiTXV2UV07kWp8W0+ji11qbFjDmbAphrxMfhaBp9K1v7
GIL+iMQY5Kmxfh0VRd/EwAnHpB5zeGq2mJifWa1BAtRrij3sLtx8AD5hriLhUydezLbb9GpTp1TH
wvCHzgiWVF4r9yFfgBjhE43LqVi8dJ0JtnWF1VJ2z87qHVFvZnnQp2JtMzkFWadotiyA07bOP218
uwAeuSHBkjV+kRnpYth6fAvz/k764kBEfuO4/jeLhQ4QznFhrCKJe5RbTR7qdjliO9AxCv8bkYsH
TA2tEej3IfYDCyqFbwQJmqWKm0G/w5JyvcuBncCRMpSxHa2Dg6ZHSLdDo1r28LwtmyQEwwJd0d5u
QLYajbaZ6xYOBh6+Dx3gHKusLGJCgIxOdsdyHAUc9ZUtzcMUgvWdPO8xdDDBOTkvIphoBKcb3Etk
PZtquad9d/CrvINVNgx0fTFvEd2AZDXjEJGlK2O4k5cpTpPdxsWQtIsu7wJdfRpGG0z8LHfDxB4K
Oafat7FSLGuhfBMBe/YMVrUcb5CiFlfOvCPG7OC6fLfWUyaXuQHKz48dR13HsFoFx7RGUYLMcEsE
eTRLpvwWAD0DZQxKuLma5vVHPtvYWbSTgJp4bX0xJkIIHJtuqwGKTDfNW5kvEccpKVgTKTcI4tFq
g5DN9nmGwwCOlQZ1YEO/hj18q1YnAJ9CeFp08qko14+amlNdj9lQyP3W0ycEOj4JA0jPcc7tCDPe
0t+vQXAxfpWwNTwsfvnF79lhUlxhUc5Ay3BiumOYFGTbV2paE6Zt6o/yZnUxx7EEbE6Amv5Dj/jf
6s//v+u8PYIu9F903tX39i8R/viz1vu35/6z9aa/YpqQQciKqHQ/oMCU/tl6e79iYgJpLdfQLhcN
/3+13p73K7SvHL4DIaFQCF09H//RenvkVxx46LyRBE3wJxH/ndb7j5AaPOkQ8UCuoWEYw/Q98rP5
YyegF2ak8Q+EaGQws13V/jvj8T/iP//7W/wEgvazQrw2q/0DWEjQcOd1Nsd2/DcCPRdBbX/AELjv
IywTeXvIzAQ5ibrnJ5xp8hQpXL/zDwOovCcrzY+umR2Mo6jjmFcPnDgmLnrn0s7MPyJe81zUzXFb
BxzlQ66Ort3e4AgNFUrlYYtGwdM66Lkbp+kx6liH0VzN6F/HQEIYPB1RIz1A5/bMrtNbE9lzB9ld
dghfWI/8SkfMew7SANEnXxw+3oWAl8fN+dCkfMJgqYk7SjAxAJQBT7k4ElLZwX9k2vkqLErMYjRP
lapA4LAR5DRfjzl6GRwsBU3ZVL0xDTCXDQoZfAGAiDZnW1RXCDDd7PC8Viva5OXcYLOrFPmGMfg1
mVZgM1HrOo98WEtIFSgagbrE7KiW/gndAKRLEHFME+/jVSFcdIBfRURb1OS6E9icdaiyCjz+Cw63
m8ogxb7i9NXfMNdGNxHurJ1IvEIekTGDjisn5Ita1hyDq26QdpxAu1IMQHDYZ921n1OJxCCUE3cI
X5pSM23wSCtHQPNyvl9mtQ/Hxt5vRGRqhl4+4FehmDQeJPPzI76/704YdBB65MWXcVzbq8fIlvhN
fpmvPF0zmu98ETLlXbvfAB3cqJWYqAV7mEgCMr4kK3RNMGbHDQ+ypBQ7xTeeuE71tLosdjo1RfBC
HuKa68tqoSwWa77GcvV/9AhJS7HI6QHyzMdgbNy0gy1BpMuZJaowA+Zfm2NllT7A4K7LlMpDuDJB
ljLUjEa5j4lK9IJIBoWha0RU/VJPDfrLEMmKaitwMFP0ALOnUDgomHg5zAXGpbwt3STyOuqRVXHu
IrM91HtPTgfmO3sz2ifT6aOzXYENr35furqF8gThtHXZRq7jn71+DFG5dTMyIgcQniWqrDy89Rpy
lTcAoMmdBSIFt7itrgNiuJ5Dt2YTmVAyccdNXOZ0Ka3qPi7D4cNY1CJgzNDmIDvmUMqKxF4N4tLx
W/R5KKZvgmI6VbOeD2go2qxZmpdJtfclKZYD8i94XPesfVYmPFksuRNYmYz3Q2rRAhy9chiSLsCy
CxbgacbPX2jVoSD3/G7fTkDEBBZfZqFfiWyIyUMB85mISnVemqVG4QC8hsDQOubXI3/FYHVULBuF
vyAyLDt09ONih6jugoeqGS6yGtGVdvAehZsMEH+KGh/BENvZEnCus1mm3eo1KGnrFphKDZq+QRb8
YCxKvBod+2okzcJ6dNJm6FiMEASKrNeSxLNrWdz3Yt1bJACmEBAzlNuw0Yg2DE/uTLHZJBz8Jlq5
fgAdLV7DkrJ0hLt5jDTU07AWLTDIHhb4GOiKhZqHfY5k9VhSepmkLVO0NxLSDf9bgyC6dP07EebL
KJCDnxmMeaVVhR4RqS2vRb396N0KQ/RhXwNuwIW6gwuzOQBJQnYor9SrbQP0URiblVSclxVA2ZC3
aKDd7RsV9qD9Mht6kI6s4OqlgUzuLPIpz9TWp5xjO6JXULLUGiOu3afAvOk6qXdrgx+9U+WZi8Gi
uIE8hw8hKK/c9fa1wqRPuHTroUDwIL7DOuuL/m2DDBWNXZ15bufEACLRFKzB7cpBvMtWv1M4LiQV
QqUjhlC8TFH9ObjMjXngvKvee6o8hMbMgy7isF5U1iJELroeceCjTXNwSzWgsguPZW+HXVHMQ6Im
zEby5QUSMQKQEZeqQSFLt+Z+aeVp8eE+0ulVQFwGpQ20W1cVXhT6d8u256FB/Qk5jK7q5q62Po3M
3PvZRsMa8rWB3IvQCROndK9IjTxvlX0q+9KLREPQVpUIVm+Y3Msg2EvBT3ZqpgyBCiCWZ14mm1DA
Y+BwBaA13OdbgJkeaAHhjxN5MOhAPX8eHXtpPBdcaDneLn6xDwaVNtNUR+VKn0m57QwtbptWZYNh
SemPB+UVCp0k+Sw5S+FgnYa86SI/2JqYCAuzBC9eoOGIcx5k3ojNwBrZxE5h8ZX5ElqvxfgIXqv2
0CO2uzWk32fkqWY18NVksdjd1LBect740YhE1QQjeMB7SvrhOYGJmEsiZd0XEm475Q+fjAU+bHcE
7ogFgD7p8zpaixExfOjHR94Vu0LTxx52c6L3WCzl9CAZ2+GKvUAAyiMc8ECh+wKSAi/PDOZ1oxYb
Ptx8nHQ2vgDK6KtsrrWbocQfEZLr0njEnhwDIRZRCMzTGK95g1kVz6qhfmXb5J2CYsgUpO3RYvIn
BDjpeCqMBUk+FyntcCIWnXkMugFB0sgE3zfLBhScOlCetMUhLwjZdw17kQvg1KUbZMogeIt9A4AM
wLK+4S7ZDQW915sMdmMJvg9ytYzZ6U5OHeywEb6R2pVDK6HHFTj45kd2HlKvyMlJGtTvCDpYd2O4
sFiUTRkLL3gB/njwm35XbuqBu34yEAQL6SI/5BOHeBbsbN6sp26sIAlSw4luLkRmkN/047jbFrV3
TA+VA1KDrP+VVfQd0oGzlgRYcXFkLj9WAt1sYJ8CU6TYX6FHgpZkRUQUkJNkYctL7pUnIiGWy3mR
p0jCQq/WzQcyAmdbcccNwL10C4ZjwW3IIdKq5bfcGgj/RvTsBlhl1MGKKVc4opQh4cEN721HkqKD
1VAjWgAQ+bQn+c01IXUd8pQb4oIf8Mubfh3LDE7vKnO6OcQ4EKS2Q1PtmpXf4miAfGIwkT+/mC34
ujU1ibccToZNsX7z8pZltTBtyolnbwyMIroAemDHBydRom12yk/sVpUPTQTApdQNyV0z9o+tIEsy
wvgRWK9/A5jhbimH58IlX3lld0j7eoUY7UJau9vmq/LTfDFUZNC5zxJGI12+M8ybQIcYbLi8e3eN
2s2L+8qpezBodHEmm1HvpW5eDahQ1FLbHlGF+AagioMs+jT41avotRstZYHBh56fWBOeggCCHJur
1OmGl63qzjOwyM1+juW0h5Erkl9ROaPXn48Q3BzhI/Jeuc1+mdhR1/UnKpYY0hoP5us9hh3Wd8hf
zpq5ewUL2BTgwZ32Nh8aJWy1QUW6m6D2DsyBvSUwiJFD6lPkSSfyXV6TLYESLZscVKUFGx4dICw7
31EMw5VKRf0yycQJlhkIZV6lbFYvggXqUk65jg2W12C/b1hNzfANdsSRrGbYKqOkZFBoOEEd0eZA
sG3pJqlkDuZrutIaTeYIaLyDcN9BBIOjtbhO5N7OVXMO5C7Iv21SvjDFQcodofWk0Kf02dRbHLjs
w9tOEhTcgiw0NBlAQlEyamjH1bKBOsm3p0n3z4BBvpBqPG2+eykH8DZgZa/iLVPfOGZbEiuad4hZ
EnCv0Pehva+F+4ES3QPczWrgWQUoH0iZtbDxVmkcxeOdHl710J4m0GtD7achgRbHDpIcQCz1AE/p
h7WevePYatbisswU7I3DQUApWJmvvoFTDYQ+TECMa/FRZck2CLaR8zwXcNGHpv7ODDuF9Hk7B9DY
ezSPQG8UvvTx/xtKM9ufEZ3xpiD2iUNvvJv48DUs1TdvqHaQ6ARJN1Evbjm/9baQHKh8URulkC6R
fYF1CyPvQxdIAsg9306DImkHsxl3GqOGBTFE1wBVw/CF+O2TdqA4HQWIiLZG6RRCYoFIVFAIdIF7
lhgiWwsW+1Z9LyDf3OoaB4AMF2xe0FGNgOmsqCOIpB48t2ZR44Y3W2OOFYFNVakz2Gt0OJrkzZKf
9ZSnOfYvbjLsDzOiNRVcTHowQMTZL51Ox0B8L1UPLFV6UbiJ2M5V5hn5SCuiIrPxa0iylOgj5EWN
eVZoKJhI6cyJ2sKz2PqvS7n9qDxnJywgy6HhGfTUIjUG9q60AGazbeyj5uxFKZ52nkzIAGOgusFA
fW8gJ59baMKHbZ+j7EQOAnmWlOM02qBBRtQEqF0ME/i5zlwU8tE0ymbn8ulr67ce5J0K/zymbes0
WDHrGdr7l6LTKiZLfq9o7aYYiDsO9QSR1LzibFHLO17nDrrmz6JpUgKNLirmoohdBKqiYN4Dgswj
42DsYUIY4xXo1cBcQxY3DXooQwqgwN0EMyAv3UJ6t4B3hDvTQw53wR7lPoONclWx77nej0oi7FNA
zFaedNOVUR4MQSJs0YNVhj5+6Y5OCCINx9DBn8Buh2COSx9Nj2HxotfTFnxjLnSEyA43lqaFr793
vnPfM9BjnaX3wSQvJe1T1r7L7kvYtidZ3ojxS26KsykxVV3mFyaTdlI2IrxKex7suEPPxjOZ5d29
u+E1oekDlg6sUGz02+KLe5TtA5FPHUE77gr9tQVgEfcbJH3thm7YKf3ziNthRAsPciMMVeLOzy7K
9KVdnn07vkGl87qwYjdTchjRXq0SEvl1fRs4tPlIcN08hUI2YYtq46l+nXyTknnDEI9/QVQ1HJT6
kr6svLpM6HXH71TTM4qyNx/oJnU/NYBoTBil2MqM38S6gXO0KbcodEG84DhIWmStQSPxotXwgIYf
Ij4rsjy3W8Lb4HmmPE+hJo3XmV9W73kiLNoK3ySFCErEONpHB95CztRnXjl/6+oCVFD1xT81vjgb
nWOXpu5XZFBfeKFPuir37qphhYWaDGlsebQMXUaG8SAUv/Os9GMfxEJ89aGO7CTep2Z5NrZeEtKh
M/fK5Wnp7ddtwbLd3PC5JO1joaY8cUx3IsHOhDkSv8J8LzloSNJoDD506Avufdf5aPsZ9oZXCg/V
fOu46PZZBgE63HbQ9aB927dSn65JRlMLMXTbj9mcx1OzojBYsTteS9HJBVdRONDcZ7xaM+gwikx2
U4Kadz82YcYLHFqrYfc1MOAowNqtwufRvS3Khx4JSpGW3qeeoNnG8IQYNDzEy1uMwCStJw5LhaGP
Ft9f0bHdeh3mkMQ+Wvu4deMeheM7knTeS92oq/zitc0FohUc8Sgn7IJo4+0jG0/hBNLFG6c7QUcv
krl3DsQrQTPTsWLEILz7dd22u9pLpgJzN/xxJMhpkdP94Mz7wqANpzrTQxHE7iAxehS+O7OZE3dy
HooGgSvcO9dQ/C44DQ/LUp8Lv3mH2D7Zav813HD2dZbc15t+k6A/Yc+gozEMoh6Hhl38lyVkd1fU
uxXRAE2KxLcTNhATt3EIs3EH7HFLMbcy/ACAEpeoWDiOekzxHJYixQTNpagxJcE/mqZAjCPuoRmn
OZfbHum9SS4ZRgYshv2d8su0dg3I8Q9s5ftuNBYoDnvdyA867deWYM4FJF83f6s1/wznfL+OUsXK
htnc8TdoWf8naee1XLcRpOEnQhVyuD0ZJCVRlKh0g5JlGTlnPP1+0O5aOEPUQZnyjatMF/r0TE9P
T4f/f2tGKr+FvCfRhfI+cDouN3831u/sSq32oVHKp8kcd6HE7WmY/cfJNz5lNf8Ls2+u53ylS8o8
Trn6MSmMUy4Vj4Ep3RUkfcaSyr1VkhCr0+6zZGjBvdpP9RvbIryN8o9+YRv7KDTyvZpH8S4r43RP
gPuQyzF5GOMQp+6Q1WRbmkfJj0kLKu/Gf4aeajD9rPSjuGrqP8ta8H4owEGHlvzOsdPPkdd+iVXj
rcZk7c6jW2iXOv1nSjcWmG3+Y1J2+t7uRrpvvPxohjKM3yF1hL7SsjNS3yVNMT92iBAoxnc7o2y/
lE4dn8ivdIdQJ2CSh9zbt16QErm1bjLVj0nO/NqQ559Yo3MYDG8MU/pJvb44yN3g3UcqSS9L8u8p
D+9LsEIcfWZk4wnJ4EubHKSIa4OJvftyrE4FAxG5nZ6asfkZ0i/MPJBEkBTrX7sKurPYK3/S9PcU
lnF1MIPqcw4TGve99sYgDtxoWr3ORv9vltiBA5PKjEIznCm0XOrgwVAjIhvtGNWT7Kf7qOVcsU2L
WsD/tbgtW9qu8+ovxQhNlZWcm60kR1jTSFCuPvTR820B88jnslN1znY7UHnqDklvWvDnbPiiY65U
zbJK25Db7GeVMBTRXWqZVMbJif7ynm6LWkusL0UJ06ddjMHoAaKk1tl5f3vOXdA91xUruDF9+qIf
VlRK6ChOpKorlAFJjXax1ItGuKIdeyYUe57aQEGGH29rdnsRHZF0IKNl3S57T3PrkLArcoaASZ/0
g1p8DTHdKLctDguBwG2pq7ZhqRbFCl5LylxmWm5dB950xgNJo/WHd0x4oL3rcFvC6o4tJAgll7Ar
an9gTsZNupqBE5mpQvOsA34KsyBOaYO64bp58/9sfSFNMMWO+kAeWTT1lvlTU+9VfS9BD7oxK78l
RDBChiSZhLAR0r9PR4Yp93p/5+UbEEjrBmjNuAI2pQhbF/q/nboy58FlzY3HXf62KSAAkO5Ksmcb
lr6+Qb/lCF6I5pBBSitdc5XI2/OqvBsqM2V+xn+rttqX0C/Ptw3iBW7Kr5O1UEzwR2amB0aZsHxk
sWP1Y0PGUD9EmqsVe9O6OOdG3zDBdSP/reH894V/MvoY6tPeZCVjiviklodOuWwoNf/oFz5woZRw
kOzcyymU/LIJYE4J3g9H1T4/brDEbmkiHCY1KYZSohjg6k3JuHJxP47xhkdYMQfcgMEMhWrBjqcJ
J4gnuDI5uaG5qnInVW5NcE/HxPM0tBvX0sopUshLkU+h3MtciGDfNKQ2dR2gSxUzrJa5XPiVdJSD
jc1fFUM6ARRfi85xEYSqo5tQaeNAd5PyGFpHZsK9Y5Nv3IAr+wIsNs3sVNVJaog3YNileu6HCBlJ
DtGhvoft5X/nCq7GCpa3+GxAgoEpFJVBE4WZVbV/ARksjFilqY5mDO6jQWdGufV2ip0caEzeWK41
TZZiBG8QUg/qZOqwnJWQ5i99Z6TyhoiVHVF1myI/vf+KDm379XGU24jJNI/H75g45yE/+eopNPam
N51un8kVVa7kCG5aHaJx7PRZTnogD8Oo7u3vr+zI1feFCKHPy6yNBklzrcp6X9VuGzG77Xx8jRBy
vg7brmDA14sVZE4I3wdhgV09DPdWeTJ/3Bawvhu/BcyruLArGj6cQS24n2G3P4ZydMi1v80aiOgk
3tiPNUmGbNMPAQwY+WnhwFctgFmOxIEf2uohNd4UPESaGSTa3IL1XduZpSTBiGmoaHrTwRlH3GRR
90+SuiktzrcX7qV56QoBr0yLhwFtsS2oo1Z5LoUZZ75SD3r5qJFjui3gpRbXAgQtBpay7XwEdF/k
7rl5kPVwQ8LLmPNagmBcuZaGVRThU5heOUzRgxffeXdmoO+S7yNB6G11ttZLMDS71OSgVVFnOGS7
jWDp5aWFIswU6TgVSwPA8dqIK0vxw8hCETOnvgOOaBp9Dfxqf7itwuqOLMTMFr48K9RSmfbFOfKs
DfrTdF8VT6+QMF+7MOQozDoJRhWNsRZ14JO7kvNVIgGgRkz6eFsB0aoejkFkye1rEPtf65EzoTEo
LVuROfqwlxT1UyIDxCD/dVuZlV2BPE1VdZn7F+IaYVcMSF/MHHNyFe2o6U8aSCPaD7sC6H3DtF56
FvrFFoLEfakkO7Lno2iUbzJ5l/cf6GZWrE+31VmVYmgWFOWabDniW4nIqIko3Ovkiy9B6HrlBXxm
oIM2DqWisvrXNz3aWMBZmozSc08KpxJuaH/qfeSU+k4y3ozRW2XiMXMfeUwoH8KJXA7tY22whWC3
4g1UGWJkYBqxDcidr63CJ1OWOHGuu5Z2LCQgaqiUnigQj6dK2giXVwzwSpRwNcNQG9SGiX0zavZz
SLG9ISMTE/2hGMHOzaHV67rKdDfqKZA7UKdZj4ybb1jfykuNDfu9cCJeXuzVRdAMaOMG9Mvs29Zl
DK2/V75KAIUyCydtWMja6qkKbZw8dHXATwW1dJki+pApGEjJTMeh+5ArG4wvqxLoxlSYfzR1iI6u
TWF0JA3EjAlf/QAC/0n2N6Dg1o4SfaP/fl+4C6poYhhdHeZg1nvsfOMESc4uaa2H0vI2VFlzQktR
ghMao3CkpRBV8rfM1lGxUpnhuYu2cnlbYgQXxHAVwztTT8en5O8z+tFr1XhWdPVkQfbS9luvgXmL
RR8B+oLNtKoO9C2Nt1c3ke2UTjEFLZatHPr07Ed/lcoHILoq+i2Lb229sV8rd7e6EPfrSb+4+GJm
bz0agnTX1qvHvjoMJP5vO9dVi5vfZ5oydx//6qhdSMg6KSYtr/Lu6A7jeOdJ8BHkG+dmJfNAxVtX
iWnpcab3RLAFerdgyCEV67bvI/mg0Iv33mh/UqBRivHAEFqdbnAxrNo5ETQ1U5MGaVtwqVLExcTg
CDEi0xNqem/BKF8Z5YHeNvf2+q1KMjUNh6CRYDGEE1v6sZ1qVWC4nWk/UK3f13VxCdvetZqvtyWt
ujt1IUo4vBpFhtCpQsOV1EMw3RvSd/3OfwwiQJGajfVbPVULUcKGxYY5qpYm6W7RTW7sSPe+zQAB
lyAy+S+3FVu7/4CWo+fJIbS2ROoAWlglL3Mywy2AF6HZIzu15ZPCfF2Q7a3vt2XN5/PF+V3ImmOA
hbmDCyVVYLwYrtJ+NqldJVQiqlr9IccTFdaciqSU0S93/DOpgpEkiQwoTIaG/ncjeiilo8X4IWnl
PWxzirPhM1b3zpJVZgfozniB9qlnnhGMbWW4pHzzdz1dSu0RkJ2tMz3/5hcr+VuMCMQxQVjZT3Zu
uPpdER5U6k0OHZ7vGVUGms76mbdbFB2rW7cQKITooV1IlKgQKPvAEz2PtNilhzh5HoONZN+WIMFG
RkWlWVItDZem0fhEY6JmHOvyPmpdKx5oj90wyfX94k2gwt07AzBcm6QEolI8TbHh1urdUHx04IfU
T4a8cci2pAiRn1ppqeTpkeHSnHSnxA928TbOmNKsNkx99cayfmszL+7igLVUUZKSrkbXPOfq3Vhu
OKZ1JzgX7sjzywoGfv391JHp08jxt1NQ0vDSBgM9BuOnoABxoZOCg9QkJ7AIJ2J1mcFtTatdXco3
lFxfzN8/Qgg6zHF0wJLAFIMp24OWdG6az776OCqM2qf6/rbz2BIm2EfFZPuUV6lBre3oBz+VJtnV
Tce8c3HUi2bjQb/qixfLK5hJbZCmH0lDu2n7Le6Tt5rxjln6kpV0tPNg2xu6zbv10on8XkjBWuoo
zSKIsnEijvc2YajE7u87GJZvr+CqTfJ6NHQbbloy7Nc2k0WG2TBXPHf9nEFfy7d84eoOLb4vaBFq
o5kmRAhuezx09eWvtqaacluF1TADBBaqhdYKx3dlh1JhZR4XssfwRzFe6vpC09k5j8aNLfk1I/Vi
TxaiBPeXBSOMDDF3P8McgX5sRiAz3sTzSEN6GKfiaDC0osDfRpt3tA8/39Zz1SAIQ4FcsTSVHN/1
VuUkq/zRxxnS/+7vk+Y+Ur7clrBmDOA0m7Jp8nikZnAtIXV8YBKA2nQrZR8z7f6fq3q6Clmnxcfn
J4JYkQi0OlQGRptcq92l2aOX7ZN7ergqZcMgVtVYyBFsWuoyI9KY93KnaWIOZ1d3xYaTW5VAvcPh
0BgvaS1tLdKgHSUlpjfaV3msQRe0h42Tubbd2kKG4Ej1tIOZaqATI+hpbZngF9SCt2O2FTqsnR7N
BiheR52XBH1dINdlOVCRUL1HGlcU5S+9dIt4q7K2vmK/xcx/X9x9TO/SIWvPhQ9bPsVEl3ZZH15h
vWQggFsCeelFLr+O6TatOmofge8xmw6GZBmrH/5MhuAAwK/xtYmeTHfqQaNPjwXNYbclrG077TcO
54NKJNnQ64UKKllj3o/8UDm2tIHZu+8tj+nbMiy+IboxBm2xLtuhY1YMq7ymUO3QZBTUpscn/JHH
3ZuRDDsXzokm+1eclaUw4TSmYxz2CpMdQGnT4ehUj746bdzMq2vGE1OhY4+VEwOfmIkeIBdIdjnM
eKrOPz4QkXn36faizb9TXDSbDflVUJUtMdVaRoC1D6BmMUhyVqpLC8Nn6QbFB+sMa9JtUauR3FKW
cPYpupW2bVeMeRyCH5TTowKYSdDDD7r2VGTPg7yVZ107nkuBs8UsjqcPNYnVewjs81MEkk6yEZuu
fn/OBAD+qdAIKjxQgtZqnbpMTNdr7QNo2GFfnm6v2ZYE4WR2UtTWox6ZrtEy+aQ2hLt5sNWIsGoD
CzWEKzjRtYDRQIQ07V1qzVOwPyca2DxL3XD+a17Z1hgdgipkruQJXsAK/RSEDWlOnTD8BeBRG+/V
8cftJdsQImbQgDgqUpMRGdcc270G1BMNvaXbdAP74z/flrV2RGmFolXAUDSIq+a/LwysUMaEKVfm
IYzxs28M70zPepOHW9m0VSOg3ObY9PxxAwhmnLZZZTLHarjxztk1x1eosPi44Mg6uSXLXXSGOzQa
GDMWrHzRvrSa/Z+JEbaecUXNiiZ0sOWic2laJ6QcChgDRnvjMb9qzb8VEmsERdPQRJo0hhs+kTYD
Eus7iLh0xIX/lcZJt4F5nXP2smaYpDqFYwP7dNKNDVkDkFSOeuxDr/RPFJi7RqURu+s3PMG8QC8c
9ULabCQLU2sZX2OqueCZDddF+oF5R5umLmB1yr39igLyzB0DdAXVUYUWgmtZljVaQdyzhLCcEzIz
ueOrG7u0rs5vEYJjU/rQiOO85VWvwNykG0+G1uyt6Xnyv5ipxCAFDNTxRt5l9bQu1BI2DOwtAKDM
+RzBoL1T2lOjbmzS6kldSBA2qUi80JQHDlPFyDJQ0W2Rv0YCwJm8OeQVGj4z8rTYbGXDbbvwVOok
Q9BJ2Tisq2qQ37boTJsfn4LDyaxSKxjfNdxyHgwpm+HD2GyxaK5HAwshguOBH8GQKpq2KazUpwkS
VDPrP/RNEF48OyiOaRmFzNTI7wbgeNxINu5Lk2Hi215pXVE6Pomu6AoXQyxnSqCKABvUjfvs0A2g
EJEU/jMR83W1OLdjF2qxMfZ4iafqb7Cpbn991aTnltX/U0DYqShuO6mX+Hpgz/N1jOd4BjiKWw0y
qz51IUbYK2cIg1wCUN+V1eIhZYir8ndF4J197e+qCt8l47jhHlY3xp4focqvZ4/ggTL8u21Wc+rX
bigO9Ocx1768YukWIgQPxNRJ7fgeWbbG+sepm30wPoPuuXG7zuv/wmsvhAgux26jXu4s0l2howHy
pzOSAjtBQ/q818+50h1eo5MNLjf0KEQkwi07SAYV2JoryYQcY+r+BpiwUdsPt4Ws7Q0wxaY616xl
oISuLVqneNioSmu6CYinyXsj33DTa8a2+L4GFPLyxBiMzyux35muBN4WiIbMerYMgQLlfpbMDTtb
Oz9LWYKdVX7c8+ZFlzfAaYZ3o/qK84kb5THKw9d+MbDR0UfcNnJvuqMavmuZrAIY3mV06vaOzD5E
tLKlFOF4VrbTyKExsWL0yIOvedapTALgcFvKmi07VHNlnthMK4h5tK6xLC/vIGoYwU5+E4VA1u6y
k5VtvRJW95/RE3py5pya2BfdqDRFQGVFAD8cE+XArIRPZT9mqOZg+Z9u67Qui/e1pmm84cTnb9VF
xjTMoGl96Hbeu/CpaR66MTuob0GC3LgJVnaJaEqlA5vSu4oHE+x6quEwDzXOjRnvHgNwWfRDu5XD
W9kkjRZWwMMUWeZFKgoxanKVqW263d8gXZGFZEz+vuqNDVtY8QFXYgSLA3IrUKcJMYZx7OYZ21R5
ur0zKydTkw2ZBlaQE3E2898X92ZhKf1Q+I7p1ozzKoz16t0J+oZXSdFMYM3ZFtoHrqWUnRrFfYQU
cxovhfMWJKnjeLqtyepa0QL4/zLmvy80mdGbSvw1z+sk+CsGYMuplfd/JkJYLMmvoMyIPNONgzuL
Aek2Cze6RlaNd6HE/PeFElOrGGFdzwvFQDYADVL0lCghXCGH25qsb/vvxRLsN5Y1u49C5NjRIWj/
+UHh7zXH0LBoI/tFjilOQ7SjXPm+qZogLHunulf3kmacppHByOLbbV3WN/63JPV6zUboiIBd1k03
Gh8bEBhekX3+NUBAVWOGwBMv4kFjFlThbep2H8fDKzJPy4+Lt3DAc7Ovaqz2zbfXOEIoBigZ84Lh
8SwcOllhME0dS5AqVQXyMbfzv3Tx1i2ytvhLIcKpG+zYiUCPIzf3bI/HsXJv7+3KxYET/62DcOK8
QGmHsuHzEfgun4zyg0ndhzHj0jMPk/eKB/mVNOH0NZ5VNkmNNGATEjhDjA1tfnW6ChEEAmCekOns
xmKFmM70wI0G2YTjnT9U8lNanBq92YENbdqwHwPQH/xsusvtJVy7qohRqZxpYJ6+aIPQw6hI4bHh
7pXvChPWpcodPcjHoEC7LWjtqTlHw/9KEm6rTu18wHpHIpekgTNz+s6Y7hffBnk2u7PhaysM6W0N
C2kWwVelbzWMrbk05kmoRdPLpb4g5IE3ORk8qABdE4AJi44jYPT1MvzntpJbUgR7D+GVUmDqNF0n
Se7aJmPSB1ZH2//wZ2IEu4ch0wLEgoC2qveML+5gnLSt8PgKISQ6GdWWTWxSiMpNqjiBRNLTjSd6
ESbQYQromiTQNP5MjuCgAT8vy7Gm+CFp6Yzss++UO0bybwuZj86LozUnCZko06hxCDfaGBVa0XkF
ygDAb94l8ftB/2Y3Bybny3grq7Lq9RbCBEsnp1IlID5ia1X8Zgy/hoF1vq3O6qldSBA8RWX5hZLn
eAqPmPmxk+9Ut7W2+q5X1bDpfIB60lFp6Ly+OZXM1JIqx8qG3f7vV/x+Mrfw0pNC+4WxuwxkAt1U
vMbEF9DYENoPjPjVsHlsuLZ5mcU9p4TOM/zXS0kcLhmauAbM1CKpDjHCLoeoRtXBcvdm5CCz8s5K
1v9T+MVft1VbWzV97ril8k3wL8b+ca7mGoSIhmvVRzk9TNMW3O6aj1kKEKyL+C82oLwxXC3QHqvM
abge5D2R+g9wZMHoofTaB4rLld8fCB4CwJS8E93Tb3PPjwBYIX/XB/2n21rPd9+LtTYJJJR5vpWJ
t2tbSQbFANiEopJkRd6xyKx3uqO8C7sc5DG9dDZc0+rOztRIFn6bd7BgmVanhHoDi6/LIPm7PHFA
wytgT5ihderB+AQQ1HfPnL7eVnHtzOm/hYqdl3ZQN4GmUWesA7XY9ep4cUpe+Z0PbHM0A0zlHSw5
t2WuKTpjTc/UUTyMxdqmMxht3wDW4mpys5ej5iIZ/q7TfqTF8+TE4Bhqh9sCV2MQegRshaKDSd5Z
cJR+G8s5xSG6MMH2AucCgPv8zgB52WytD3JPXRIYLwCdL3JNLzTMF13+NBbtxlqvHSIK++qcr5HN
F53rieMlIMWREk7lFGhnQAb7j7cVXTNYggFmf8DxoKgnXKEdVLRaF9GuW8NnLQFLVU2P4LJ4Yfbf
y9PaUtD8QxZvNlMzUhDlyQYWrXGx/RDe09NtVVYjKyjCyGvgSjFR4fDJPpAyuTz3OWeQFBWymzK9
3kvWV3BPm55+zGKmOa6ns9M9wPa70VGw4o9m2Q5FUZ6mxFaCgmMZOjCHcC6gulCPA9i6W30eK0fv
SoQQIhRxMHWMu5tuKx/lN8XwaCfvxgYO440oQV2xCoOGJVjRcCwKaa9rXZqKeg9QoNxLafc0lHbu
gpdjnpUUUMGqLC4WHMOdIwf7wLaZeQKWdF8Pw3MKGN4Zk71kYMRFra+eZbv7q53h40BeAzcRRDnT
jOGR7UHbnsHmwhl2TpnGZ2cGouMsXW7bxKoic9MlGUIacUTHYfd9l2U+r9LqvinP6XTwm421WnFN
BqXwfyUIezIYJtzOQAwyq2Du2gpWJihCjO6SwhEz1gcfSuvbKs1OXbhirgQKe2Nk0phUjNG5jRPD
cn4ESkwDfzKE/20f0Ju+YdZbKzi7qMW5LSDgBll3zhto31MpOlZtfsz64NIADX5bsXVJsBQwmmqa
iuhygSg3cHEcoELyPle+dBll/zBJw1erS/6712MNf4uaN3WhVFk3dud0HKSaAbQIAqOp9CHCbQ55
nm5o9dItmEzBqkRCCmHBiwRyGRqRGUqMfKi0M7WgSHapd+jOt5du3oRrm0AIBKuAkBJ1vACN0a3K
C52BCtU8QnJn/OHXBRMvQ7ApTI2vT8rB2pdbmaOXXo0f7+gWJBQzFYUpXEFT2fQwv1DPmxzXbp/K
bkc3tr3VWvLy2FxLma1vseUc4aIuM8JFZzd5YGI6Z334DHa04n0YN5pwV7YcbRjRpA2LbRcNOS29
rNA8KtZ69Kn4VvSX6e/b273SJG3qFmSV81Fh8cVJblVp6rSpPAN0k+io51w2b6TsAjRmG34b+m+G
+dFX7vvyHKmfb0t+eUYRTCEe/UwyTmIinPWTG8g4qfgrb7rwAPgBQHjmfy+4XksR9qpvW9hrJKS4
u/d/9vtnW1xYgelr9RD3Np0/iQ+G3UyWYKeHBOLLxvzvpclrLQQn04FbX08+m2T8FT7DdPVnmsz2
vtAkz7us5kXBS+MYWw9KcY5AHQ0/3RayMjo56+BQ+Kbba/73tRQ5sXqrKpCSBnCIDGD60tMeHuMZ
5reb4fwaCehzTR/zi6yDXeZ7puTe/g0rvm2GjrKJQ3h/89S5/gmhNwZT0/HIsbzxKY7it78Qh2/L
eHmJUxBZyBC2agxsKmDwk7vhDGuczADH4wx1XNbTqbWm6mT3A2TdDRnP24JXpv45vUQnxA+2Pffw
XmtHN2XbBeHchTjDLNfgLXcz8HI3QzDXcsL5MkDKynru9zadnCNpXbgN++lu0vJx40m9ttJkBqH9
gQuXXJfgiDMpkLxmIlFQgAgdK0947PNtdVecMG7xtwThYNdRK8Vji4SEUn0PbDWo2c3wLQmqfa6Z
p3IA49beKkivqIXtMAxOkZBhAtFZJnAapMY4C53Br1tQsMGS33qKrwoB3YY4k5vYEaN/2AK7tvFo
W5UDKPRqUHuSrTzUipEaJBbwuuQW7Bf3ZJMYIZgdmEqQEHt1UPzdVZENrH8SPBTh5O9MJ4G8578f
vyupwpbx0IalOMGL6WD8tkV88GjM/c9WQQuZAteU4ehz+fv6DPjkkCJL5YSX00epxLIvdbafukNp
f4V/Uva3WljXDh1GCNCGDqIHcAqCV9P0smB2lM2y7F32wZB34Bvr4H7CtLr3VFhbPvN0q/yNs74S
FvAAlhmKVQwZbBTBY6eGnwy+5hPferuugsv9IJkfbq/kuma/ZYiFsqTR+nDwWcr8bGkXiFVSHxaf
e3U4RZ+1Rx0U6GbY2L0NtWZyseVFVA5mzGAsvjPjsd0257DoD1q91Ra+dr4Wi6cJMWgD8awfySwe
gL5vUuefnPfB7bWbDVmIodke6oAENhxgcXRKD4MoyMsYCZCfJiDvu+FdoWxh1qwklswrMcJVQyBc
ZEHNDr2DmFRKTq16V3wM1K9hdsr/uz+/EiUYXE+STrd8zNxm5Lshev92e8VWrQ1Ttpk4oDb2oppg
O6lS6j2pQHqanXOpnmFhKqITkzXxPlNPpXSAgDXqnm6LXTOFpVRhBR2flJgVIBV+wvSDdLj99TUz
WH5dWLSkdkLfGTCDaIDYWDnHSvDdytMnejOfb0tayVcxePB7+XShtyztmqEPYhRRopPuHE+ys5eP
E6zt8ddoI+5dXTPSeyBMUfWhmnV9SFPdo+dLmYMouC5UsLENOdrwA3McJpyfOUwEy4OSrUIa6lpE
0GVJGszXkwTqTpL7wzGEgsPTAYEvIeVw/C04q3knRIEAKnKlz/MbZIevBdL0V6h6jkDDOfQ5mPHR
IwFLPEY70/jvy0f317+ixDEOWhylJhi5BM3xjc59EarThtmtXO7gVMomnb+MnQI3da2MYxapmqf4
twgqowEyj2h6G3Sw9MF/MqThKdqsN67sFxItWtugZZHB07iWSDq9SJwOnfCqO8nZ00VrRBcvfDC3
QHLWXhFXombrXLxV6gyKDX/i1RVpwT7dDdnXDtKY/MK4dV++h+Q7dTbO1vpy/lZuvrQWEruokRL7
17vlqClPXfE2fQicT7fP79YCCpFRX6saRNbYXwk/SAFZSvEjqE715baUlZM7A2YajHSQj7XF6LWI
wySHCYam3TIBqeazmm518a9c4EsJhuCGNL9O4ZZHj1y5AONeyZdoON5WYm2pmE8BJXXurjDEKkPd
pCBANChBG31l1jvrTeyf4RqA8fO2oHVdfgsS9kTOmkj1UgT5QJg6h/SLbW64glUJBu9QRbbx3WKY
UMhRFDk6x8YPYbKmh76D70h2uo0VW7mGSLHQb8CjBWhZcRLdiusOekYUCeS3WlZcolZ/kOPs2BvZ
RtfxihuF44xal6xT3KZycn1UKh8SmiDH8zig7ScPPrYMF44WnPWjAtmIs3V9rx3Npbz574ujaZlV
UjFfzIt3yj6bbfzGgk8c1A5ysMVzSL34622TWFvJpTzhmpDgZyyser6XpPhQ2bQkF+3BVgZA/7//
iSRaXq81a8zC7qDfJsVomftUi6BbedbS8piU/z0CAsDRMEA0Jw3IxXQtKCsm1QidWaWKy3Xo91O0
cR2tLtpCghBuq1mbUGLDKFLWCQYje4AnrtpnW2a+agxYOb21pEtfwE4TcyvcDLMx6G9s56nuIWj5
oUME2u50ykO392f1HmI67l9pgun1TuGTXpivvGCffc6lSw0v2ddk+Fhu1SJX128hSTA6qN20uk2R
lEw/DS89yOU3/PuBzPCGTmvuaKGSGENOJBnT0pr9BMQB0MkM3TsySq+xBqJ8GqDB7ma69NreRi0s
PfKDZAEhmqORdT/otqto9cFQNh6wa7cd8+VEI8yxktsW1o2k26AOqUUibqo/kUY/plZ/vm0FqyJ4
5EGRC0nuC9DYvpwkr2yp/YRUHHXzrma+67aENaOen5H/L2E2joWHG4Dx9KyBpl7e+zuj6o5ZfJ9A
sFb19sbur5nZUpLouz2QrrMIXVJQ8/R+7+gfauuuvdzWZ6UcTLfiQiHh3Oh6XgRzT5nLiFe+H0sV
6pRiZk0kGzbuPNs8YCAPhRncyU1xgUzl2aoi2JHD1g3U9p2WpemZ6SOYNb1KuUxxc+cp9Yeu0I2T
B9Thudbj+9oKfphh6+9C37/PvPoJHqFww47XwpClHoJ1BXY1FErPxijV8AXSyr8M3bvT2aB43ihD
33h/r51N0CUMmkhUpiTF1mJLCuvM7DFmeKvOxTcdsJx6erq9N6syyGwyYsXd/SLvyAMIRrvSt3iZ
DBXURDF81j0cqSkkUn8mSb226lKV9FLKkaQmO/WYd7utB+TqsVmoIniZ3tYaU4EP2y3lb/GdPu7g
d/0Uj+NbSar3UZVu6LP2/AZ/B1xydod2WLF7yg/ga7egcHZ7fXBjj84l6RdzaAf7ZVpHD0ai0No0
HQcjduAQgLW3ycbn24u66ox+/waxmcppB89XE36DxjRWuNvwpqv2vvi6ECf0c4IB0AHLHeL6czRr
kLbjk+KPn6IMduUBa7mtzqo/AvDSpnnbNl9g/IcdzIVNaTMEEKYXgJT2lQ4ZVdPM9IPubVFrK8dA
AZExOEdkxYWz3GiD16UOGY0QAuSjqe1f8XlNRw3gO3mRC561reLSopWU5EK7Gyvytafb3187t1xy
/35fcKmeRTVHnrOmitM+1N144nidlFD+76Voi+iekYy5C5Mw+PrQVkXdwuNHNsvoP0lGsZO9Qyhr
GydpVRcaNnig8s8L9PLSTqHQ1pn40w3pUulvc92CMXbjpKx5B9hC/hUiuJ+oT6vGaukOCWiPzujQ
B0kH9O+dVZbvsuYxA/39FTu0ECi4I6VXLAZmuSxMLgmek3H3uTHrp9tCVkPSpVqzmS9ihTS0W8kb
UIty7rsQfdLoJNuf+9K8UKH4mPrh3vKqXdpsnNS1PDTvSprVGNCdCzyCgTt5k0NhyqY5uXefTOrP
sbb/tsv4vuqc6VRGPRA1vf6ujb9BcUJSoIGxwdeVnReP2cZZWPMay58inIWaBmQvqgbTVcdvcSIF
TNk1cGN6yZ0XSxuyVt3GQm3BbYA3HLZKjKzii9bQQ7rFRLXxfRHwo4N90fZNvh90OxCGO38jy7qx
VmLpyu7bsU1atk0rmqOits96/r7VZIhV88Nt01w/1f8aiCocOEMuwSzsR1ZqnhLMd9o5m9qNM7a6
WlwWPMlMelDFivPkJG3kDUyjdDUka//0w8bxWl2txffnvy9OVyH1ilSGfN9OznD2RsyIaMpJ6Tcu
i9WlWogRztLURlbp009PfhPW3Mc321NDqws1g0n/ShC/6MMYq75zRp+GTL/+IdF20VVbOJ+r/nUh
QdjuAWrfLAwxXI9z18wHUGrMkFqE+REYpk9l06R3ypglr7GyhVjBy6YBUYlWlkxDKXeymR8NAF4C
4+srTHkhZF7dpRnM/VJeVuPKW+tjm4yfnMYOzrBTb8XIW9s0G8pCUFPGoaJNCGrV6DxmxsfA1o+3
dVkrujHCrwHCxosCzF4hqPPlamoyiytdUaZTLddOtdNmTRrdwkVn1V2ph4+4uQHoLC08+op/P0XJ
Rd44Wis2f/UzBHuxrVHKbfhq3QxH5z+AlKJsdIyvRK9XEgTT8PK8GOIsw5W68T+d8SMzPtnwFErv
by+oqIil0q9GXWxGZ8UJieMxUahJU1uNltu5xkU+dc9/9nlhnSQ5VQDe6Xk2ZWdLemfqP8MtOKsX
LxlRBWGlAqOu5FZDhlRdsuEEVIGhHjAJnj071T//mULCYSJ7UkRGgLAo+tr6T7X6LPUbl5zoi/5X
H8od9FXL7IlwSdNRGaldV1muUwbHorrrrfHQUO1NYEHu7cs4bI57zKnZZS1RkCjWQCYlK6PazqwZ
jakYoi9hDWX82yLbjeCKZKn5pNJsLRcfXrOU/+ppCEc5UXpT8qWS95kh7Wk4SNIYDuMNh7Fu37+F
CAao5F0DvgtC6nw8l1K474aLrW+cVdHxiesnWGDetHGrluyYwTDCaP1txxunVHQGogDB6uTJqeKp
rHmsK18b+bMBw5cSfiALEVYbl8WG8Rnzei58OGy5WQGogOW203juJMg1jHMoPTdx8KVWd6pnbOzP
r0Dqlu0JQUpVjlbfdIXlBt6u/C59KZ90OFmfU8ilD39mb0Kc4qs+Mf9sCk2qvxuT6XPo1z/Lbtx6
W2ydJiGgn7rUrowJjTo7cBu7OvbZvVk9RhfTb+/H0DhL6mkLBEQM9UQDEXxGq4xtmUpsW9d81PQ3
cnrq4vOkb7AbbBwmc9Z8YRyKHNaTEaGZ13oHO3o0Fe0QbBjExlkSL/gwD+y8njWR7cnca0Eq74Gf
2t82hV8PBdHqKPcxAs5YK4OKgi0kEHlTduZAlaly1sr5Dejf9zCkOqDmd6PxtdP/spSovpuimmYe
eJrkrKYBMDikTtdAq6SWu6ntH1p+KYOUEd16yb7005PUdRsVyrVFX/5UwZzCgCHiJuos1w/Sc5LT
g5y9S7xu49JZM6ClFMGAymBMyJY1lmuH5cXwrbtale9Au72U3SuMaCFJfCOGmZY24Mxhqu/Sx2S/
4Sk39BBfiGptx4bR8XUyqLUM+mPcnhLjyerd2xa0LmdmQXTAznhR0w8kRxucaEILINpBzX73P9R9
2XLjuLLtr3T0O+twHiLO3g8cJFke5bHsF4ZddhEAAYIzCX79WaweSqZ1rVu978M9ETt2hNtlpTAl
Epm51mojWz+ySw+uPHI+SClCFe0ji3IF/FgjcC3XJ4/HMnwHv//eZy92FbCVnqNrAn6eh/mYmAry
1IkzHLkYj1lZ7CqG7Kuqe4yg2bblpaMDQxprjz9W4r/eicQ2//5v/PxNQoaeZqRd/PjvWynwv/+e
/+bvf/Pv9z/iT/78yPi5fX73Q1K0tFW77q1W128NJHh/GMve5Pwv/29/+dvbj0+5VeXbv35/fhW0
iGnT1vRb+/ufvzp5/dfvoLVCB7gNd/Nf+0b+/BcXzwJ/fNupt+K3XfdcZIf/9O25aX981Bd0Hs5U
ZjaaF4KZBGx4++M39heEjZDp1LExUVbGxipk3ZJ//W6aX6CoCrEpdFE7xhz7//5bI7sfvzK+AAPr
zEw8qNj4oMX6/a+vePWH6/xj1jEvf/68r9wLW++CSnACor0KqN2ZiB+wBTww3l8WblNUGdEzvs2F
1iVpzQha4kCGIYWjRwX3pxBQlIcmHy56GTzxnGbrQrkOYJKo4HS9+ZS6/VcIbpwNHk5WVvJbEL18
H+m0M4kLqqC625ppPQJ6rOvXVE4y6Rn3Q1tM6tosCXiRKmbGQaCuqZAsTIWVJm5WTpFnAqtY5Xw6
t7pWxX6bX5CSPKISir8ZrCC0DY2t+SibdVWMkJMY+WPXmbdK00QEFDGQlL51NjKnDvPOspEoBA00
1M9ezHzuIeoqJ5HgmNqwlO+k7fhhpkkddRT9herlqmP01dAtc839goeAMUCqwBlFbHWZFeWa7mwM
LVBRqft3tsXWg+jkmZNWZSgy3w8l9SCmZU1GyMdxCxnzF6vL66htAj0UpHKjwfK6SM/NR2ss6Klf
sntl9MVq0LqvEhi5VTkWZz0bx3ACBf9qVKRZNZKe6MzdEOFtJ4TJUSPLV4u8EFBC50H3YDmjjLlb
aFE7dFmsiVKFmmtuJ9t9cFQjboRhZwDGmk/uYJza3H+BazGjfph2TmnE/qif1ZlexlJ31kxHGYbA
IfRozU1aFKChFbHhw/hsmNnbYNo3PK2g8wOttzMQhttYC/lWiaA4DXQ0VuZKrHzlD3FASrTtOenj
UMoipHp6nttA/xUO+tYlC/Ata087tUFWFtoYooP+O2SSTStMB6PCBFbXVmVkYVtBmyzgBKvWv+rM
ueqGGj2U9gsAvyJC6heRlFPHKGSmIeQSGPLTLXoznDRP/JZoYVk6U6zcFBwLUpx5cijOCgusXHxo
IqmzN7v1752efxvRVbuitv5dQtIzNgsLKBbk80OtcDELeZ+HaWHeD3rjn1gsvUqxmYnbXuj198n2
E5KZZ6TJg6hXYmP5xbOrjJNBiexE9p5x2ekD2/IJNMQpJU2UBQMFAzpkv5VpAN9JrdOynWTo9d1F
Tp1L2WCHFBVP6gp1I9ttPdAk+GPUVMa16Lw8YlP73ZxAONQKfWV3RRrltXVfjIYfOoW8rXV6Qce8
2uZWelqyRocuKIgBzby4FJ6VvQDEqidVwR/azLxgubFJ9UF9HagrktTIoUVIS2sr3H6KujxFf75e
kThVzeVQg+la99pzbMyXskzHuCn5JjX9pJrcdTfSE6s2do5mJnqf5+HY5V+FXd9mpnPmdX57quui
j23w4awIAxVOldnQtjOr8QxAohek2B+KMejuq5RnkTeU32hNdVRSwHCkB91dUMkppBPZdlphRcLG
W6erubpLLWlH0vF3qciyGwmJGOCjqJsQB6QHk2tWG0sAWm9qPA/LFt1OYlBT5I+TvxL1aCSGGqtL
Rqp85WbZrUdNM7akC3470GElQUuuWT8guQwVwKT36irKLKD1rckPIgSk330i82fise+k7oLEo6w/
04Xlx7Lys6QRfhsO2WCiQqeaLTeDZjfpWh46pBpiIQSU0svSjJqeyHhqGyfSnS4Ppyl76uxSJC16
GKLGNps16mQ5ZE8BD/Jyr4layytD0gYkzgeBw2X1cdOar46f4dzVxU0RzH1y1pWk5FVTAPtADU1F
QEdDONVuu13v8FOnqvsQX1iGpq+Aw7ACGiPdZYS+WVwWaeqvXcatmGfDBqlJ7Anr3PVaC9yiyo36
JtgFejp73sBYAdlEwlr5EtmIa6fKT7qcbovRfaUIjEMctbfKb7aOdB/RZP3UunMzL+lxOSOjDthE
wjyvTHrabSw1nKvRZadClf7aGPoeWOvmvLTb1yYodu3oqDBvoSc5GeiNAFwlKmiObs1a4rt5IqrQ
wwlfjnfAJB2RmIMQCXSwxNq0Kjd0/B4bC8DajKKUbZHu1Z2mHbNzFncAekWmPrw2tI+Qm8xONW9K
k3FCe1lRwg0UeftYuDKIWxBF6bx+FHr/4oqehtVo1CEe3zud+xjbdAYuuBNQ5Makau24KvKbYmAk
zKs8jaqxPSns4KomA+A8qrrsWgdYDovGBsetgX9zgVuyxPlGdwo8FLQ4QBdpQrszyXxdhZXp7hhm
ZhgCqJvISgvbMbuu2/rJs8vvzBu/mZnmxY1jFFGn8z5yZXEPv7SRjQCxuxrwDbRV0eTXZlM4YUYh
cSo9dWem9LWqmRt5FnqzulaQZIB2LPhR7TqcBvDcE5dcuh5/0rPpWi+xrd2xvNZ6p0tqw9e2Tda1
YQ8WomTI+3tOvADNRBCSku0wrSfOwqJGMMbTm8lSa7/tjaTTHDc0uX5b4paNcabQzZnmu8YR7Rq0
WSLkIqgiqdABJ/OijRrilqHVIaEicpCRZ4gYQq8oz/zG+zZ0gYyqIEDre3dv5HUJqJTYmG52n4JG
Pxx4eut4QsRd1wzxqIkXMnE9CZjW3HeVMUVpXpphYE4mNN8J/g/SfQmV1s5zqzQs/UqPCd4QJRgx
I7O3ijWrZL9ylLNt+xoaT+50zbiMTM2ZwrpVWwjM+oChNngLwsEAgMybCOkvPEdbKSMBBlC0LDYj
vvFAQsaLtSw5jmKQtqEzXpBiymM1GiLWCjNAf5n9UNrWrdP7VoSM+kPl1BEgsUmtWJRNtVqP3LjW
UnyCLTL9R/5Ho/TGcDQcBRWsSgshRTWsuo6n52BcR8nE1a5bjwWxasYSbZNSQ1g3DWEAwjekrzo3
ESJIoOD2ALrqb3Skd5YFcT9XrTItu5cGiCoKYbBta3C5EgZ1Qsdo5zeccYeLg64sq/c3tqh2fod9
iJsri3xb0sQH69qqByWNNx/EbnQh6I6aERhdOgXP4T451K3CXvl9aPRlGyEzeJU24GW1ApKtJ623
Q9yjGpRJKIha5XSfTdOz5mlamJtml/z6m+WcfqtlI7+3798p7x86/3teNhoEbIHlhSQ93iH/58fN
5rn7bU0XT5t3f/vzdYP2chcoWzDKoDSB58NfrxvnC3qW8FIBNPsPnO6fj5vgC5I50DFFa7o5w9hm
CuE/HzfBlx8YGXAmo26kg9jI/JXHDeDJi8eNDyE7PL3QOIWeflArLPJHetMGOqC8AyADvQUf4J+W
hinjzncutNKmUc6AW548tgucHJQ4+S4DBmnV5OabiWMaexPb1Hmqwj71nnS0oEdZPe4KaYHhMe9w
l+hVaA0li6UtvjKRWnFr5knp6SPorbINJOZXqV7eecx1trY1XjWOlYUaGS9JN14ZpGsQjPRjZEOS
WXhoK4YmrhHqIL+PvEb3Iq/Tr92RlqHmSRJNQTWakBaw6vZ08oJ44qIYIkdl6qXNIHKFBg47wTrV
1yzwXsvMQINdauOBZXWqjqe6Wqea650pyc5ort31NU+yQr1WLbjCzUCegaNKJq5Wb6kXvFTleD/4
EwLxrCxDZVZrsxyeqC1PijH1MWUOS6pOb96sjtj3vZqKc9K3HGccgne4oatNyzWJ7jhhXClXczbU
Cvqvyu/WoHZ8Ko2ujzgvz8cyfa5s8MrlrEAYnZLQyNGa08t5phFvggN+E+j2tmkG6Jb36wkXFD4e
Oa8my70rxYHNMJnmhValXXmZW63w5uIxRIDzmOTjE6nUI606EQIf3MU6p5BOanlWhYTwYgXB2TKB
szZCN3PVszOM31QKVQA7Be0TL7xzt5zYDe53I+4cnvPYorQOMzCpfGfTSK/VAKFBvNLrk2bUWihq
ozzsWAUBa51KcFbOXIescHEngyY2TWrf2by7SvXiBKryV6Bgwzt2VCJ0tCGx2+qF6t132ddVaEoz
ERLqK73fs7Aj5Brd9WGLEknoGgKRQW5/V8x8s8s+iGwTswaPO6xnWb0IejrOxslN76nEdXomicoS
YZAVhAOmre6UeuhyciebyYiUhjcTq317Q6c+EUz2EWuqJysD/iUfxjapFNAWkzG1p2SynHmb3gBV
4m1tgeCKcK+MGbcf0ha5VTRe7trOjjobkmsw30bjwK/sXIiwVO5dUTcb0ObY8WAjts0tPUcQMl3o
KsW1KptnLdfWhocISbO1RNjsDRTWBMzvw5kjq1VheGNCbP5Y1QO2WIrXez6NSLBWU1g5QPJ6+o3H
VojOY50OEXUgPE9cdP5qXumFvd19//Vr4X9NKutvp+3BNX/i8OVvEaG/ndOC/BYhzbaf0nr3EX/5
fe+LbvwhTweqcWSjfvp994sFkV6AYywUFn402v3p+A3jC4CDyGZ5lgfMkOugyven4zf0L8h/4WaC
bDw+d054/UJWCxfIXqEUADRwoIM4abZuGgaI3d/ntGYXJesaXgcvtz6rTltlhSo7BsIFf9A7O75t
AdCJjnN8WyDlwZY7/36v0GIXWkEyyIBtqpqmG1azqwKSyxOvcoGuc7vYmi71z03q0bjy1ITtbUg3
hBLqa8H5K0WfOh56RPMil4KszxcIi5qJ1avRHujaYXr1lQc5BQkZ6EJzfyJJ2kBhrKgRtvWU4b5o
9DqGcvZtXvnDxq3mthQL7zg0jhRXY9M9gwIF9JlB5URNTfxIKaOL8DTaVY6fr9PCCr76eoc0RFOj
cGzzVaDXDeIucu6nXRBarSjjqlMakiQT8izDJPDSactQDkxeOH6TrTqwjl6bNXC6QzrWD4iOjbj0
FVvRNqWhSxof/cgNeZIlc0EOoqNJmZRcJT4KAFFV9q9jZWtr9Axd6n1PdkQGaViMFALg9vhYSfbq
8Oq8NspsA0zwgztnoaapOunwUJow+LDmgJTA3eor7LzgoTSc7LHzlZcYk5XGo6j7NUVnhmBx0PY3
qd2CiUjU104pEUCXOtT7eLMadHktbYoXOhtdmJ8eINwwhJCNm31ZP4REtPyUBO5G8+GjGmPkEQiK
37Kxucwb69qcBlAxt9B/Q7KPpN11Xrssmgz/iUtyN4ogYpb9aHqNEfaduCZD88wL/aWuhvvJcc9c
Nk3r0uxVZPnpVrODbZVa35UnMDynNkO7H95qiP+EbJAXkJ67ABp7jPJKZVeyGMR2QI7kznTHB0H6
NAn8iSaOtCEDIaZ6Q2VH5yZnNAg0nRXW5nhl27i2stFQUQ6KuxOu+h2iCifMa7ID3KEAzrYcQx5c
9Z23YYKQ2Lc6Lyr88obS1FilBsEd5RvnfsZvqj4vIkZyGY56O0Vch+iAqrGlRVVna6Zwv7Febtyy
C6cChCZTWXtnXAeBRV63eNFO1U3KSRV5fdWvW4c52K75LsgR0JjM2Go9nqHpjKO3CNK3ssZN1dJy
im1WlGGX1TgEzMdkl4OD4t50OfHma+1ZD34zPdW9/mhN1os9ZsiJBSKNjMK/8UvQqQk22TEt6tex
trzrKWDW+cjatWD2dZA225SQ586eIQquAMyLdFD1DbQIkQBdIfmC/45TFMockyVMBibkFAScXr3K
qsHcDWXlxR6pyKuNFy8Ns0ySMh70PhjXBhmDyK/SK8NRuODzoq+tqOGFEckUwYjXtSPCl5JmG4D0
0GOWd9cTgqbaTfuVp5zNJJi1guPwVgaZbiTJRETRXBzRrBtv7T4Dlx/tL3OStzGc9JPysxWVhZsg
NMHGNbWHoaFXdYATRNgL2kl2dEix70l97pvlXUX8xGjQuJfJW6Gbfdym/Exx6wycoqfUKPA2zc00
aitbJA5vdq4Cb3sxKlCFTPIWMiRP6TS8OTVqrWmTRcrnp7w2rj2O1JCUE+apTaHhIcwuRE5jJQ11
3VXNk54OkS0xU6IzElQdT0fWaSFPxYMSVhUp7rwg/zXGgV8/6/4gQp2mIHUdum9loDB9o3kqGx9/
0UkaST94ZEOwoS29N5sW6c+OIEhyQkTYT4PGbtCItOPIBOKxn9+3br5zRxssu5Z+l1Xyhpn6TdoE
j3xAMULXoNvANXbeuOwsYOyUN+Srja4iZDG+at2QxWZX1/DPiEoH2jgXbWH4K6NvQYTUlGRc+WUl
8eT3pULclRZumOXAbGQ4SjHOTCSKiYY42VVkO16+8UEXzEO4fRfnlE1rR8M3d9h1L0wwrsupe9GL
LFuRxmIRb6xT3QVzRdeg0F0MbhA69+WuSMh1s1EtvMX/q5jnXTFv/Sbn6lizfCy/K/n9/1Hj+xnV
fFrmO3umiIyeu8MBEf70r4DI+gJiWjQ8gokXccHcoffXQ9jEQxi8YDrYPU20K+Dh/bPM54N+74cm
FCIWfX6//izzuXPfZAA+WnPu+vP+k4BoVr/DV8An4jGOAGt+J+8FKlnWFGnbTlCFs+4KczNaVejd
7oWLByqJc53wZ6sGnuoLE3PDyJ4JvzC571HdR7EDOPDV6EW5v6oUZGL+2Inv6sj7Jctl5wl4gB1I
LqBTFjQU9gf5czp0TEcokoIADIktx4TcVXCk9+FDr+LSxmIwSDhmhdnrKcAiHKmnKiBRaigJIfH2
RFGlwkGTG2ri/UELHyWrsioTvMbE5vM5fR/HgiBgMdT593tz6lWByIIaX6NLrG9jDHXW/+zzF/Gr
b5PcdQt8vqatSjz1cMX8Mrrw/WItEjCyyVgwCVhArCZpmHz+/d/vuY/zM/9+b34osyjvSmyFDOlU
Wt6ax7qcji0Aju6+gVZPmQ9nmp4gl91doJbZHIE+/ejF+nlsPgxhCY1m2OSEsSY9QXUyUVDTQAid
mCPEuEl7ivTuV9AebLXOwYU5nA3DnV28cuR2QqoHN5kPasiuSJRxy/zskYgVn6aV0tim0vQpCTQU
4XzXezWMMQ1t0zstU5RiUmV/L/oAeRRP9SEJUNiqphGhW05id2CrrPnq2e2Gc/fZmvJvhUtvR3tK
cqTZCa5XhNJW18UN4hHXOdcsY9OZ4rvP9G9d7u6oyFZmccX7dlX5YUeJDdYE99l3zcvSudJRfAho
fkwy7qBHgHYAmnDRcf6B4clGL6w3VWaKTr5xq8x6qx+T9zy4D/YsLDaaZRZwBODZOhEmqNjETjLv
pjumVzufhQ9bAXwJswgZmPnntOj+ZlOjnvet7qQnIMxHNj37VpqPujZE3CMXTXPy+dE5gOnCydyz
tjj7+pgFnua5KQhVzDtdH80EmaRVo/rryZ78sNYUUnD6aZ0G4Qja1s+tH16xn0NduAW9kykKsBhq
d9/E7uoffDiIIUFIAqo+pLrfz+NUo0kFL7H0hEExMuh78Gmkt5+bOLhUeyYW7cpdBlS4V6j0JPf7
73qrP/q9GzEcydYo7iA+feTKm9fiw87YM7e4vgGPBf+91qcn53W9y5pw7EO9PqYxdXCP7xlZ3HmW
q1Ed6e0UWLs2AZspKuuxBq6Vz2fu4MrvWVlsct8b7LwSA1z2tbey+JGJOvbpi01d5Ei99wDqnfiV
urbZHXoNjnz/w0sBknZAVT3w0Cx2bgBK3gCNizik1e15yqNeP3YwD6/DTwsLXxMM9aixqcPecv0r
FKhvUYQ9bXpzHVjDqsXeEq6P15cd8cxBKTLbuu2wCYgGMvcpqcAe//mCHd7qP7/O4gp0OOqfaYW9
Z6cJkiDH5HgPr9jfH+8vepU9ToTVOfj4Ec1JPbIZTP06dRQ8HRC/wO75YOlcwou5ahxwFOF6KAGr
StJg3ehHtt3BOYK7McGbaXsAfL/3OMNICuIwKz1J3RyRr4FsmzgZyZnQ8hM/LW4/X5GDG2TP2jyl
e1GPKIestpDEObGchKUrTWzTh88tHFgU8D+iBDcrmUC5ZTEe5oPcnkAm4MSYuwWcK9P6dTQt+PD2
LCzG0Jh+BvQ6jhEE7eKxo4m0redp5k42/GNslvOBWXhP9P/aaLHE+nsf6Hs0MY4at6v0pFhpziUd
I+U95Tf/YMb2bCwObTamAy9HzFgJAfhtS0kQup70os+tHFh5F29C1DJR17Q/cNCaPjMZFic9cSBh
QciATB1YDHt9/bmZAz7unZnF4tQ11A/0HBNGwKKj2cXKGu7RrrFFGebIgGbn8WFp9ga0uA2kQnuq
UcFSiVbHook09I7w6wGZFxaWGQgaV5+P7ODG3rO3uB9crXFzjqIjCA1sEQ4NOe248U+2wp6N2Vns
HU8Hmg0N1Muwta0TaA+lx7jdjs3ZYqt5xBhdz8GcQeIX7Jwr07+sqJb0iL61vj6d7OYBmdLP5+3g
Edob0+ISMBUAdZqCzUDG7lnnH1mWIxtueQlA7H0CvRs+Hj0p6rr4BwJF+/t5Ts3sr0j197enYRof
Y34//N2RivDg/a0Pqk9ebWsDr4oUROhoeGs7456Z5atKG7ql9XRkog5cNBjJT2Pm+5EY6B6V43xe
rElcOCNSi9WNBcVvdLhvFLp6Pl/1g0PzTdC36WgP95fzxvGcalSNoQH9vJqcDGi2zFi7skVRt376
3NahlIuLNniwxem4riEm9X5o+G+1V2oSoVuRrZzWvjSEeWIF16aa9buMyICkC9AvG2L3G4vdf279
oF/4aXyJrGyLjmXZfEX09rdKsRj0REdO0KH31v74ljDKQfWDH6QYnzJXKtvIKinu0mtnCF8/H8pR
Q4s9Yrr1TKWBsdjdo3WhOZF/kUN5koXmkSzZQacArUHHBrwB4JeF84aqRwH+PY7t4YTEiNBiGY75
i3UljiCrjIPX3p6heZ/ueVQ0dNtUCQGPGqyL2+KquSit2L3ssnUjjoT3x8a0dN55UY50Ps2GNqxq
tPqbxEJvKWt2BejsZevu7GOsxwew8oiF9oa3cOiEDiZr0L990jtoRaFNqqNlsi/WaW1fa3CGHBop
hQl8Z14/tSUp1kaN5iO7ro8pah30LntfZHEEi54EHeuxoHmeDBIdvd9L4xhn47HRLsmkGjmV2WDD
SGCfdwyopsgqH0Bddd6AahdhU109HTncB93Yz2HNrQr72ycoHAkcICxqQZyvLW8nh3tbxUeOnYVP
+RDK7FlZHDtiK80sM2zSrl6lRVIBCyNW7T29TW+8c+fcECAdir1jIPRjY5u/1d7RwGsnyBuJscGl
1Bvocn4+qiMnL5j95t7HM2NALNNiUBWRj4yfSzncOseumYOu33VRG4F6LUBCy3uGZoU+aD1LT9p2
3QzoUMjMreZPSPDbK8dAHwGAdxtDR9EQWBDzGHzvkO/ft75YuFmAAcgZWBcZAa/f8ejm0CTuG1is
0djQkXGaI4msx2m3SaukHNefr9NyDGinQcQKgqS5KvIxA+oTLTM1VpFt62yHTa0d+fhlyLn8+IWH
ytFuT3mJj0+d0OiKLRC0AhXuOjJN2oWp9aQxBcRUdST+WPqjpdmFP2IOd3iHxpXtnHFtBj0RKFUH
rwP0fiChKh4/n8PlUfphDcpeKLiBT+1DmgA0Hjap9RLYEhTB0ReYRtlNrr/8Z0bmL7F3oDyrLLIB
rQHbLFcrzXoyILgRCmv8ng/Vkavs4OxBTRahm4k+3GVSwiiRBwsUxuNjoTq7PcsL5xLVKrTiI4/f
TN7m86F9IOv6YwJ/Glw4i15axjBKjA0lfHCBTYlbeJHU6F0NTN9GZ2OxdrsSxYaArnu7ytDu7UHB
RKRrhm/2+Zc5uGPRTmZbQOTaHyhaWWBNhe9KsqWQdHbzF1agm9SxIuW26IL0wkaaV15w/7nR5UH/
MQE/jS6jyL6HuJ1oMAGBGU3z2MBogUcsc+1fdMtLQ4sbLQ/aUivRYLAVAyBpfLxEI+vGIcdIOQ7u
IN8xgUANjOADNWhWNoAFBPOJcCO9vwXbw7l+mqHv7PNpW8ZcP0azZ2a5bzQmaiEwbWWvzHVf6IB2
6uWlnPy7mowMKdbUwcKR3edmD573PbPzau4dRROoNuZ6GF05yhvS0ysP/dhtjrYPZYxHzuJB/7xn
a3Hs0Udp6JMBWyOI6ycMxSm7Y6zyB2yAh0ZHltMz3I9ye4WjgjTIMI0FAzRzlPJZz48lgz88LrBW
MAITkPXT0XU8b5m9SRu1wCjMHEY6oGJJsGPNDTfR4E6jFDixzxfowBl+Z2tx66CXQGX+vMtlgY75
/sbrnTPX0DdpC6whFSsKpGnb0F+/Bt5Znb/V3gj7HEBQe75Kc0ANfb5DUMDegl8ttizmccmuAMWb
IeAFrLAiTNHvX/iJDI5pcR3eEX8v1pJkwWUjFWgOI1vL58OqKDlgU5aefL5KB5ze/nwtGfjKUfCM
VbikDTSLX/DqFDRp/5mFRfyETowWqDMMowcYvX1T9UNwTH3t2CDmmdxbdEfZhKt50e28i/KVKCp0
oh/Zzgf8DXpw5hLBnMH5IH8KKKFdVID4b/0+Rz8w150Vy1U4gjMm1pohOGLu0OLvm1uEtRxcxKpT
MNdNhQHAJI9Hr1G/HqG9G9NiabSSs8qal4YZr2NnDCdZi4FonH81XFFuG3pMfvegA4IKGzBHuJWQ
sVk4IAbcetlQDCvtN2oooxxTCBTrLTIRkZapjV/RXT0EiTzGl354Pn8aXnijpknB+NXPhtETmbtV
uyXm1BxJqRwd3sL71C2VI51X7ZawOmlPv0MJLbAAsU5YfiQUPWwLmKmZVc51wa/zftO7Kvd5AAD5
NjWBo5BmXFLCQ15Y6NDUH4hzA5CjO+t1HgkUDx026AP+bXdxGVZNb4+TDbvUuQGqNdStZ58c8eIH
YgqY+GljsU3AO8o6msMGCBJ8QWNJNznGItfcai/l+Pa5hzq4N/asLfYGgDlo3ASQaivEC8vXZDgy
Y8dGs9gVFBQL4zDPGAOmtPASPneb8RUtj8SVH5Iz87W0N23LCFY5td5TMJRsh+bJ4TvTuglyC/D7
J+lV111+m2YhW38+d/NK7OdNliYXsaws+6Et5rkL0FcL9ojz0kyG8UrqDRKYwZFU4pGFmgEo+37e
7RqgJeYtH0wvDA3I1j+4qvbnb+EPx5zzgM6DQZ94eV7eDQ+fT9bBowOgiW0gTWLqyyR5Yeu0s2mP
9QGcGs0J6D8JTnt1JDI+7BkgwAY+mNnKMsrzoIWV0dYg24avOydy5PXnwzh4Fe59/uK8AA7JM0p0
sjVV0hbiIcvGtZ2mcXDk3HzILP3YXHuGFgdHM8a6r8D8sPUbIKUDyMRHzqDTqDNsHqOWupIS/feB
A8pdlyg08/siFEF+rH3sgxT24nssw71SZs7gj9gXwIqDh8OgYVHmZqzpTZfAMT8EoLwoZruTN9rA
eWhjklrBrc97M4amHDg+tGONOIe30t9rvAwOc27r4AzAGpugGwbtQJ18vsYHfZaDe8UCY/JHnd4g
k2j9nPeQN09sOk+xjXb+CJDyXTaZZVQDuC/94evnZg9urbmdBCkcRE7e4gTK0c1AwwSGEFFC8IzY
o4AENLgb/CyIR3c8coceHOSetdnf7MWNbmVlpUphbRq+j2HvgXoO8KywkAIwoiPO+aDv2rM1L+ie
rXbQAAQasZexanE9og9zYtkxAfpjA1rczaBxSB3/x4DGC5+6sQd4csURDTtnUIAOqyP++NhqLa7p
ejJGDXwGkGTRgJQtyzirysj36igF8PXzjXHwntmbvnnke9OnlYh3jBbT53ig5kAKaPDOUvOZCejC
5PzI5j94uPaMLfxO6/ZFX81r9TKF2/IfBN3QUoFbQ0vTjKRfjCSvRWnXCpdM/+BpxlXlPIO4oc/S
ODsm3HRoz+2Z+nFR7E3aaJE8Ly2sjyVvR9ZnCcpPRvz5whyaq30biwBA+3s4JbETfQiznoAD6vVz
I4dWf9/I4uIH9geYynnOaufZ4lOsV1eluh4hJ8l880gQcPD63De28EGiGgqLzMYm1q4k0q9INxbf
bNWv6P+Q9l3LcTNJs0/UEXANoG8BjMGQHFqRkm4Qogy893j6k9D5V4NpYtEh7cbGmmB8yKnuqmpX
lamQweo7zYVKxUOqMCcfBUuraMbmvy9mjOqFXDGKGTNq7RBpX9GPLiALXEfQDBAqgtsB/7pGCLqB
FEEN63JcYQ8oSoc525O17hEXBC5UG9xxkSoHgid7DsqgHgKUHRh18vcwuMQCDwUkU1dEEpnPwsFE
E9epTCu3NF2mHOJStHVfW/qvUDhjIpRo5bk/l2mCq6Acdy1aFYLBcJT8xn8qvIMen7r63AWdq6DG
M08kp4tKQTpayepXv4HLGDV6W4uibf0TkW7RiNGhwCpv78DOp2uHtnv969lbgGF4r/0j81Kvw67e
P+U+oCbqoF7JScGMtw2z4oZXMFzawO1Z0PoZYJTS6MCPJqMLFYwy2yAr69MVCJc2Qr0NetMAiPy5
qt3S8h8UIljWt+eGSVyyiEA4hgZEeCFK1m00UEFM90kpz3n92PfBDvt9Z9ukea6589aVSVyCCMNG
k1P05ZwSDUyBoQm5PHak1FXis9Z4N745HWneCEBFkzVH/CIrgfCxGfIORmomZKvK0SaitxcRArdx
ubgDWDUqbFRqQQitfh90NaaMLS3YZLisp5NJzcDp559QiP825O2TXAoy96ojLBC4ROFTGS03ChDM
g/eqJMcks4P2+/bkr/ozOEjBa6mpMlhOr+dBLQJWjyMm34/pDUEqkNCTmoKtnkJCZRtqfcAuUNyE
JMwsdKJU/ilyI8UKA2f78yJLuPnwJbD6jE3pn+5Ai1BjMS0s/R9WOsz1xQRuRsax11TPy+dQseMX
+XXbAnl9wi+f57NyoZREawqsDDOxrxXUjiw9oCG/bZ5Qax+MUIEBFVpgScG3wnAEZ/x5pj+kARXc
SyDpwN0ff07SDC2lIU39U1w2R9V/Vcr+vv6HO2ic/y4gs48swr5vmD4MMUACMNc8G4ftAVwdv8XX
OWcmxRhWVRf5pzSwIZH6Qy0OWoEOa1svBEirzrZA4nx5wqsgoej8OCFzGardgySC7Mpkv23P72uV
rTnhfFqPU8+HOot/mjvWq32cHeAT+E/jOXDayAJFg1r80JqTaCBFvsD5eSWh7mwwgas9su/NLu4E
S/XaNcyVH3CePnXock4qjB8qSOsdGx/yXYH+wwiUhMftMRTMFF9JjFJccFuV8DgsA/7gTMouempk
QWpTVlHAUYZ3HAOk9LysHxj10sHPiH8yyAQe3jI76iw/x6NnVyWa43PpeaqMfYnniZI0pTOZKlgC
yx2tBteUh58zYyRoct87Up3VmRcSNI0/9CyztS6/70py0BvzLgpGGxeg5yh7+4chuvx4ldufqWpD
WkMOcIeIrZPdHsiBpoLkvL7pXWBwm7PSM+RhohigKrlVeqd2WtnJXv0HcurutMYSPeWvOvACjtum
FWNHFJCg4Pkues6Rx/RjaApWZ8GUf2iJSYxRbXWMmq89N+CvHtN7iuKOzhPg/L53+5AEFrZwOTNk
ecXkCECI/YacpOjNUh5CO72VPuMBl37VA4vdDa8aOLoiy/+X/cECnEupAwhem8b3cfIynNLpduOt
aLsrGsf574sloTTBXjFIEZ4yKrSXvMfg5x2xbffADrTt5so8UFsDyWXTHMqbOglkBGk+8x/pxks4
jEc5l6BiUxtWYORQhpa+a+hnlsOHpqpDpyogpFmkxmMnvYHf9B3EfboDCuQDiHx/TAxPmxBpB42W
DA7QsbyJwv4zeEVF/UrC6OHycY5qxM40MAs+yu2G16x0ZNM2b1BqVww2i0DZCQo4wXCJRotL0eB1
kyV0ECAraC8a68AXKKpPWXtc0mdmx//LmnyrO5GpHOoBpt64BzdoDaZgs96B+TtL59tn49v0DYlI
dPW+7m9oYTNABIaeKc6jlRyc62qAu4Qgk+4K0A6BewXE5YZ023WSSONqHqSPLncB45wbfIgguE9m
sNam1S7TwZ9ognEqeyzUN22KrfZvtbXxsIAxvSByTm4MXlMFs3lREh9wb6r4Vg4j5fB9O5pEw8i5
ZBP8BwcsWh3IlGBLqb75NBEcuEUjyLnhOIEfh0WwpyKplY+PEi4EM++RJSjJtKURBbrBP10kXIbQ
4NZDKJ91yOSA1MvQjuYLunKgomw0j8+GZ/CMdOjIUJDTBzwApbIT6YhkhHZ/h0JWUC5YEWjStudr
nvctPAV/X6TZFnSbE1TpEWu5gx5OkMMHv1LNjf62+wn+Z0C+Am9QoL3Bf3ELvRbhYief8CBZEHU3
TtL9xOht2NVWpDGBSSsZ6gqKM4mpKDSCjPj8lpeC/PhbEsT7vx60KwTuKqbS0JQaZxg0OhiH4rsJ
Viqp8UCiPZ1Mor5sg4nMmf++mKGcJeYwQpPixKTg0GY2Vl7BXnjF567M4VKfboIcJwWt/Cn7TsCm
1rlpdCCTVXcPnfawbcxKejAkFEDMr246Cm45N1Aa1keyms6VZi7xHArmtCSbdtQTmDRzJfF+fQXE
OUE9lExPhwyvlkZhG0mCgqPRQVPnflJk3UlytbUNRfkpp94+Mih40/qDBCnDaUpfCmP8nqSJ7VEQ
nYQKdDLaevqFMlrBxK6E3tVP5LworoMR50WUHkd7o35WY3C22qXnbA/42hvDFQrnPl2agSo1x0CE
0hcf1eoGeNaLc1BFe0oevDzZpS12CVQTBKFoojmfSpq8QIMiJhp63Tdq9lorAZgCOwuP99sGioDm
vy/CwwvVIcX9BCaaWlA4BFv6Q/o/Oi23dnYFmpyrFkOY2qn9xc4FvrruB+Cz1lDci447bikrJhWF
1V6BzcAXlDVL5k7rDr2Ig3Qeby7Pww3+gPAPdEkPBtKoRIwnXRTYRPpSwa9rPxHV3a3mkgUOF+DT
SEpPj5B8o+irWkFHomwGG5V4dokIU4PwSwncbQ9Y2wbDNrRUze+c0Cbi5qfUu7zL/ASVuJNdQ/8m
ORAobEa2dg7voZKh2dOdnNvTV3m3Dbw+cRfceSwWrqf3YVygNA7F2vRpArnyiBO6BDKHSLLCUIAl
r/v5BYzzEqOB9moRx8ic3cFvn7Jpn4bgLbaVxDYCu37IiZOdi1PxddvG/5I//uDyFyU4d7WqjE6Q
E8Qd4tiVb7+AbBAdPPEDtbvDNphgQPn+rkEeegYxGGx+int0/IUP/Ut3jv4p3C4GcStD2deaF2sA
MdSf2nMBY76xX7oiyH8co7yp/d7wXJzS5LK7oRdazEKMG3jhAnOvhadKwf0G2JLGEConFrhU0bng
YB++PYbrgX4xj8v3YT3KkZrPK6x/BrwFqlcriH9ug6xO1P9nbQaXCdg/rj2/AgM5FIXquY4xsVkv
f4+Imdt9ntx3DRzjb9kYfo/lAo63iRRK0cioilLQUa4hiVRFLMjxq8OmMRMKBXi0+dCjTNSqlGJw
XZ3MwmbfPEukzyf6PrdMmZHKCjZJeBYyZAcXXmBLaaxUtJSIUOZ5W2SkaYB2ttyP/om2aEfQyOC2
JMpsdRQ42dpFLXZvl+HiUl8P1mRNiWEOOHJt0Ix+Gjy/clnwFk/0RR0SNJNX3R40cjdmcJu179vu
t7rILNC5XHh5kNel4C5OZha0DKppEXuv8q+aZrOq8QQF17OLfVg/L5B8N3IC8QOlUGb/0Id7Xb9p
BxFbz/qWlargbAEjuaJSLqhMSAMMearjDfk7BNWMZG+mEDZ4gLTJXe925/QByivn5Jy7wy9dMJ+r
8byA5gJMi3SWaBn1T52XOsxs7G6aLLCjQZhGsWpBLdfqUC7AZideOikjsq8lsPNzu6OHbc9YuxWF
suZlELk4SzJlkPBihcu8m/SUP2bP8nF6797AF3KjWE6RnKufaA7ZBhXOHBd2mTRC+6aBRcax2IeW
cVMCq5dtR4Az3zB8cMKFcVzUoeS6zntdxfOI9rnPfimkeAqC6omlxZNZPub6AO27BouMAHb1LLWA
5cINTTu9AqVovM6l+yHZ+yAz/YbNR3ybf1bREADlCei5mZZoWzf7+4a1vDpxLyt1CNkYvDweJ1Qd
WOymuE89yzZ8V2Dg6t4KrXDoT0IHLBj5rj0ybUPQoxtz5FnJvr4LT+ou8kWztzqKCxBu8vLEz1jZ
AqSVvwRqc67DRwPPW+pdE+Jll77qb9tWra4FCzxu1vSiBm22BzzFGPCkVGfQ9MP9tSoialgN5wvO
h2kqqywqEuafekgfOHJMH4kht4IQExjDq0inFQsGbZ6hzH/NzBcjCe1f28M1zzHvbajvmsVNkT1+
q68usxKEHxkZg464bfiG3CsFdlCKLi3X1q0FBn+DmHtQ7Om7kbhd2O1lGtzKVWA3w11WJUcUQO3+
oUjXWOJxh7Gk8UH3WvTAy7T4ECnpsR3uNBzKYm+Ayl8EjSE8VQniVmSkwgXTqPRT5NXEzT31MHnv
YTTtBq/bKXlgZTL7npSSqGl2LbSWdnIrZ2egzLXsJuIGVQuJWB0PII0mjfeRT3qrn9o3Sj28Vhtn
L632Ua8ndhGobCdHuStp7ZNHtYc6g5JtpMpWkXvyaZh0NADo9Vs9+P5pykI0Xg7V+FDV0OLUTYJb
BjVwQ6PJdtIkGY4PMn5PH56zWsUVBKjzIftQQyXAzPbNaN4YdYgydqLkllyVt13t67t+lkPA+wlY
jOitH0WQuPOfJdm/waPRLsuHx2SqqMPUCEwWKmZs29nXYnY5YPPfF0tw0CT9UGHD4Rq+g81bC5L7
bYC1Hv8r1+MW+W6SwFEfwtWncd/rtZ3cUqtBO71538hfomy3DSdyAG7VB/d23xUTglf3Xa35NtK9
f8bVcv08DvQ4jo3AOhEct16oPp3SmAFuSpU9ZGhDWys73/KqL7jgdJoBihH1s6guXQTKrR9RpqLX
xm+Ja44tLqLGycrJV+pjgBsUCTTPLXgxZfP/lO3+K4n62tK49JT5Vy08JTHzrvAoTH2t6p33mt9C
2G977tYRVBN6cyBKVVXOriZRvUBmCN4Rr7tG9mkIE3D7QVd8aj//b0icLVWlSjlEPImrtgTqhMF9
RJmtZq3dGNm/PGIiAP6YxT9iTnlSQU4eYHVVgiMkhOKb5lK0Pudxta/Udz24hYrwSYUyiIaH4xY8
E9vWrsY4k9D+CuItDC2XFFvwDkdy0xCQ5bQn3R93ave+jbC2KINNRsahGR22IKO+9g25DZqQ6hFx
qdJ8hZzsjyJXboI+EO2vVz0f2oEKOhnwdMBfkHpq37SFHBKXZNCvbcIEbxOsv61B9mNW0mukzYo4
pQb6LdFrpgCZvzWN6t4E5UgyL9gKmL4gM4ky+V3onz1Z+TaM9Tkgw1P2D0dNaFH9x9zfZ+9FyPnS
lAcQqSVuOar7EbrJECn5l4m7IHBLNBshb6dWBXGL5sS+a8pt6W4DrKf/hQ2c82VNr3nBlBI3adqz
ktNvZXnOpjK2cFX7MJT0XJcgju6Y5+D0LluSOb/WKelOn0Bqtv1b1uPgYiy31qGVc2oTHcM51ZM7
svYAwpltBJGXcGsdwV4i9DoMZ9ZSfV9F4K33q+KhYN1dOEaSXXtQXkk69TwVjSDI13at6HJXVPQQ
4emAb8BMi0qRPI1h1xqhO0//lQehk1XnqUMLgSHq1FuLd3Tx4/0WJFIIRM7OZgyjdIhV7BqYFYBp
pTsogrVgba6WCPNasXD9ugqLBj2txB1KR3pI/unaavl9buEGBWcxTK1CIPR1NMEdBrGfF+9zA/4O
T+B1a0W7eEC8DBa3rMUy6NZYoGGxaSwQsCpoIn6Uu3OlOgbKM+3U6ZJXo3VyMOj3guibP80fZZbQ
s78uRtEIMy/ycsxT3TooILRSPL192nb5tUUb7ZoyRCsZ+M0pF1RkKltPSXRs8tNj86rv5Tvsubch
1sqAMIIXDM7doHnHmBGa2NUHTkJvCTuO3W1cfcvZV7N2svw5nG6MX9ug6w54weQckBYD8QOPEre3
h9xiVGDT+sxcPs/5H2taM4IaOUzSd7q67x10Rbnqz1Hd/W9mcM431XIsR4kBP0+s7JmJ4mge+Y8O
djGDczDSy1WXqfDtGPun2zG1m6ft3/9foucPAn+p0BpdFRodDGCypeI23rT2Tqvv2+Au6uxqtPTv
1Tea30AFq24EbWurd9sLv+PvGhgrqpwS+N3kO80XCIgF7z0U0qFIMkIrFuxggsYeReAVunIdr/qQ
SzoZATiqN41mY6NdR7b3g00W+2Q8+i/Rq3wqX7qv2hsYm8fDcXusBS6vc0t1zGKqyAWWkLJ+R/mR
1TfB/l8QsEM0oIzJ5N93tot8ZBpZ1/cjgX3kIcORmBDRGWJ1vwGq8z8Q3BA2agZp9BL7aSgZSl+h
Dfv7sS0ofrDRZl9H0SPbf8lNFzxu0BRZa4bU9IgrZ1arHgr9Ltp336qn+r6MbSeiz9sjuO4hFzgu
3fosADdpgg6G0NtJyiNUAc/G1zC1e1HV7XpkX4C4nKuCDy+MKtjVd9C99CfUsKK7KBHplKz73AWG
S7O1n8YQA8TVypg8gz/eaqH0uT1i/yWKLxBcqg3KqIw0PQBEdphbI5K9Wu9Kp+k+Na9mJcoZa1tA
PNlgX6RCkRx0Q9chPHRKELAQLl59gecFwcH4DpnQabT8H/4XlK4Oh/hesFTNY/QhCYOFBQGFW2vK
OBck/tQWYYy9EpOyXVu+j1BjTjSKQgvV2R7L1dmCGK/BUMAHtV7OOCmsUqlLcM7zsGGpShOK3JNg
AEUQ3ILlsUFNC3AKoL02/6TXwa0viXxuNYYWVnCLVgHhpwr0sWD3rUtHiaNbz1esqqXOaEIM0esf
aRIctgdOAMnfAcgkIGai4ODKjE8IJChcn31iRVXoQG9yG2o1cC/W8WdxL9T1wQCe67f6nRm+S35a
o4Q5E3Lwrnq6oaM2G73QOt7Krz3dlEY61REUmbSyPOqdB6645lYuC+iWM9xIyTc1ShwyGSs25G+f
4oTZDExVVtiDKZ0qyWHo7j3z0zBSnPV6sF/itmd7JEQ/cHa1xWqjVcyneedB1cmv77vavMtf9Xuj
K5yiqexerqG1adrbkCuDjxZ3UF+q85CAa+EaMjND6KxA6tPVxk/agKUgyAbBznElQKBLAjkNCEgj
EPnH4WFqJBbnIFjud1AONUXCCmsW4PlLxnnFAK8yv+cpdVRVaGBYdWk8HMf4NGiencKDtsdpZWog
4HZB4VZpaeqoDmV2aDpZsbwPvBs9fA2cUjsW7KduCHYdK/kRoiASdL3QmwkqpNnkhR8MmVpL2QS2
dIS4Hh1C8lU/1oohmJc1FGRG5Py5HAIsstcocTdCjn4m0R9QiCW1jzr6stGavz1uxjwwXK4Hkd0F
hfNpQ5pMyNOCenqAcBCY37GthwjcM4hrvwUGuW8GchtWXbsDMds+zvs7aQhvVebvYyiGa77btVkD
fZag3vuZ71Iz+qqZyOS+Bp1ZEnzx2RAdOhI2ltYPj4FRpwdjkFLIZSdPAcue9KEA2xH2hRb+x63m
53jWqSqrl5QvaU2fAg8CxT2009CRjqtNQzrEnmENlbHzIBAGGip7SIf7Gv+o2UxIfZFUOCiV+65Q
PzzIYXaa8GqPYhX2UEA81GFBc8/C+kwzKtlNlh1bSILvIBru281kOkVGXvQITy5U22UQ1Yp7XLmU
+YAeuOLAyubJTEvD1gKU/aH9zlZ0EVnmSlJnoGYEUTLCXQcP2vWMlyDOKBPZ91wsi77lq61VdjVy
ex7ldpvf+QY4QKFhLHKBjx6AwNdxnwyuLf0DT3GfqJ3uVQGoz3vfMuN6F7OnMPySV8NOSj9vu9ta
zd8SjGd3G/w0UqQcYLkXurLk7fwhgFTkS8SeDEDX80/oflU4qGwDrwTTFS53oVzBf6iSATeJpUPZ
430SnZBOLsWO1OkCI0VY3DQGeT/Ik4Jp7A/EDO2muWGh3U+dYN7WEusycrksVPeGpjYy8gME4SJr
CJTRMTRlXzSidDengK0UMdu7SHdyL7OqLABUFdGuxOdTUd3OvM3bQuC2gVWTSF3LoFcEftIIj10a
lO6Vfa3Ow/aOHrqXbWdYibOrnDf/fWFQK6sKCfI5s5poYIxqvAypEY6nAMrRWGmPNTrPWhXlJ9u4
qzOGTA6lkpk7VOcW846VMlE06K+EsSOfp94pRM0Jq5ZdEPgyALmlLDYrDKSivuG4inevp9FS8B4c
qW/btqw6xQKJD6hEpXKWwZa8zQ8Z+YztqMC/RbZwYVS0sZoruHB0Cz362mjlIxrtUQjqO23bv0Xp
9N0rn7dtWglcSFP/mR9+A3pBhOYxnmPCN9qmlq41duUbgsKCVY9fQM3Du3BBqhaSGcWYqBCOrvX0
bmoepuIQgfu3K7Wff20XOHDA00VNDRVsfBW7n4UDHpaxBQsCySbls++PhoWWVIi0C5XuVjZiV1hc
bEG1z2ShCqUJv3gNdO9OKeVPRd842YDrDFQn6IHyqDFJMHMr3niFykVWoQZG4xlADZP4dTKa/dSG
++1BXHHHJcSHavUBisSYMmh0ELavkvyYpi9Ze+eX7xEa/XOYuI234oxXeFyAtSAqDLwSGzNfTe3c
+CY9SN7xX9iFrlD4IPszcOoY7Ynf7TNp1nDxsMXB5G1btDpJeD2ALC5US0FacO3zFRi70k7CCGbh
faZZyj+sUyCEv3yfc71qJH5UzBouvrcbm7uoF5wxVtL31fc5J0ORmDYwGb8/8uwf2KjUf3/QXn6f
Z+jMhjAvwgxnGNSRW0lpWDR8HBtfkHlWt2CLYeLvTGUzYn4zAaZM1GedeTuFeAfJK/ay90MLHwPf
tHA4t0hWHrbnfzWCLvPD07S3WpoSucL89FIdHED6igvUqHuvvPG5UvPKZhm46liVCqZtLZBknAyp
KkN6U+dbPwip09hTsPXzwSIJUpPvrT5QGycdaR+RXtRosnZfjGarCxwXUVo5ZKwd4SXFUD/rNe7q
vKhT3IYNd4Xe1GABoLea+U5k44Eow8ziUJ196rVuRSIR+c3qXMuSifYsCZTvH1h00xLV16iOg65X
uG8CarFzeqh+sgwvHJ9EnAFr4b3E4sJP0bMqgPYDEuSn8Ub0ZLfmO8uPc7FXa4ocQAYEEodl5oTd
ncFKh7kTOW676NrdLmbvz4DxMdgXEUvHATiTBsrYqEFdXfsoSYrjyc1OLns7yLR3lnUvxfA4EVmQ
IVd2BVfoXM7PMyMyu/koxqq3THWzSHSnsPa6cHXE5BCCwDRC9LPNyp3yLillOwe7RN/udL/fJ8Wb
HPm7qfxl1iBDiPKz/9fq2Oi3uTqHqddrgKeVmtczwlxlImdDldAy2uqijsS1iF+caPknZNCH1A3I
nWEkeZFnJtcU5bC+g0J6wYb+9zUrd3C5Mmf+JYtt3FBWWHFKylz/l6K331D/7e17lWhWM1TUitQS
rxxHVX0wtWOA2iKjlfaEQQYoeqx89A0a1J0SxfH78eBBdO9U5cjGvtpbk1lMtpnF5s4v9LesoLGT
tfGPNFePOnrEXwZGOwu61WQ3hsNzqE47bBVu4q57aVRcphikVV4CHzllkpBo1dwaJeFLy9pyuBxl
bjmXx0lNtQHHXKVCjZvx1DTjXVmP7nZErqKY6FOddwyqzFeGaJSQMpzvRJAwD2F49KEynosEV1aT
tjIrEFD8W/4gMxSxBBpvFG6psk/s+SWqD026a6tddNOcJdGCtG7SBWxOpAun0cGKQBJw5bpT8FXV
i/0Q3ivJP1TUQGv6AjL/iAVI1o1jKWcACfSj1t3hlGb5kui1fi3lL0E490fFIxqyAoCwEa0auL6R
RREmnBnOyyTPVPVptsPzQwu1Bxazm/4uvPfvJ7yrRFYmOpkJEbl1jI6FRJsaiDVCNCfHmVB7BOUH
ow8BWKh/bPv3vHB9yCCLeeIWtr4KBzlR4XnyfnytUdBmDYKivzVOt6Ur8BUP2UR0Ws8h1IS4P4we
QD1go6XYOM3iAGq+11M8qOwMZ9uw1SR8MYy/9zcyL8srAsOSILPC+NUvXt609HEb5OOCCXU5imst
yYC++gdd9Uv+1Yrp3KTlewbRg6p5wX3SGVXNgnS/sju4huNcIwrHIOkrpPs4V/tTN+aRk+Ku0irQ
4WZpnqFZmil5+zavv+XfzW7f54Ijwqq9aEanYJWHsBxPnlkYSuMVMn5AitW5RnJH2bbbK43FcvRu
R+T7PwzvAo6Lb9ozvVICwHXdg66ZdjC4qAi0mC/YdonM4oJ8YH1VhiFwhvZc0cqe4jPeNOVssloB
0seMhRlcWMTNYF52XpD4QII0y07FwElJI2hC/JjeAWHKaNOeORE+dDBjnUbDKm5jXK+3iOPfi7xw
1YTF9+e/LzI7i6KuovOkkG6flDWzM4Yeke2JF2Fwq0cA1uHR62CDlj9B4hu95tvfn4f5OutdjxHn
WJ0O/cl8HqMa93l+or4b+Te/nI5p9VaR7LANtupdiwHjvEutIY8wzsYMqJeUnkzNhfzDvSG63V0d
MyYbSEiSOlOqXs8LIUXXKT1glFZ71Lr4rjEaUZXfqm8tMDj3BTdVamgDMEpzp2tO9VWVBd4rsoJb
j6JsLKVuHqzYrxwqNafYJJ+350NgBH/Gksty7Fu8Q7ljXR8VnVkk0J1s+ntVOPgYZHnpHISQVOWO
Gnnhe8Y4j1VcozJievKrezSXCy4X1m25gMzDuQhGTw1GnRXzhEwFmuEjK5mw2dZFtREfF9NrW7h4
hDY8SK2IxNwqntxEG6zEl/eg67SY9NeqpddIXGRGJptkFcVIqAaIn6pEQs3g3mPvqMjedoIVFotr
IC5cjL5oJVT9MNcwzV2PyoldjDfYmEXUweHtG/ZgT00AupqpAFN83f5ss/gwt7OQht51ZTlZXhA/
KKr3TLMyt+Mxye2mou0hVafOiqFTYgX+m/z3TUvXv5oLwBTbKB38GwzVDODGnL5DwMdB/WYQiBo6
RTPOxWHc+WbKMgUz3jef86rvrA4DgNqln72UilLXmhcjRECBy6hGP+gOm0Yx1p064PhTH2PyHODh
2RARAayl/CUG51ismcYgpJjvPtAbPG436J/UM6eXInPXUWOntDtD+ntiPdz3LQzjnMxLzbCYCAwb
miZyaUu+xo3396qK1yCcT+jwNVOfAGJWVviUn81fuiq4tJ1/J79eyiifwQUmrm4/yJPHEYl6w+yw
5rMXD2SVpzi9k5t71ERtR+XqJC1wuMvLKipzEOX/xilv86TcSS2ULlGvAdgUb8yNIAusHLYwdgtA
LklnGSkZmb0Cb6OOTzInUobTCBxwL6JRPqnjva5Bak4dDrn2SZ+QCzTBb1h1fhP9BtiugSKFv2GY
aE7NMcD05QO0148TevW/bI+qCIFzfYLdbTD6QAjG7sXofmTvHpV/bmOsesjCivnvi4UoppWfylIP
D5l+oGjH7sbvEz2M5ugqpajecW2PABWCPyPGOTxruz6GJAV2h2CPtzQ/vEdTrugST2QQlwCjGMo/
3TxosZnLttmakzNl6vcYfIXWSPTPJBAxCK46/8UsnoilrpNQ6cg8hIz8qPp7g9AD0c7580gP7Sg4
Wgl8gnEXsU1mNGY6ASz21V09nKT8s9f/fYkIomthERfOUkQ0KuG+1S2efXpGh2NQ/EtiWiBw8YsW
dalN5uBp6vzoqaVjvkTea9brtpr8PTfmtTXcXosWHU3Nfh6y9GZsnaQ7B6nVDTtwvwkO+iJPmCdv
EUxFj+IGZQ6mpLWmN+Rey3NN/7bLnqZotx23sxt/yOymRkHjjpqQDzePVNbKnMxTZMLb6v4+jqIb
KVWsMnyIBshDpSlaNrT9NujKM8A8lBdUbigTDX2DeThiMUZbxhR0L2mSHeV42uf1IWH1oU7Bz9Mf
UmrYRVPYRShoLlzz/pndS8ebKe5v+MshTff0QBrhNgwoYN6CjpMNxkDBNK7lqSUK5/5DjFOfOq/+
JWzIYAs03QUL5to2bQnB+X9typPPZkPkG/JUt0faW8KiHtFg8ZNVa2i4MoGheK+qeqygAeSJVNZW
7dAgNKKqFMrqfCN0n1Gzjnpg1D7oxT3830M8hi6apkPXNGjlbDvgWnJHfeN/4Pju5xoUDrlRAA7F
XSUKL32yH+LA1aBWhueSAbShAN+GXB1FFNLiIIhaGGxzr2N60OQSovUItJIZTjHFzthBQ0MR9ZmK
YLi1fuiCqY9A0z6/uIY/tb+vlNNnNs8/VnDLfA+y0Dqfl40J5zKat6BeAQklkc59UL2ZWfLzfxs0
bqX3vK4NFRNwhrmP6B2KXk2R54kGjFvnCRg2zO73vMR056eS03+f/OFp2451f/szbHzZaV7Tqm5n
kHD3NB63v70eOpdvcyu538SyPM7bBqPAM6rqdrl6qM29Su1tnLVFCQxCcF91bgPiu3JSr6KSnnem
q9dPdZJalV45td9YmWbsIgMvhW0jejmYEyS/OC0hucyTZ7SWpLI13agwj2DScIKi3o99bPUZiEj0
Y9BCO1Yl1pQObsQ+N4MpSK/ymndo6L6TcLnPPhZvaKQODLQQGG6ARfEAKp5PcpNLdkBzp560n5M5
lRZVB8c0c8co+sEySgPv9myQIbXrv1ae8jKNuUj5aW1hWf4qbmHRchRnhaYCsWgjhHhA1nwqNRHN
5yoGeHtRJ2UqDKzW1/lKUae2h76c6QbFLs2d9h+8CXds//k8v9n1wrjEG0Ntunno0ty35amyoLlg
RG9STa3QE1z4rgXJEo4LkrQHm8A4NKbbZw/hoR/OMp7H/+XOZAnCTUtee6gvwr7aVc38GKfyJzp+
NwoCySLRNdCqW6IfB0TTBpQP+P2LEnQJqRQC8esy3gXoeCDqPW0EV3GruzRtgcLZ0ynKlIGxA3zm
CrlTSS5Zg24+DVHTziRPkEDwi+STRGf3GzzccSo928V6rzhapwrmby2BLn8Kt89JBqPqIadsurJa
HdloHPBSQ/TBR5n0W5Rlgu3B6kPbEo5LPKQaC5DZeIYbBalt6NIXHYoZfZJYU/aaK9Lr2OdOY75I
+ZH6IhmStTyLvmT0QinYDOm/KRkXm/8+HSSijcx0x/K1bBPLz14hQF/omlWVP7ZT+pob4XraQME5
WHQ+UMN2NSt7NaZI6dOx7L/JypcoFmx75jTBp/AlBLcfGVnihVkDTvyohsLxgZ7H8itIpZiFIv6+
EqRrZS1pLdG47Umt5CmuwoDWTY2dpHJ9ogVqqEeNmC+eFwxohpD+H3dfthw5jiX7K231zhqAK2A2
1Q9cYpEUUmhfXmjKlJIECRIECRIkv348qqu7MjXqyjtj9+HaNcuHlEkRDDKAg3P8+HEX59Lr3awM
rd40ml+RqDlUDdsICqNn5cz5VhD/rsnnd2cFLSKvMfYz80UlA9NnOm+/WdHwxHZNA5Oyn3Ezfva4
PiQ8VqsQcmyE7QUksIrWHVLZ+1dMrplynC/K1t426G2Vhp4IfxKRPwuR3z+7DwEfFjEkqnuX7aOy
fW282xyoQE1B3f9ZM+HzVYeGGAc2gNHiD3t5CNjqzjNWXVndR1LFQ3Nbi/InWdHnK+HPi3zYwYY4
kAdsQ7bvl/lg2neItW//evN8egUPqN2JsEPADvrxgIyaYSgGLYBC+eehjvPu+q/f/9PH9N37f4i+
ull8RuFWCVAcDgdXBtzR6MtfX+LzWwiIS6nLOPl4xi/EzNzXDdLSS0ym/Uwp79MF5f3r3f/bEe8X
NdGFRCni8ntQ5BPrlolnhkMT/CxmfnY8nDoHLua4Yb3xMTcl2BPMr4EIlouXyo5s/LlKKAU3YaCx
cYL0f/Hcvrvch8WlelWHtQBqHGL2UpXOtfDf/voKnzBn4S393SVOq+O7U6CKam6VHQBsOeGmC+uL
2s8PSDfdpHa6L4S37yBGwPS3hBPMFFb/m6j93dU/RO3Z02PpVagpRpii+uq1rt0NnFMxpnggZrio
PXanqBf/9T1/uhq/u+iH4F37EhEjxy3XJXpuwIgOHLPsf32NT+NrgBYGgWUUBo4/BLlQmSgnuQJh
srDfwukFxh0YOI3qKz9frwZBvkFc7kmSn+nwfnprf172o+Ggm+u2lGOPGk1u1m/Dz9wlP91p3739
h1AEz7JhVlzjrsYxYdBPzAOTIVdLB/9nyMmnSWHw3bU+hCVMDjlytriVPvzqr36af+uJjpVHNhhv
TBxlYq2m2BHTudRvkfJ/ckr97El+ODw4GUNv9nGrK+kuyXL0u+bmr5fIZ1cICcF8dQi+53/rdUH7
zjQyoGxfB9WZZXU8QPz3ry/x6UP8/hofHiK65x7k71aks3K6MjWGTleoZzVgcvVPHcxHc67j8r1x
d8K7L5B6/vXlMWz4SVb2/fU/PEWtXSYC4+f7cKrqZJxrdeaO3E9kvq67du3PZ1WCgl03Km4iusYB
JJc3kmEYGKaWJolgZQpNNsqRICxRMtAJDjWcythh5a2Uk5POrruVpXkMkDsvi3fvu02xUw7RicYK
2tbr/LVflzAOGv3QaJOeWBQxGdnRagJeiexear1MV9bUUJTstpHbP0Ckfq0w+SznmzXSJqly/bhG
9lEP9paWIBFOoepSv5zdS1qFsAwsSgjdnoC2xuviXA/5CwjRX+BcOMJZ1H7FEIiPpG8OtoWvx93g
tMvZ2gQPJnTtxjVrdVmPU5PwHDmQIvkTwURKHEIZLAv0Mm+DstnlErzMvBnhReEWIutDtF+7+n3h
fnnwuuG1ItNd6K5fTFs0cWHMiW3OSDaCTxGHXh8kFFwbeLyt05VA0DtfiJWQHJcqhbaGThYyPkWs
bjeRN9e7JmgWQJX1FbByKLIOLdvYdvi6RJ3ZBq4+Dv06v/gGcrTNmr/MLFKxUMPDYsh+hRn9tq1g
qCtdOFFHIThVoqijHfOQiVNeVLHpVbjzCPe3UVhjzTfGyeB2Fm6Vnve6qY9+s+yGSS1XIxwJkpl5
c+xqUMzW/oI1/TlcGaIYJkATlrKG8ndYoxntjAsEEId+AxNsFExRxxPolCBmWJpfzBJgG56UiEtT
QDROKxBsR+PFw0mhxxvkK4SIdFo7HsbjuYWtcd+TWBcRfSybPkrKZWFJTTks4z1xwAAt8vGhu6Tz
/M1qzHeVvEEjAYM9seob/yAYd7OWQn+K9tBgFbRhmTSsi1EdrSmXd3MBCfFRxHZg27k2ddaO0xtv
y3272hssjiNb13G7rhxfPby8HevOWd9DRGtV5pCzeev3y6EZsVsK0aRy0T5s3tVRUOnsZGAECBSl
yrgW1yCUVlvLl0tddI/+qb1TFVhM+ABQuZ/cdHScu2mGcJCOljwe7i1IlqMzn5OgmU8OG8egbbw4
JDlEOydfZYFT8qRuWpKibN3SER0cQeKKlfG65nHBvvkwzaSLjevF9JumAUOfvvA23HJYuk2wdnN8
LjeuYBNc8tZ30a8v/irlrg36FwYh6KBAquMrKDPZskgrePwuVXvZw/PXKQN78L0eDsDuWMBSLLiU
bNk51cNU1xl0njdNF8m4m8pr7QqS9SdJ5iEIL2UTHeCWVsRiQk+9bLvmjbb2bCGgMA2kgymvx5vN
chKrpiOlZ73gMhlD90ihah3QZm98gA2ThjQFh/I1WYNLH0rYTjdeYdzo3tfyYjjpZLOTYvY8rehx
ooE7TrLeVQHjWRetNh5Oepa86satZtpFV2PpMruoC96vXwplp8wOUGiTPcLOVOkrf+KbwaJ0tAO5
L0ywL4i6qoM5LsZFx2Mzpis+SmdcsXV6h27mbs0aFDYY6d74XRcPwnyb2j4eaXuvxLwn6DMgnF2s
bXXbRfWmXtRmaKq7vlnTlsI6bpFL0tTdjlc6XiO/j4OcpZ7XbibPHlyvvTbSHSBBUW2IPzwWKKdb
Z04w47gt8j6eJL1ltb5h0HHoSXRwvH3Q2QSz+o7ob9wmjLuxO9R+Q+BuAvZLp6sWgg9J2d16rLYb
UgUPdXkPsmFcQm4iOOlO8JMCRQ4pigCSFMNJm0JCpEJBrKJgAUZ2YJkLEYty5alzUrWYTvoWI4Qu
JHglCUZMLnNIYOiTFgaGHY5ThKfererMO+llaL/6CsnwLgVVR6RsrSG/N19NENlAUpEtEN2QEN+A
benWFGbTOKw9X0+D8hNth4s8H/HQ5oomsndqYNNesRnKr6oiMnGVfOIFhvkFPuZCH/r5yxK4exD0
jg1r4Lwq29SdDg7UqDao8zJRGkweYTSO58dgjUnXH3rShYlQEU8ZiM+qrR/LaNku3aKyxRkPCtKK
SVhVZ6ND4Z+5M1N/VQ3hthPPAUYSWn49h88ewIR+YBl+j94j5GJpMpObeWpwCF7DAyi2mMprYJuk
oO+9gtfF7GjPZnXGuYsDSG618F9Hd7OWz7UfzXEzlfUj9fCV8lIfm2DarFNQxKbt037F/OxKIOBd
PM5TsZcT3Vba2wSzvJwosPIe3+c6LNuyrK6cFgmHouAi10G5m8mUiam6wGELm6qTCYYRb5CJr7Oe
BklP5i6dOnjMs1ElHgJiElhZJaUZbGq6XG5sVEQ7ytSRUmCDzVSdtUgNzerFI3TeYjJbuJcZOPji
NDijEGuJmWzehhMsQyY/Wyqq0o4ty8YY1Sa06fF47DCczWV7QTSCL28Db6dYC3VRF9hb39ROg8/l
3blLdb4u+ROANSfpmi5/VF6gYq/H1HeLrxNje8LLZBsu8Zqz88VHaQ1G0bGX0fAOuoeIQxF9hcXm
zqGwBIf4bOyu9BZZ2YUyYkzAALmoXOBAfGJba4EsEIUhKSSHxdrcWN5te8fsu8F7YKWEbxlUq5Ie
ed5WaFbFIO6RC2OHrKhXP25EvZxDP99LRteNIODfsdiZzNFyuykJPCbatQq2rAyuIwq9kMFXZ2qa
2jhcvAnQ01BlYg6mTFr+wAtCdiXEb4jn9HEJx/WY0MXs/G7oY0fpW7fDwdpUtsjGQoNZJ7lCEGB3
EnggyDPDJlwn96Ic6seoRU7RIaY+wQc2LSbC46Ds88TrQi9ZGtekBRvpBvo0zQYqASDOMidrVq3i
DlR9mCA6m6gveKakhXWbUzFIAzsP7RxuRTXdBAseiA5V4rTe7cC6YlvMBYqvwtyvfY6eztxPcTAD
UjvJ9KbSH95YRbeh9e5lXWx9g/HgNXgtFdTgymIZ0px0GHRbgeJBkyuRDIbdkP4fNnoN4S9v220Y
FDs54xwWPs7YSHvhudFA/akRaje6/gboAE8ihZq6smiYrRIHGwK1o2FY4bAMAw5vOfxdY9oNe9ax
NBAS7y6uiD9vC2S1GHirY4oT0vogbiG01S6FFlhtLpeaHLBgtlPIwS4AYTYv/bOoC3dhABWJKRdO
PCxema6BQFU9yWnjyAj+CT5Oi6jahWvZbZkkd0VfunHbWaxuXh0gJ/86dzDkjgZyvXhh3cGSofc3
1eh7sS8meaxMCIGiYjfwIlGByFzIbzTmLaC02lBAwKn1SZRxVl9gf19PBTwYhgK2DI0lsdOQh2Yu
b3zgpqnox2ELp8tzUqIs8YWW+yoycts4IsAdzlgB4M4npSskQq57FwXOc08jCvvl5g2a7HIjBmwp
17Fd6lD9HGKaMJY2uuo908b5PDo4R2o083Ide8Y8BXW9wYoTiFHdsgceKzHwxN0dWXKZzDp6I3mv
Eu2IHL4T7bUYulTn6hn2n0nUT29CqW2kVJ3UpakTlwxZELn5BjDNcghBZX3AmMyw9SBXTKYA6kpL
UvYuRmT6JbYL2Bm1xw+EqUsDaaY4ZKJ5jGqt0spf9H5w/PbYhaA+I5KDJFLk9Nuo+GMlRg8ye0jq
wmrwN4qB0r+owt0GXtVnfIBQIhS0kjVYy2xagksHRUVScnBckfAGSeXbIR1cHLq59i6GHmfX0vEo
W7omf5yZusEAHVIniCGmi2nothk9pBkiYFFiPJdmuufLbqJjlAA5IQnpkTrXQxclWH9ONuvK21Dq
59t67JxkBkQUqVVlLSvxkyvdeNLztDXoCyQOMqysn/mUVSHNY6RuDdaJfz4SerYKe79CkMubxIvW
qPNyrJkddeazUQT0PF9VlCG0VUj7BYc1msZLhe/tMVOD800N5canwfTAWxqllkkvjhrEMSZRQOoF
liaTgrmDWw7mvMq9CmPNmsW0mfKNF60vPVRdsE8US52QLWhykRcb9ruxIn5c5+vBH6FHPk+3hRNc
lmON3N896gK2gAXxBL4BnC6FnNSO+YvMILq8IXZ5UjMksZV2eDbayk3V0j03Ub9f6uZV57OLsC73
ouiHdPQMHEowZRq73L7BbTdIXF2CNlzoh4DJLvZKsJQjj14O1fxiyvq+68nGzrPGdL95K3XrZS26
K/EUGNCLuiJjLNrNykJZoSqXTb8Gz+XkefEsZiQngNvtgm+cQdFM1FUQ28h5IqZ5Lqg+WzkO0mqc
43UMvq2mhVjqgkElv5qrWPj84FtR/AQl+AxU+h4jOOEk3yGQowIttufAKHpe3equRfN9jqkv9lH7
M0Gkz1C57y/1Aey09RS0kUXXIzfRXY+I3ku7XVz2Yqv8sjHpNNSHtf5Zl+/zG4woRvciDiz9A94o
OTeang5yX9XpyFLiv3fugdKfdCI+uTkeEhg8MCRqUIH4cJmm6Eqbo/8GykzW5XHgH5SK/c2yX75E
b38N7NBPsKsfrvWhfYSiiaN5hWsBtoIBTh3jtjjbtO71e/EEFbe/vtzvbeYPzb0fLvcBTVUd4UXP
1mgf+vwrMhLw6ttJwS+I+Lvan0HMOCVZ0cqeuGXvZTXcqxlNOBerNe0gDhE7C4wTclIeIXm15Z6b
P8LrBXXk2lxRgw2GlG6KgjsoaCDJCwOko+glmDgIx3ZT9+31HMnuwJ1oQpRVdleRxUmdzsM32m3t
2N2qmgB30Ky+tyt0RWjdjpmj14QTU8dM9W8hq6FaVhRxlEc2dgW9U2F+TgObtsTqGIn0u2RtSk6k
D4S/e945FI4mcr7oDbTbnOrKHZeLPme7yaotogIMUX7WE/xknX7/lH8XAfhuI7aDv85QC4n2TvFa
2rtCpgJm6Yt9+P3b/I8fDHGGv/8nfv6quqUXBbLyH3/8+51q8O8/T6/519/8/ccf8ZI/3jJ9Na8/
/JC1Rpjlenzvl5v3YZTm93cv3tXpL/9Pf/m399/f5W7p3n/75fWtEdDTGEwvvppf/vjV/u23Xxyw
VaHkAEURQKf/8f11/vijy9cGr9+9/g3/+bcvfH8dzG+/UBL+Cj8bmLYTH1Ot0Gn55W/2/R+/CX6N
QsCnGHVFV4mfJGMwNWzK335xya8R8X53pyAA6fhJTG1Q4x+/guEeYgoGWfA30Bv65Z8f8PiP3fOP
x44H88fPf2vH5qjQBx9++wWjez+AtRELfaBwkHkIPA9WGPSjEGfvTbk31JU461w3dg2UasK82IrG
nLm1vMZJFkswaYHIoUSLXlQB5X1qGowkzQ9lUL3kffeMdjFqPDInSAQT0MlrC4Z+hIqlnxhQQog9
LFagE2uvbDFf9yOKT1S0RJ/bBpVqe4f8L5HcO2NIt2xw54Zih+ZKLEED67xtSwD/htniTmDk29tV
+i8sKpLVq2Kolz8JdOABM2zEqQQvcRXsLjFBoZO10Z1L5GZe6Zti74576VmAmqqNW2FIXPOrtleI
Ai4UgUb2OtaYvnLZdnUA0zCa+OKuhxtIOePty9cJ+9eZN2UJaVw4OsauKjI4xKdO5J8NIcMMVxkr
KdI+CuHgXdB41mRDhpvSIEeeI4zN4ZhGwNI3RcifWjLspTUHLm2GZAVZItOZB4wBlA0Vo3598qfy
xajpxvg0tUU9xCUOLvzZ1AOobGw8de5XPxBX0vRr7PjzozhV1GxdMGSMWTEHKE2wtm+iKtPQFWmk
G+gML+eePnQCIJ27wt9C+A8A+WzsV7congkimbzw3Orcm5HmDTUKG9QuYQginHafZiTmERjp7rLs
gIWBnJ5XyLaaZwMXWRXAm1l54tauztkYtnHEZwJlgfEe3IgTMbl5XKrimVlxRBp9XgzreUM6+MP1
905fvbQiF9BbDRKMm6PY92AD3vUQJnWsSCLjP4QNO8fEGE1BzwGWXEfiYe7co1cXJF5WAJPaB+YV
uV9k4CM7Ku0AYXTxbHVz64U9xggnN0rEOBwDS191IdS+pvKKuJFMB1NPAEWEmwyld1xXPGnSkWdR
YbgVMtQjVqlsNnIe+zPZyT4FVHxGawhsclTbyRCsb2tdv6z9/OYuzoNe1xII+4AEmS8T1g60SRxm
vITK4LZp2y5bAZXIh3Jm18V4PQIRBL2uRnGujsy8SqoAho8XvRrOvCGKmwLV8eRjKLC/d4UP6KpP
82bIljBKFz7dQOhxTL0mTN2c3wcRJMzBM8TJ3EGwxMGGC0i1D7syrZm5ZJNsExKWV2vZwlJQ3C49
TCEdIgDKEYMOQ37dVOvl2nsX0JheYlP6NJun/EKaOfZ9U2GMA02k8d1IfRbCTKKlgPnhpJrVUZSn
YQ1hyVMHBxZJdQpRqgunomD9oH5jLWRhKv2tJt0uCvmj7GoHK2a8RTJxuSUOvfM8s+8NCoyxmQGj
AXySWHT5vgZ2CcHjOV2t2WJaJl6rMcHYzHGFCEIAmZklAkM0GtsYUob7AnoxlYZFwsD52bI297kb
pX3bPah8gIJ2AGiFIETMTlpLQ2OH55upGc4k/LkA44hdPxRpU/TPS9TfSwsNLc/P9PJApnk7ebpM
pNveFmuURs5Qx10pL23f7KyqD9NgYc2AXdyHVTq3LrSbPLeADfC8LwfHgcWW91UZ5xDg04e1o+NB
LseBFOc5fx6w2WITFO+mVu/d6t7NCIJxP+N77SlmFzCclmM12XFJfescoDy3ncs+kRiPk00Da8Cg
DxFCo0e3ax6lAkLU0XN4JwGFKnWzKfyCp1AdnVI0Fc5sS+5CkR+9dr2IqERaMt4B3HPnKcVKjkk4
X3RsuihbBtEeVM7FYJJafHEMfxoXdhk6AIXW0YlB2LutOX0fx2BbQTiBlE5qzTdfQgm2c/g5lUPm
CCdD5yZGWZ/x/G3sAE+iB8SXHkBg3qLaQkD1/hiG//89y0Ci/e+zjOS1/dtdqT5PM/DKf6YZwa8M
JqwkPAlhEhIhOf8zzYDPQQQR9JAEfsjwmz/SDEp+hfYQzn+MXgKegaTDv9IM/itk2UPIpkcRoxys
fPd/kmbwH8sUDDm7hOOowASiH6Aa+siMME5ehmIdl52AENxt3UYHtUTjRkdo+YR2/rqsan3VZqEA
njGYWZSy3QQc/TMI3bcqtTUiHUhWDRY8eS7q+cUbEGcqGso0LEK9iTQ/uo5g8SyJQj7gh0cbuOTM
MQDEYHK5raN5nxP/LM9rfwdJ7xSlBJDlIkTIy8t44OpSkKCDSHzxpeP6oOgI/oucXzSKRRiVTU8z
1v9ult6xa9duQTMx1Lua6SoxZJZJCIGlQ90RL+0HiE2ibaDOhrE68ZLsYL/46PueC9myCxtVrpdB
VohcS+i+PZf1DHNDKGMzTHhPxYWelbgL1DDzFHJp2KTAnWAzWtcDeyxKholE6uYQ3wKEMJRhDyYL
k2c8pJsTOk3C/AHI6AjRaXgNocDoPMDcEwCkNGhaahLQiUTSAIBIJemdY9/wHamjHA4YE7B3eN6P
OLrqwiboU0Z4cOZkTVx1yLV8J3Bg9wVARoFWl04tbNrSaqyiMxiWDtVN4Rw0KykePnW8aP9/q3r4
oZbYvqtTZj78WFP8P1lioFmNaXSGcv3f7/xUtQUqDPH91v/zdf/c99GvJ011Nwh8eKhABfHPfR/+
GgUE9QcmGAMX2f2f+57+inFgipoDJQ5gOhdFwR/lBUICQkWITQqCBV7O2f9k38NI40N5gVkevAtC
iBf5xIP+3484D8dQYAhFThi8mxk6g5x9bXq3jdEISS00tTC2gqbm2qCqp9dDCCm7rgMh1gx+rF3n
HRVyl7AakNpiFtSm3KaVLv1trXoByLIB5ddiGws23q/BqG/Xpg0zsBQA/K+diWcToPneh0vKO1cB
6HX9w+z7Bygg+2jea5y0I8ykq/Co+hU03eIKDrU3udtHMfeLi2iu0sJLczBC5tupgQ4NKM1Lpgit
4mldMqz7PqVRfwfLrSqGf+Fy4hP4sdCLSMAFM5uQzletJ586UR15Od5WlkQ4Lqtzd5luR+BDsSrl
QUfNdtV8U6plX3pN5UAknN6VLb03Xv4keBDtWkkOSz9fQiuBJoXrvAmOwRhXmyrpTkmn6cg7JWpP
RwSTyGvQh8+7rVHd2RQRk7QjEBCp1iWRBSD8dQ50rFBEjd6YSE+B8MGKrQlaYKriZV1A2ZbzhMZE
+WDmGdx0APxxPQNuDscKfs+MPKmg24gguGoGc+k3QeZM0RWp0DAPCU8Qw9AXR+Ozsv0udAGJYLR1
A181SFnwactP/fA29x/E0LwgQTgU7DSP7z+vp/JHK6SsMMFEDwS9EEDIcSutF2v/oAUcaEPIJgn0
okBk/1oo/aV2nCvcDh5GHZ5XDbIv61O7dYEpZk4518ju1zXRVZn5yK93PbMFWgxBGOu+CkF9RX/M
+ueT9ECGzHObibZyX7gImrtp6cIvkDvEbSum37pQz3hRAcEQW+9LCvi2croUKpYdSpcq2k5E6nQe
ocdiywZO2h7S6FBO7W7VUGbpjdUnHZgyZSGoPqXLTNy18mFe24TPaJISJ0fTovqGxgSIkaDqGHBY
Ys3LS0WqJllZdc55gW67ZwE8s/GFhfq4BtSJI6DCCYDsDhrU3Vvr9jaZJhSkwvXLZG3Rz1AUlqVj
Dqh5urDBsqkGJP6oWQ3UXCDU3vplnNsKIgTQdGx8caE7X6fjDKbMEIZrkrv+S8CQ7y8dwKwqbO49
WHZEsF1IciLvl99PQb+6kT0DXDB7bqZG8Zyz8sZ0/andWH6t1nlnWnGnK/siClAzOj2eaWjjgz8D
cwrf7NoIJw6MztMGBHinxv52BnQV4D8zGXjIng2UvDPHV0lZsd1MqcAZRFms7dKgMBze7GQPVc2K
RHcKRrdhITDPh/4YpE537YJt6ZTRhI5e+a7FCOoYbHfh9OnpYGOafONKurFF/wRA8Nbx5tcc8RNU
JnJfMpH56PlJSr607XqM4H089WbvWaAWQMJ+byzd5hbACZKvL7OPZGA4deAgMfVEUPpvwq6qNtjr
e+FCtxtykuGWqvyxUNVjUDvzbizHGTAhfScFepShBOd2bO/QIYvDQZ63yiQAw1LewtuzcLwN07rY
BCI85m6FNpYFWWdeND+HwvJlR1owTYYFBH/xIFr7GPJwA6pGitYNmukjAk4uCnSOXI6eoYzdHrXf
wlCLVcON9ZmOwYuD3cLq31OFG7WDRLFM8PAARqxp2LPLzi4X5epBR8LnY1yRNkCbzoNXCoWsDcUU
fjiVt2DJoElYPZbBWmyxh1lmxmVJFHzuUJqyI/gA6LBFkFacebVbIsRwyMHorOHDV0yejRsTRN2e
T81NBfG+ttBeEhQD9M9JsPEaihgKWlu6uNJC6a99sAQ9CqmOhVkukILmaYvqNoamLhiFMnqoovwm
HAq0XifskaVtvy4OJ+F50dZdBcAkzNEytG8B+jogwQidBsosWWDAEy4G/UVSPQF6DjrEoODC+O59
JauzcqrQkDM280O7G+v6HN5PIH9VXxunzNpQfZl8knk9HxIEzoPUEsdRFSYETZouHI9kdUvM/DSX
5Ry88oJuZbuMieeg6ucmc9A6wknoZWtDwTThsRD2KigiqFpPX9yofeF9a8Hgo++wyn5HuguvmfqS
YNwm9occLdr5qKAEQ31nmyPWeggXMXx9kgH6zaiu53f0hG9dH15T7nhp+JL5kT7wMdrla3uxLh56
aG3+rWgaWMSwS8H03o9wPgEBKKbpobb54xKO+yG3Z0E0HGZvgmZTH2bYyq8tHW8qMzz3RFwKf3np
e3oGQOx27OxTWMIBACyVvei0jbVXZuAd7KcqPKgqv/bcFdRAM52falU5yZsJ97T0cr+QMDVeBNbD
ACiR+veWjsgDurOS650pMETSdlvMfl+Vyk9D2R6XYr2q4U4GZ/uHgdfnA2gDqw/rncbwXe66mak8
cH5cEQft+thEYl9QH+d+c8MH/epwP8WVnuFzlgO5KXa8aXeK8nuxlvuVu2lXt2dFuwYxzK1wQBap
N+SX4B5AWt55Q38TI5rACgVcZPtlOJ+CYQMNnataO9lqxKUNNd66PuIESDVkEWax3FSkOXen5TLP
vY1H+w0V1bcK+FUMWGE7K/fK4e11kLsXRe7W+NCO3eYTyDpiQIZSkhgSokU8ieG6JthYZavAGOva
22pc3rtx0ruu1ZiC0V0q26HbcNr4CQxq3bQS7gOC8aEF2xGru9rkvgqBXdqXtqMDYt+QhbxOtfa/
ydYpY2/EYdiqEhNjRqwJQsAFpA6A5SIexSEHrNIynBDeCZRCs/gq5yOQWSl9QJPFnOVMySwa+yrR
42Q2Lq/H44wTeA6pezV5o92VIILGwDDYf7F3HktyY0mXfpV+AZRBi+WEDqSWFBsYRRJaazz9/4HV
xYxEogNG9mz+sakli4THVX79up9z/H7w6wr+XWpdWhymNCjufZpV7dFiNWjXFBHEjPpdqi/Vh6EQ
L2vq67uipTI0xNeK1OJ/zKq+6urqIAjasBMGE4yOHO36BF5f0VKaN/QCAJx83Zbo73Zg2swQKG9H
QL2SS4PaLxBMLUtv+NrGYFrMAvxX0u2HTL8OVO2+AOg0gnh48sQ44SzMHhzKVCs9b5RNU+BL4vTF
SPNPteCWG1ekhgpS9VgV/dc2Lpq9OCgOMJOSF5WkuZ9EIqcPiKuLuyZjNQW/g7OqZve9VQLsaOMP
uZS5BzXKaY7tfvez5lPa+cFllGkOILPQu/My/QYdNWFfZM33MFUBN4LY2zrUj7aEfhrdFH3H/YyW
GLrstUEAYPJS5ZEgbRraRH2QCjGwK4Bk96pZurukBYyWdRTK1EHmGtXp1KDnirCWqzjblGZvEb8E
V53ARRUCpwzKgrKgWPtcVYr1MdPMcC84yV3v6hz6wjPXmpUTKHlQmC2n/VKaXnLrKn260XJQA7//
YLzyv5EpTX9U0+fgmzfj/5qi1N8vP5UUzX9+MT4WX/7Fve69fzGO/+6fF6P+F4kg3VApPIF8V3gX
vmaKRoFo+lLrvNsshX/zminiEceLkQoznDq0TX69GK2/aG7Ja1alsaEFtRRLv1GQohH29MUoK4Do
eHzSZkCiOsaPOEUGqGlKJ1WxFA+uXAr3cm6te59mqlJefcrq9FGuRJ2Ltx48dV3JEgQbo7KQ/g2S
Qb7LHTf9ZlWJ9L3NUmVbZQAYSgDpa2BB+kUXu82xDUEaEpDX3rYyWuuHVSok/aWyzbaZV2k+GP80
K1YJXT5GjDk4Klq4SUTsMZWilPegqj0kFs3eqPdA+lzphaCAPREFBagEQOEwgIfmRAWxGNBXM/1u
NRYKBrx5RTLvUjSmXIdwrSVyRtpaoGQPsueQh6Z5SJT6ax3LAt9U7SwBCN3Fz2rdpmu96vuNVoWf
EorIdq3wGgQJXdmSGMpHVRakbZlWaEc3jkmprop9fFmQH7OklK6lKm8vNVUgjS0XR3C8gOGG4jYV
4lsSaSMMPHY3PaC/CLy2Lgk7sVGo/5hckTAaevJNqfLQWdltJtREpqGb7QT4FDdSnIK4C+iGtypB
h20cALofCq3xDpmSwrnQA+uJ/JI3AKWMTZdYqerWdeWaI0kiu8iH3P0QVM3wXTScqgGqrRbZVR4r
LnyHQn1Ja6362PRKuTd4V902Wqt/UluztcmfoUqgC8ZVYSiXVVF+a50u+f/+41dReywm/2cXssJ9
/Gsz8SFv/u0/bsT6S9FxIOSIREVBZ//VjZg4GDifMD9lFRGdk8STSl2bXBX5SIQ+QJfyU/5JPCl/
4XqIOkg/QU63aAb6G25kWtWGVqGSCse7cH+J4s8+6SeoBrlujCikqAmRK92oZC49eQDpHW7Uodme
TM9MCf0tk5ZHKaZQStDR6ZCZC238KSemJEFwgnSUonNa4DCemqzAqn3QkmKhfcacHVLnBrl8phBe
/Vs7dZYP4C6b4RiXNETwrO8ypazG65dE6WfsILVCOhF1ACSsNJbodDxm1okusGbxqLjBfSZHj63l
b4B5/n3CuFvnkQfADPjQK77n58ThJ8hxA2fgZvnZ3v1k4pSkiwLeNO2x0ijWIWcFSI82El7coK9W
QAOqnOCj6cTRKqm9C6FMNWBucb42QirMYQpvIlaHZFsB98TdCRrw5Ch5huF1R4BC5Uqh+3zVND7R
EflvX42NVVUNR5HqJGSPMlvnFCCJisvxyfVJhfuz84rwxuyhKbgj4NQ0Sf4ZmXSTjX1p647Yx6QO
Tyf7rFwLrVCv816kA+dYQWzl/ENciR6MJLXkSR11WzA76o7j4K0tV3jmtPQ7sEuXroycejZowYEe
mLyC+p+Fb0rVnnZVJPEx0+ongPDmJY/oF8M3iosoDOpNLAXCNlS6dh90eX7IEyQbBNzjKiMj14jC
j1SjDBemvkMQhtyJNqA4RMV9WPu9+hUygS0Z+UUE1NwTG2OlejHtDoNhZDnA/xgsvPjgEqi18Eqq
MXuUR/UAABgSltFA3gut9ENlFfdiGEmH2gBFXnaVrTQxNRdJvmhUrVsHbdCsoJJcBGHyoKlQeXxf
Dm/1WFOHVWfp8VG0RpZW5tmOqSZrQ1XX9Gc6BIOmkOoBydHF+nWW9tc17e/6ofyaSM33zqqiDU+H
eCMk8ovRxBeBNoglSBNDfTQ9Nf1WNLG+zmmGTafoQCYPg+jakMj7WtGPTRUc5Kr5VHq+ABvNkwAl
e0Hr78VO6jcdDMIiy68cVfvaCrRR4ek/7LORN5YpfXHfhoDIy0S/DxXB1is6FHudxGvQKSIakRgS
2RNLh/pkFde55pdrDRbBKvT7GJCYQpSc8axALSAmTyNdFtrQwdNxap5oAHFKdpPD57MwajdmNzyS
QL+O9OG2DrthneYJeJDKYX+RM93kabFLzIZl6YbrrJSOEZSodWUI2bq3MuruIdBWxaACXcKuQczE
XdPzdu8aCU1B24ve8ckkFeKWothl2LqfK90D+GDJL5Wn3wldN/CYdZx1I/bfTLH+4RbZJtGj/qq3
Oh2JmWRbaPljrkZ7EUAzGAyYuKJLS3MtQSMolaofVixLl6WKcAo13q2upZ9rJ4wPiY6shSyQmIY8
FJn1F372VyhWOrGVsW764MXrwwtQNtkuKgJvFfMM3gSNla0ter5EkhfsZMW7KBXSv4r1ErbBfeLl
AuyFGmKWVe+y2vyk4zGgS8RkVxKf/uSgDhDGQ3vdl57TPv3c9WK6LWL90te7raAXx6gynrrAK/fg
mj+kYpms60K70ioNj5q1uz438lVT0JKlEde134eAASRysaZ2k8nZlWLql1k9Jpck9WsY3WiddieV
FORgCbK0Q66vO8n/ysZwSAV2I8MiJCdOSlNWjNuya8o1BQ53bRUw63ojbjeFpH6nTPiUi0m2o6Hh
jaDL114iXEsKcsIqj61Vmzn1SsW5rBPy6SYZACWKxK1oIFglkoFfd6orbAoZuEQoyv4adl9JiQXM
fKaSNZYNeF/UHquNXLXZPouaeqX41ggeUgoSc9pzn4YIT2oPyGoaG5pb0DEv625No8p3YHOfwoCI
XC/KiwhJrs1gUu6kySg1zsTadoJXbqSxu3JOxMnrOUHXUSm9dSE4F3E7RAj3QGo0E31MEFA8Bfv7
VADiKJ2qJrznj9nzj3Hu3Ce+hr+MqoakTuijmO2OqHtuOmDysCndQd8VAS1SVI1ipkQJQ03VsQAU
ZttGMPHSURfZZTJ8Fnq5XFmhAhDDYobbmDl0k6h5ISH+qaxz5SBobXEzAOBdWwJpOporsg0aqbkQ
ITh5LblzYCHkRgZf3lquZey6MvGoJEkvZq+Faxqf+asicXVbycHmD23T7wBw93YZCLDgBBxfr9P5
DID+98YMj0UJDzg0zIPZKHcOWI11zxz7jmxtfFMgoRLCyU017YB0w+dBFQcylajgAdiHjCleNyGP
8K7K+03bG8I+pqhG1SYfoAdAlDaUbGeA49zEqhruWmhjsBmiyg4U3QKqLl4LYWML7RDvKJqJQD3S
GOkKU/V2eWFWXHfJzm813lKwZvY6kiT4kgjSBu7dNlz5i57gg10pCQCGFfeUmP3LpvJ4+Hulvlbj
6lbj8USFR77sW8u4zAV33+rI6yfh09AUw/F8yDUTOegyOSEwYVQ3IUG9DVGEgl69jZ+Jx456RY4Y
h2wMC1GdNKoaTKITqpljZAICEz2HSRgUkqEZ8tgbjlwbLiUMpztYXnBJN/vAzqvssx755SqXfPFS
lau7kHRoUvr/bjPz/yae5WeCAsLmyVqO0Nw3kNn/k/xr739J3HcJip//7p+XhUYNGqFO2s9rJsJR
JwkK3g9IkhmjkjUbYITnviYoLF0m5GfBVImiM//on5eFOAJwVV4ixF4oxhDR/sbLAgmeyc6gmE0c
zq6QTGRmQdy83X0q8DipjCGsN5XpHaWsUO+DmDZKXYPPXRk+AmbhiKYwjULw4bpbYNlk4TYaURcp
CriclxGKobV+pW6EjhcDfvInXMMImsMwQjhc75MJpKMDfGiXBYkIxYLO0wLvWPGYUVc8r+qdhHY+
gJ9wlTahvpfrQlkTSEH4IawAjG58saTC37qWQEShdZ+cIbCoTAoNxaD8g6ITItMunsp643wxzeAp
z7utJXKmywLydmAU34QgGtE5dIKvjMjY5bLb7kNXihKa1KviNQCH/opuez4kx4RY/FIJQKGk2kMa
1PlRc/BGaSoXNkRvQiorb3aFGVePvqL4m4o06+UQh+62I+24cTMZar84VA/FIBjXYq7Ft1GdeUcj
kPwLngDhMakH/661kOk0C2HVKZB9wpaOfpT1QmKEUKW3sF+qq9qhAg77wv8ReBl/J6U6HvladI3i
VHgR9qa1kSlKblTF/FaaFEyGXHtQyxp9Vq2OLtsmJTXc1HG77ftOexr6mixwB8RRFHicSJ6hPquR
HocrK2sl2rl7LHQg5C/wZx5K8LSITSSU6fvQNmNN3oK+wku6WroPFE1Y+0UsXzdaF2ydSHcJNAPA
TYp3aYrhcUh0AAlVhg5DoCo3loq8AImZPN0D7vuiCN9LpX2IXBeJurqMt4gc5191NytewqEypB+Z
rvYvvaFXn4m3HMQLioHcS+oAkt4hwOivg4paNXIYVDsG3XhJOtO8LLw+UNZGWV3KED8dqgaSeAOt
blCfXVO9EoxK1m+6LHa2jTIipqX+RQw1oiuQyOD7GvXvR+7/BYf3Jmn7vw7oY4F7+c85l/WX9F+r
Oa9Ir+jTtC3OEDlpY0Tu4ORe8y3aX7JB4fBnrkUxeND/2ynKyl/8VSgGJGdJh0AV+McnyvJfqP/R
VAzcPxigkWDwGz5x6hF1XiaKSPaG6xgcoTZJTSCkoUmFTrghRw9Wdmgccn5VsTJA/KTVBW++BSW+
aXZnam+SIm49jz4XhlfZdDMljAa21yXeAAYPHde0XBB1eotgAlNJEADNjuEpEkWOMXt2mg8B5IOq
SiHWNp3a8Ttej3q5cmt11aUoQm925M3J0s/kk+btAZk0ZF0eu/q+tdeKTQj0eKhtxOsy1AY+lLWt
ClfuUv7lzS3272FxU5JtR0tHNSYxFM3UOwBICiAMOmBtg6fzg3i7I95/fYzgTnI7jgzPGzRYbcdx
dudLY2BuAFjs7Ubut1HZf4prUfhNSuHPhToZEbv91GYW4LBbnRGp8p3kPOnrIX9OjfvzAxs/8hoW
vh/Y5PIXeTTkZCtqu9BfPBL6sUhOMX48b2QSfL63MtkDXgjXAPH12vaF4UH4CZca56sz0DsqSt7O
RnKb5PmFSHvleKipu8nLAq0jNO/cUCenzI/p7OxRk7Crb6XR7B1d2Ce8bHoH+KlH1547CrNUUpvD
+cHP7n9OHfxrwm5z9HOnyygVaivT07q2Oz/ZF5K0oYSF8IfGo0LaVP7vtvv4e9cQ02nEcoB6JgDF
Bs2khsimsdNIB8FPRxHN+i139c9qvpqYjIgMIp03Uq+xM/O7o4ONj6/M1ttm0u9y+X6OZWwHBuBz
5J1Otk1ThYnfa2pt19C2nNDZxFDRi8GE551uz6/SWxf87zGdmJpsDkIROnsSdNk+ADSR5MgQevRy
WCW5v5D3fqeSPR3VxAH7rpzqIJJqG5AeqTYnhKKpGntN6uw0l+RV2WsPrvQltIRPWdHed9GwN6AO
HYYmt9XCU1a9Fv84P/qfu+L0bAC45UgpCoGTwmRQrHizSd1Yd7RWDluEzRDr+Ro4e6tSFqZ49JFn
bExl3VsFaLcaBa3degg1Fa15kRXh8/mBTA/bz3GMLxlKGCI82smO0WtqxJkTt3aJCAUaXyuPxCh0
dqcU1r2iLVxt46y8G9GJtcmm0QTZDwcFJSYhDzYy3WAd4VnM620jhivPay8FvQFTsGB0BDOftTpZ
q5b0eSYUaWvHvIfWZWt2GwAXyNmb6Yc41W7bgnS67NU7xZfKVSQMCOal9dcmaPduKF+m8nChDzXU
oWa47RAKKKWq2Ju9+ijG0YNkwN8aOvOThIqRUhhPjpOpB2CyCz5keu+8XSh4GW83nOaHZpAoLJSX
3Ij6B6ComvDb/cTGTf1reagyvbXhyUFlOkHUcmqiaB26MZm4MFlw77O7GnQ5b3WKP6Y+DvQkMijL
ZuhA/9Fg1hM+mRHZeJGZO7+rl2yMO+LEhuHzIG7KHH0jb6ugmI700EJQOL8cr6OYnBsh013Z9YrW
BjvQkS1covUvjWByUlTHlwDL8X2Vp1fJ0WzNhTmaGwExOzRntEok6rVv5yhPkq7qG6m10VG+L+qP
Odlo6mNLV9L4Q6dH/tQMGZvTpWgzM22l0YxWIPyXydZecT9mvX5fYyqRNSpxwcP51V8yOYlsXcWo
JDEX0XvrbyTzqs71DfffJviRyt+9cnfe2JxzOR3fuJAnW01xLYVGVH1rF2W3F+vqNqfp9SrNkFaX
0LFZCHHn3DVkcWqllGfpGPHOlYEMUTq2hZknD2GmbzwtBvk4bHOxsCFxH88PbsGcMXE6ElrdWqiW
rY0ucoE0eCYRVXT7SAnhNiu3btx8P29whBHNbJdfAzQmu7JTygJ1uKa16x+UQzzn69FRpHX1pV4Y
2fwegZYP5Z3mJsrk/PZxIUqGgZ28lm5zGb4GkmQXPP8u/Tpo12TdLzMDnMn54c2dasWC5IpJYPzi
xPcZLpkwYtAOv7Rxmm28FDG8ezeMt4QqIgwgUV4nPT6ZvsYpYpivaL34AmmiuhBcCMPqF1kJn9QS
Yavo0cgHD8k/H5aKHKIX5ijP58c4wW+Z6P2//Q2TEz+kljtI+UDTN6F7Luift43pG0XB46rNhXQl
ydD3m6NglnbSUDj3i/zoRo/a0Nyd/yFzk306FxM3EGaejpBs19lG6n11Gv+prH/37TAd6uTwy23b
lSWvTjvXiuMQmtKK9Gq6+YNxgKoDFkOOx5i2duIdiMRjODaOjJ9ReUNJ77/7/ngkTzyYq+tC4tZ8
3+/WDfnThXtm7kSTffr18ycnzSzNyNcrPt8Oj81DeUySh8W2znN32amNyW0JvCCF5cR7gFZeyGG+
ZO6Cu5jdSyeDmPhdUMQ5yU4GISIt+CR9P78Csz9f4SUBTU/TUdd6uwJlXhWxlqad/TVENONLlO/O
f3/216ukeRA1IfKaCvGriRtmbel3dtVIq6a/9N3hT/bQq4Uxa3m6h0KtrlKLTol2b1BwhWMLx765
PT+KOZeNQokJ28Qg2zhNMoIIHYKwiTq7MZXPg49mW5vtqibfRg34h6D27ktzqZnE/My92pxsLNVs
qx6SGuNS260irySU/M6PasnCdGchS18MOhYoc16FDm0YwqVbfPZSPZk5fbI6ddN4MgBxdi8cq1Ws
wwwWPqSg6hO0KUMQXnVRboF73+eDee81ySbS0IZV8uzF0ZEB6OVGWYntQgS9MPBpk6G0FoxcyRl4
i9jEqvtxfloXNos+uYTS2qW3VseWH5T0c14SkrmldAd65DFlzGocf3U/nrc4Px5Klha5q78ptadH
IBeRtFASjVgJ4imqtJvI/XDewmzSgVTDLxMTVxpSupezSG1tBOTXILj3CKitklbeinq+svJiP8rK
ZkaNDJ+4OW97/PQ0jD81PT0Iqed3jiS3dgpFUq2kfV+PJL1uI9fmOtOsw3lzS5M5ORXpr8m8eFn4
8tIkTpslvK5T7H4QQ3WTiXCOjd2gSmsNFFTbK3eFl64NZBvPj2n2InxdvVEH6nSDiEpS6k3BBtGr
Xa1fO1D+7kRhIU2wsE7KZN+rr+sU+tnWa6sLFNTcdaAZ8aZ3zS+SlC1N6MJaTQWkUrrz0Zhs3Pho
rSiZ/twloE/CUDUvfK177IduaxpihwCbf2wHyQF8r10riXLfOICriiVvN/tzkI5HxZX8MTJZb6dZ
6T3NrzxkerpNvfmTkPLk26Ptk1CpD4NGy1udJWyNa8CLX2SGcX6XLP38yROhRFO9yJArRJFXd9ZZ
7h0VlQTDeSPzh0Cn8Z6iqND8IPm/GYg3cq2GVkDLSFE+lpAIgKEVF1J7qavwRSXr0siuE6svISwt
1TZmd+iJ6cnRRl7VG+V5OzuhredoabSYIpMhxoBaAUwsDHXc8e881y97YMHfDhW4amsq434QA1T0
B3YjwCU4z4q1UxhckAITCxt1WEMqtDUxcdeZob50Xvb1/A+ZHfdYvDUA+fHwnIzbyIs4w/l0ttML
Ty7sZCiWAwLljXRofjYhKJe6qb7vAzK+xF5NTp/vZqfDptTyzrZq61prFVDwQKf3ACHBMFc62I5M
ywGnKM+O/M3zvHUoD7s4lP7kpj/5GRPH1yhqDaKu6GzJ+6wE69p7Oj+z73UpJ+Mct8DJsdRMemc0
XUL436KM20tXnltftOOkgiA6GOM0m6P001Ai2CLuBtj0gpPy1DHzOzpT/FG4bYlEAZweMuuT8WaV
XJhuxaswEG8FFLuIiM8PeNZHnBiYjLcXPctpwBLb+XOArvpv96wdp9MyFMSEaFDzropUyrS2i72q
szO6lwyiv01h0UOjOD+IUd3w/cE8MTPxQYMlht7QiUxTXdsWKQEv+uJ2MLmsuL6Ty36b9c02A4cs
ZVK4Srr0ykyre2PIvmlpn+xF8LnrLLW+KlH3La31e/oE9JeGK2VoahCk8FZY6rg9e4Of/OLJEc6h
zpuF13Z2fHWUj/VBvT8/JbMu4vX75sRVoWihVm7H9zsFZjJUaHRjn/SFzTNO6zt/eGJksjvp5eTF
w8Dq+pH+olRGQUvvxxKdTMHSj2qMEHcSffjvxjXZr4oOARfkMRvKOKRI+mnwDQ6Rs6bpwnlD4wKc
G9vk7n+dQFf/WFSbTnpOeLTJIvhNHb4C2qb6UsZyyeQkJJByaN1GUvMq3ej1ZYJgG7oTJGUFtDPO
D27u1GtAdWggIiumYU4igwByRdSpDW7UvBEC8VsRWh/PW5hNH8Lg5AkD79IA8PLWkRolZK8MwJud
tS+amuycW9g5Ug7J7qnwqe0G+/MG5/biqb3J5NE4RaX7BvYUCYmrlI1hjcqbTbkp4BY2Lu1Xqu7x
vM25BTu1OZlGejk5HRLgXBbIwljJoaO7kLRV1c+B9ezrC41lZ6+mU2ujSzm5mhSzzVXVZes7ufex
MpR+h+qQuKnzykKBC52LotH2VSiGe5+2U6CmUEHUMzACJPrLTeMm+b7yl0pw4xCnx0STTVnXTfRo
3zVfRnK/beuUaR8SVInbtaM+ecZCtmZ2t77amGaEEDcwCklg4LK0oxfJn7jKkyFYEy/WURn3a5ch
dLq/fgS/tB1S4PFLkKKlUUw8F1XEPiu70QyteFfWv1mm/5EDN3ehnI5ict6iEGi82/B5XVs3HfVj
Gn5Bx12ZRrjgGWctqSZJJPDyKu+it/vQU+u6q32wBEinRjslXNrn4y99t6VOvj+5zAORz7uNB44A
5t5Xg+ukLWkEVZkoexoo/xdIX4r0e1NjL1oXeYTGV+Pda5aHXIIXOgt33OwZP/k14/8/OXVeK9LI
p+XXSF1w7wWw8ip6ZNFXXVx5dbAGIXJZW85GHc2f9y6zG+aXZRjxby37cO2iMPdb20UoA9rUvnDa
PzlZGgD5EYwo8oJ7a0KAN+2zyo3d0LDKL6NNkFSH86OYdRAnJsZRnsyfNTSSIxQOjJHaPOjOB8IS
Y2WqMJ7O25ndlSd2Jr5Ydahmmp3Q2JXVPYhVsxeU/lDn+ZGk1vUfmDJ0xSAuh88xDcqdLrZqT1Yb
VK1NO4Dgj9L1RgiHg2zFx/OmZmfvxNTEaWR5nKKIajS2pXWbKNTXY4suB7WV82be4aLG6hMwr19D
mmyEOi9j16/YCH7Y8ZiRjGs/I8Qp/fy2Z4dTyIQT1jykzKXlZdcwrhFnSolQFJMOgYWR8gA09Jfz
v+rno/KdJzj5VZO9ow0ZiQVfq220f4FegcFSWtU/tKCy5Fo+VmX2gzD3KSE3tVJTKKa5IiEkWUHP
0nuhOyJdTaOeNjV2qaxBcdWGi2YwbuouuxNV79rznH1P24xVUAkqAj+GCVHM20KNuI6i9kJzaEWT
ZS2t/LpghLMXezHUv2tx/bE1ygeUuG50B6XsWlauNOGeJ/JKs/xjk/QbKUS0LabB38rtU4R/JFRr
+ioddtJgSFupD4bdEDq8X1HG83Oz33U+AoIuimSrKM6bjSq39M2QAdEHJuxU15UUsqRatq5CaV3I
2sdQdo6GXHufLDpEHZ1BCe9QgXKhPOrF3lXoVRA00l1nigtR1tJ+nJ4y+rv8vU80FMRQE840BQGy
JZjVrOczFZl8Esk3/nvrM+BQyoB+OWD+tnyqlp5es5Hiydcn90vYFWUviHzd6ml+CC0dDsT3WPpS
wpQ9v4GXxjG5O5xQqusywlL21d0IC6mQ2aV4Hca7F56U9Hmq8vFjkOqo4qMcJC24hXGe350/C+0U
FcVN0A0Tr1C4Rqx3KWg3YQSioWLy1MDsheWiCjQJNT+klhP+wZTpIGcVU6KKaY40g9PrAvJgmog1
o2qO9WeagJ1fkLnL/PTrkxDaD0zHzyq+joCTKH3MFF4KlFda3ll+T2tOtV1Z3sN5m3ObQAcZggaq
iNjNFB6SVmZWQCto7DqTV7H4EMQLl/jsU0vXZVkf50uUp/dRPQxSq2RFYwfVOvK/ZNItvXBEC23w
z2p+BwhS1xbcwNwROrU4uZY0VzbLQaqYx/B7lwvwUdOd58R2QAM3ymU0R0sXVm52Fk/GONmKghL1
CLZgUVxb6Uc/+3h+kWY3xsnnR/MnUYpbJhaqgnljQ9fFQayDL4N0iPObsWfYUlw3d3BPJ2+yxWMf
mbOyLhtbrQ/d2owP38+PZWmqJpu8RDa/aPW6IUcq7nKrXYvW5/MW5kdAyxD0VUwTLbG3sxWLgRJp
fkesFZc3VSwcFEO+KpR44SUwF9LpCK9AKgKARBbhrZky8eUkNn3cZ3rDK3sUTLuy6CLLny0codkp
G7k5YGJ0WEyTJXEADjZpGDNlTvQJP3ddZkO+4NlmR4NwuYysi4Ig3uSZWaD8oFSewqXmj6oeTkoT
ZceOvXzvuEhd/sEKnRibHNAsbBMpH4012bBP6dxW9/daVW/+OyuTQ+nIqHyoOu40t2LU3gh3knQg
ERgdztuZXZ6T0Yz//+R0dvLgiJ2nNdQ7XFuszctqqZX63E1HBxxwyiNJG7rDWwtRSi18KMVmrCSJ
z9Kw658EqJuQEM6PZO7knNqZxB6ZL3elKmGHHrzw5T8h+X7ewIxnpkqAVBF6SRLS9JOdrJt578bm
iNqjJwWsm007BDsLOgodGAP5SHeI8/ZmBvTG3sTZ5LGRqoJCbsbT6n2RrHXrh6At5WLnnidvrEyW
pwKO9HcGqDTSoxw15YWHUNkaeaNVpz0lQlkiXDzwh2GOaE5Dt9QsuTKF/FFOEdZVvMF2HeP3N+Wb
3zRZygAGQByiQ2bLfXRstSdXiLfn53bGY7yxMHGzPXJQJG9Zy8Y5MsJu7OFntOSGu4VzPHP7YQgN
P5jo5JCmaYDEanJT9sljIrW8rgZky4t+IyfFoZU+0EpzxW21M4UlLs7oHSbR5Rurk1PN9cLjuseq
MrYQFtobFBiehS5/oWv1PincbZjQFSFF01dr6dqI9o6ot3t9qao7c/Tf/IzJiRkQ4Ci6hJ9RD0RK
QK0xYmFsGK3WRRIsTPb8qr5O9vTEiAS4iNqRGB8VxY1mbH6e+Bs6NPJqHdKP5/fQ/Pl8tTY5OQly
2k0/pqgtwfZ0emD40iYWguN5K+NSvVvKUXxLFNXxfpvsVKn0PLEK2Kle034v2vgij7yb8yZml+nV
xLQA7aQF+lUyA4nYEWaa3tS98qV3tE3AKVyVufRy3t7smTixN7muc0+SQyFkmWJkjrnnNgOO1JEf
MmNTq/JBaCz0fBcO/JLNya2tulEgSUjz25ZSHHI6XudMZRSLT2i5BKuM9l6rUEiugWb9l5M7uchT
TSLDKZM8lqh/xpRngko6VEpyJTuPtVT+d7tllNc4vc4RsqaPE0lkW3Eefa85IF6x5FsWNuTIYz81
QW9k3xwkZrLvVxaKOgJq7fFVDJ/cv6qUx/NbZfaM4YkRdhkv3Wk4TM9WEclg0KSGG9n5UG2N6MH/
dN7G7PZ/tfEThXMSAlVDReZIGtGjxiYQUfOVbtN76YcVLYnVzM7ciaHJvi+NnhKSyGDQj29ufH9z
fhyz3k+VRzUWE8WAaUwPHyPy0hDoCgC2fRPWmxI0gG46NH1YOEyzAzmxNLmfEcH3dfqX4WfF7poE
2cFErPn8YGYX/sTEeJ5PFkWVCyEMekwoTn5d1P6+99CQpTvxeTPjL33nXV/NTDM9haQNsZCymZMi
2bemvumCet/0/g43sY9p25HKwv15kwvLZE52QSIkqeGYwGB88aqJbtxu7dYPsfL7KSwIr782gznx
d1KRB2BbsKL69JHee4gvirvzA5k9N8hPIvJDjyc6Rr1dIhRgDCMvQ64NDWVeKUcO/UjztJ2aPVZL
vMr5Hfdqa3Kzx76ZSqUTsLef4pu78+OQlz4+uci1JKYtise5TDNEaeSuNdbILhbrltQ7z0oagJje
TSBEu7jrj6lcHfWkvaDPEzzVfVfmB5VLI6KPixIJl0UQ7zP2TJynKBIP0dh9sdqYWvOI1HF5OP/L
Zy+1kxWYnEOnsJzUF5iVnAz5mmLr1q2zH0WOErFiXEm5dV/kw4sVuI/n7c6fmtfVmBxOhH6LRqbt
tB2EqV1pn03K5HTNOlSqf0VnHiuASXTe4sJIpyTrpI07vynYa6n8GGXNTsuPpm/ts8E69DE1iFqi
o+hCKmZ+fxMogwNEQHeaogVHHagl4GnbkfK9SzlBbekqBPRR0oRbpeiO54c47xdezY279MTj1Ubb
OME4qQr6ZGoUb9ImPpDl3oqutDCbS6YmJ7fKmyiwQkaGOhtNARAE1Mz+ntZMV0pJX+rz45o/Xa/j
mhxdF/0ivf95dNmLMnvSo6XZwtN8aakmJ7jMXDNCFJYgmQ6Y7qFMfmQBcqlibNf0aj8/nrnNjyAu
7EAZxsm7DJ2ahI2gj4dO04+1J23zhoS3I29d6V4Ysk1TW/vzBucm8MTgND5pHBpZ0PuXfdj4yDf6
29pZAlDMjokUjQgjEV2g6VbPLaVHARcTlM7Wcq5SV/PGPghG8GPkmA8oNULOFfo/WDZNlQjvqJFC
M5/4ETqiZ4h6YDZ0krVQ/aATzI3cd6QIu1VDAuL8PM6FFCfWpj5kVMSVigI3r2c7Jdv+D2lX2msp
rmv/0EMCQgL5Cuzx7DPXmeoLqpF5HsOvf4t6el3sFAJ1ta5at7tLvY0dx3Ecey1VfYo3JCztq7kE
6Wgf4lErQjEdJF1yCJIAwL71HlOTKTid1nXRlgLiXJR+HS00FoUtnbzQrEvXKPiO+danpAKQZZR1
94CJeEDn0Klh2oHAoLzPbppycC2BRgElfWIj+4JKc7QLssrY11F61Lt64xOX9iTGnzEtB1AmsBJI
e1IblbhtfaTVXda7rY+H213ZblV+l9f0txDpBARZRwuqYlg8AMZZ4gnDHukN2Iy/rJt7cQvOdLl2
1PXf+rVf5ZxzZhhdaj5RAI7I0BCCkSrwIeHoeSBa8gw0V8yU1Q8YjwQ3cO/vGQfXrW59XRf+qxS+
JlxyUaumIch2MVLgp+CKyWMn973vSkOO5agrriDsRQkv8WRI8C08AFDIUTsfvDA+sGpJJj5MNqp2
D4rYoEUPcAGqErsvkwMQHe3Eel3/2GVLmRNCPfA6wVMmfSzzo0joBoYCdHRCEMv2bf9TfkkvD2nx
rjcbMzmLrjQTJu2oAsxTwHqEZZK6stuLMM9jvpGUL26JmQipFlA1Wm+NFPpUZQbIwS/MetHRND1B
IbZiqx6+GNNnwqR8gonKrCsN3E8aP9fjURluwKFha2J0dHQ0iKf1tVrqE0cT+u+1knIKXY1BPxrD
fBzP2B64QMDEnD56fXnB48hd09b3VgqGGdEaL8LrFddvyRHzwN+DKIYT6j9S61W3RlDmAZTWaXsN
RV/2DhgvoBAXFZhlY2MjPm16l5yYcLMYC3A0nfsBc1CACP8wv4fdg6if102zEDw4Bjx+ka8QvFVL
MaroLeBY+1iICs+3WgcavMrbr4tYcKwrEdfx6X+MMkcFT4Vjubn3Mxqml+KLau0Brr1htIUTDliE
Bm522JEMFDPXx45Rxjko9Eh/HhkILtEKOz1JJykY2LyN3ODXDJwUqa5ESf7rJWGI1z7o1KY/OuQf
WhY4aROUbmk1r1wDE5aZ8/sJHTyps4uKkRU/bE8pJRxEiNXF16J8jxYqd0z0B501d5iudTyr3yVa
XO5Vw3sKS+o7HtVvlADU48j2LrQARvEIpD3D7w4hB7B5Y6AnoygP68u1EGquVJP2StcZltAKWDEC
iw64HcNHc0if69w8rctZCAFXciQPpyC4jHBvR5OJdeoZmABcoKzeBekZsLDrkhb9AojXOhAtfvVK
XPtFGGDXmz4gSBjw79Bh6rJPND21+lZ3/ZYcSSMrVqNhKCAn681Hi/WPtaI/d0Gxr/KttHtLlJS/
WEEyRmh9xElZgcNSeIcaaK9kzAUggdUtmJ+lIbCplx/JN9gqgUEnbawiBGa7oYn+3OSh7ozCPMV9
9aziWXvXwC+y0QptEDynmERrS3sYyB0Ko7egDq039t2ib84+RNp2gMA1ogjEpmeqjA5a6LxzTIK/
iSIzGZL/m6A8GC0VMqoLEF1uvPAQaRun+WLQnYmQHEXLLSMa1QH4VU30BAd5MIcNQ21JkP2jU0Fu
JaBEG4sbQMVb/ka2sLUS0rnR1BUNkxECiq8Oefi+vmGX0AauHE46MoZBkBD4XoDGyoLBVjBABroI
cfMLPbkCvy8dlB+cpAAdyIy9pvMP0hXfzAEDkU1Sv+G58N03+AeYyDd8YzFm/bNwePW6jiRdaQxe
OuC7xrZ5rvrRjXEGgILrOzExCfjYxvnzuiXWzazLCFsgAgY367SO/K4I9+wr4+66gMVAAgBfcGv/
oiCSstiCJiQxU2BrEVByaCN8Pny0fO1TYW5osuyRGB7ggKDBCLu0pIDZVhh6dREcQ1vdgWlnXY+l
hAku88/vyzP5StT6g6k0ALe7WLdpfmfe83sv3YGvzTaaw4aDLlvttzDZaphBD0MOYXp6MNwhPWk/
u2i3rtGyr/2WoV/7WtYh2HITMrAqO5PbfATfblkfaKO8G0BMqHC4/DeJ5Fpi5DFTzUssEZoubtvc
iuwAuwjv4u+UFm8ajW9Rat9Yt0W3QG6uauC/0pjct8JB/RJ205WP7h7qjT6yrd+WwmzYoIU9TPDb
leYmN9ZWoXJxb84+XYqxcYIhWvATYSocJQS9uzGM6rLZpbClgxxnK4VaRc2xP4GxrtXfRrCW/sWq
z9SQNuaQR0ZWjZDgj6bdYdB4NATGDep9Xd6ihoP50f26wA2V5Bd9gdKOpjeTSomTB68selz//aV1
scCiZgFLnP/Z06W0QL6PLUBQWtr9ANqADtDefr710jyFevkGMJciLUxBfL1MDUjxFfUBKMeYJuCm
ZlNcmUXr/YyZauwx79VgIFFRtspXS41R0O+3jtKi1SDjrVMV0gsft6o3Xzsp3lvwpX7PEyc7Fke/
O2ZfFSfed+Rt3brTL6/oLQMB9ULD+ZikCH3+bWWEtnHA/Pjg7Sx+P6qndVlbaso1ljhAb7sFcqNz
apotZufA2t0mpLR73j9Egb8LsLPLSk1s4NziGZF9Vgbw+WIJSAZYOEIEAbmuuZH6LPVdz40vAwPx
sB1J68H4qe09Bg+s+ibEPiOPwl1Xf2mjAKQR7HaAWOeq3BNvdUAtphxJPpBg431Njus/P8WnP1fy
989L4bHSgrGILPw8a/lObfKHrAdjmYLKOjPuUBPY2PbLjvNbnBQuc156g98DtDWwqmMda/tpbFWA
K9gGe5yjqfkxILSxOwDYbUS4SZE/FDUnfFJ14m+RzxgdTLZ+ZvoA8wwL8FdVZ6N/Q8sZoJC+rFt0
S5BkUdF7Y8pMzKJ5zBUa0GM68C6FL+tCFr1ipo1kxzItwhQlG2z9fXY0P/7bj0tRbegA/BgZ0KBy
6/3r+m8vOsDsw6c/n70hBpamjqXAb6ufze657UEBNwi76jo7uM1vyq1V3xAnHzMx3n3VsJvsVEWZ
U5v+A1hewC8jXlojQFKFQkPfuqxsD+tq/iqZrbibjD9K+q5uW/DcnAs8QHeQVdXqS+wrN2bVPIYK
ulSt/FQ26mcl6D7RwXsyIi+2K2G85yM/tBN5vUq+WIZ3T/CB6x+34TymlFRibEvgOT5E0QUQgnst
aUB+N24YYEuGnEbCh7jSTLuA2P2N8bSuwWKiD8LU/9/NcheZoadpEAuokLPE3OmKSOzEJ3cs9k8C
x3yXKV8qv9f2Rj8eIlh9XfzGFpcbzEBGJMp22iBq4UQX73bYi79JW+cKSlEkQQsVCxAqzxwuANDV
NNxIkKZN/KeDAmV1YshFRUe6vUS81WjgYzQXg58Yh8LUSxw5EUgotFK3y850idgCHf5TJAEYrkqJ
imkLjJBLIuuAhGHcYC5BicTOak1wPnYPnrL3ff8w1v7OHP99a+q1RMnTR9C6UNFgdmBU0hdL8Z83
D7Q//fxaguTnsR8qQe5PEohLX8Gote5pf6ax08+jJo9RGJDIye/PzWgUeLxkmB9rkT/mY9c7fCLv
RGvv1mT/AsTEJGsi/wH3Du5h0pnSgenSSwMNXm3VRzo8G1HxIirxznsVc61nFrUnBYd0Kc4sBl8n
+FHNondT9q8d8/ozpNNHKKIOAcCCgTZGQAuS9F8yLXKAjX3LwdFjgLySMmOjBXbZzL9Vl04l34j1
UvMgk/jtRfcN0N+WjhI0G2KWneUfMfK7qp43JPVUiMnTQyYu3HLXveXPuHRlOnnKiItRS2OK30+V
C47wFzRB2ZkfAUDc2JC08Ep7LUraWabXijit4Sw8rMQeOPmxM4CwfmcxHHEAWL0MCujdW8xqdz4I
Nht2Z0RV76SRVdtdWZzjoXhuQv21L3N6Jm35pQ9zH1yjmOFoGuo0THlbt81i8OGWilZAVBn+mC0V
JZjKI4KxNQ2z13ZmdEhx6/quCnFRMKgXOGMFeDzi5xtnxaJrzeRKgZzobDDbvMeuMuzYZW8/19Xa
+nlp04q+BkJ2hp83yuY+uTfol8pTTusyFt1qpoK0IzGxFlthARl+d9veRC/sqdlq71m45MGfZjKk
HRgPpVqoHWQAFtH1szOwKc7gDH/laWE6fpwBEbst9oZ45arpgrlF2Jae4IEtinfgbnlGy8KGhy/u
1d8fJJcSGz0rrL7FB0WhPZLPSvaybtSt35cOwwHUGGycjEqeTJft1n98wytk9M7Isxo/BKMSCEbd
+sgvW2/pC7X5q+WSh4YIgFf6iCDSMK+zq5bdg0BKP6SivIt47ds0Rtu9gb2kp7XTe6dwoK7RA5Yt
59q+j+mzRpP7OjS2pvu3jDr9+ex2wXNgHwWTUcXLE/u6btOlXaCrALRSMdWo43y8/u1SswRP4hZj
z/VliC/hTSS20K+XYtRchBRUy9ArU9BGIyeLkx2f/BtDKMIeNIaxHfNY1NmTVpelu67YQjJNcCX+
rZmUw3hpk/h1jvHqaOJmeMr0NwycrMtYcsi5CGlhyo4LczQhwgdGT5eq9she9THaqMctLf9cyvQV
s+XPIkBg8xJSwFVcMeNo+cZ+XY+tFZqcZCahADCFKBtIsAaAB2C8xGtUUGPeoufaTrPxUELqusQt
t5MCPDEqwv1p2l5BL7fRcDvR6l3c2xmQRtYl/QIjuL4SwA8sOAL4aC1U4SVRNCx4NrSYTU8KaqsR
6OE8TbyGvEJZM2pqmykdxSieBRZZBuiTqASn9dB+1GZ/E4ZD6Ag1OYGh5batuGt0iuK0uOeOIalt
TDDYDDAqQgPLyEQEqoEUu4hylJrZK+npl0DDeJM+WEdfQ2rJ1fdqzB8KVS3smJNPfh/fhDCtS9HW
uuGZiz4zU1o63ABJbipjA6X77EuY2X68kc4u766ZAOlkUyipPRZiAatvlWkXx/A2Sm5BdpfSQ3Ao
/Y/1RdwSJ5dmcQMuiqaHPkHN9wXckicc1POvvc8O/kic1gPPLJhcBVqd1kUvWxJkjGiwmKAopN1X
GjSKygqSs1Q/4uFo543h+7qIxTACypP/FyFtP4CVaJXZA+xi4M1tNHlEaqDwS7Wo3a1LWlQGuQRg
SNAc+kdjHyDGChV8yQhYEabw4IOWYm41GWzJkMI9V8teA1zyJKP+MKLsVAJqe12NxegxU0MK7Vyw
oAkYRDB9Xzndi/4mNuLT5L5/BA2OOR5qAg8Oz+xSRGxjPvAAx6IfBq09RtaXHnu6wdwkIvGTHlcP
oRqcAjC7r2u25ArIQYBAB05V9kc9N62GOqOA+sJdSrcr7a3h7KJsdr0s2W8uRXK4bFBoxCf79Vb+
Rsv0a11gShoFi68ETNx/oxF6eAHERcFFKa1Vr1QDU2uc/qpyTF8Ic4KtW9uyzX5LmBxydnpZuR4D
43hKj2LLrYLPLd6mSrM6rOsxHROyR4Bb6h89pq+YSSlLdAkZU+Yc/sBNK4ztHjzjCiDC9utypsi8
Jkdam0LP9cETkzbTaRLl8YkR/y7vNDdunr0S9SSgZm7otmVB6YgsWoox6Ay3SG7gRZk0LhBbTxUL
duuqbYmRDqW2NrVcmfJ3ooQuBhP2RYaKTP3636RIW5d1Dd7SpoUqtKR2RpDIE9XBzP1WvXkpRMwc
wpAaZn4bDb1+O2EmoEW0QC7Rh+ohDILXOLZeUiU7RWn98RcKAnPFANS+CoADScGaeSzjgFk7xxj9
UsoRPmgewmYLiX4pjpPfYmSIUgoErYaXEJM2xSmBNmoP3IR1VbZkSLePIWhJaYViApIqbgQd90UU
buynRaebqSEdR1ZmJagLQgR4R9AF0N/81Z2aMAZ4Lx0wO2g3uI4MqajSoKcwlBWSSzsMN+PWFOZi
ERNdTKBU1SycSXKXYhUanZ4PEGFU2kE3khNN9D3vq3v4QbBv0/bVGMf7JC52Rl1+9gx9R9GgaIl3
lYpy64V+cdFmHyPFWzVRLEVl+JjMPOfP+JB1n1h4gybqXNlpRWeR1gu6FMyY+H3iv4hCRIcwCfl+
iJPGqdEYhyGJ13HCthiqwFUSJd+ZYiMhW4zBMw2lGKwOeaUyPq2oYe6Z7796ZbxXsuYFGcOOwMIx
LL2u9YJRqYpGVFUD6R6YliWlVb2JeGIi4UAzgInZuajdmgdcqm5QAKIC3BxQOhRj/dd2BdF9oVvT
uil6mR81FfCMGV5KML3zigrup8SnN33HRlsrrJ+D94bpGEdVq8eK128JLSxH5MF4AkrW1uv5wg69
+i5ph2IUgDOSIsNWD1VAXRZ+BJ6/EWiWdtCVECkNIalflWK6qidoJNGDY19Fw85n1gHvA1+BW++U
EB0VtwCuIjYfjrVnuCO012GFv1jp2TJI28c0w2QITKirp3gfVovSrbp6i1d00Z1mQiR3YoKiJEEh
xPeZ3UAXo98y6UJChEcaBDyuUUrRxXHtTnqcGBHRgC+XP2YF2qddkzsifsy2OoqX3GMmRy5ZRkEj
YlNFsloXT5iQBIU2gp22+/eLMhci7Q3AlCKXr/Pu7B7c//bLkncnlHmWNV3uAjNx0OgK0L//KEFy
bdpR9LkaWAhPOOw5/rT+/Qsd8oB4BF4mA4oYAS2x5EpAM9J97xeQXA06lBJc4+dOwZwc+g/BslUc
9bB51/Xq0R+8j15JjoDPKvY9bk3r3zHFXCkvvvoMKSbnLKoiT41x59POzCycrALX+S1A4jfkLLrb
TF3pNA94l+oV8LiAmzfu9WqX0ehiRupG/WRpf86NKqXCqh75HmA6kVzVnqs0pmP++xnf62WTt6fO
UrOLUmwbahuwEobAPlslim0JQ0fUJgv95MZ/LI+FK55OddQV5Doy4MqrmBAAG9agHMT57fpCd3Bf
QhLiP3T5cAEi1c6KFbfEbMoQRuA5ZhuBdeHUpmiZ++cTpJ3WdA0zgj7CLaYMdkliFDbxqlNRjU/M
L29QYinAHfC27pWL68gBfQhWO8CMcclbes8gHJUAJGaPAgf3RjveokazX5e8ZFQm8BXPa7Gz2y96
F+88wk8hKmBarJ9BU3QcmuovggkAf6ihItUkmszBm1VgozYL3gIl5UPD+KIabzV/L5lsLkHayGlL
BzxBQYIRtE5V/wy1revs0smkQ4QG/Fi0bcvgsejES3JgyrZn3XTq9vRguMFt+u9RCQmdC5G8LY50
XFwYac9KYOc9OuUn3D4gMvl2rV82Tqeld8QrYVKIN0mtZX5utuehU+6tIgA7vHUwWORkrXlqspTZ
pZ//KKnR2rHvv6f5cNf1mu9kmrpXE/OgqFtDCUthEnSpADHFyWAyuYUD7xVeUWLS/Jyx3vH5k5/U
O0u0+3+/vWZSZOgA3jd+lllRe06s6gtR/c8k3bqCLpWW6VyGdPS3NIpTc5KhYbLyEDy2b1vjgItH
6FyE5CtNm6tpWCQgUEtpCaKdCmw4eR/ejzQd0F2rH73a2IW49u3TRs0eh7FqXV6o70lfbGzvBfwC
cqWt5Em/P6VoSjcVykc0lu9h7B1bSsNdodSnWks+YkC827VhKscxiYUds1h1/TF3spJYd7REXxWa
+55rjMu5JotOQdz0G8F8Op7k82RusimKzC6BNBu7oPTgX7x9yOtdbX2se9aS/1LEOEBnI6dBLfz6
9+ugMqxRB7UW67+UyivQfGx9I3ovBbq5CCl6+32bRCX4e85h6hpOuFlN2/p96YSvG1J2jEMFEnWD
i16f4pCaMd0VaEk7j1Q55SI6Yy7a+MyLXNkJRR8PItdfvJCHnxNl0Hbgzh5tnvefgcD1qBTFrsqr
TyYOS94aDsXhLYh6rr1D3BY7YgR4/rrXAMXEcYzDnUcnwfvtIS3xHNOQdt+G+dtI2IEjPoH4CcwF
0d6POjsuhVto5q3ZodMpQ2iKBq9zm1b9LnDTdbhQI1ttqm+mllzCyldtTtBczFnzquMdxBZBe1sM
Wwz3S+nkbHHkpiUMnqnADIHxMqpdwj62zYzbRPd3it+d1l1tMcLMZUkRhlomxZnUtWcg2eJ2HR6m
aSTMouiHugoumW6Be1S75WVU2yTY4p7ZUlSKPYI2cc4HKForO+Nn9F2xhXheV3DDEXUppnRWkgdN
CEdnj6NxCLu/OATm5pNCQZDzqRYDDcx7UTrBFjrgciSYEgUV3MR/VF6iMI/hkKJFnwB8z4ITJh74
ntWKboS0RTOhT58YKrPATSKZiRspypCg+jn75A1UWr36H39fslM4NCnLKH6f5O0BGAt2iGLOX6z0
TIXJlrOobFgMeBlVDWeqnnqjcOOgO6xLWHTXmYTpz2cSwNlitmYLCaXYNcXR1A/5xoPU1jJIkb8p
ChJnA8yUUv2NUHSwFd/+mw5S4A8MpvYkwH4wBJhYUs6FTfPsQnNmFz47rgtbVIeoyMC4hndK+eLF
ABUzzTbioLQ+KT9N42+sZemaxXG3stBEcb0eQBoMQTRjNmegoQEd9hyhJ31dgcXsCK2L/4iQIlSr
KSOjNW+QSjaBQys1A0UlQyGhjY19n9fPXZ6cminXSGrrWVP6yjGN2rrrQAG3/ilLzsemZhFKABfC
5JeVkmk9Jt9Ic64Euad48qjw8G+jCQyz+PVWY8rSws2Eye8rmZLnXQDerXORlq9499jpnbGxmRar
nnMZ0ur1gacaeWw051ZDeRPPLc8FqVW30ME1pmVEtZOOfx1j/jw2XLe1HK+a0dA4ZT2eAG3yXINT
ZN3Cm18kLXYy+lnXE3xRaaqnYRJGKehL44DYca0Ztq4HlU1RDXaGkd+R1n9RSX2eGjBsAwtS4KvW
v2gp/M9NJEXljKZq2oJy6dz24ZF0+zE/1mWxsUmnmCJnswyI1SZakbTp/653UTD0VmSWk9YB2YW5
dij6wS1C6pJOPRWZ2Dgxf9Ve1+RNvjeLojl6f+KWTfI63wdOTPo9Vhlzyl59HKt+57XZd6XOHrla
tDaKG599j33VE+WQeeGpGtsfYd0HthEUB/xnxPYa42PwyUta5/dUz09Jn+79UQS2pqgTX9RBy4BB
mfLU8cLIjdqN/relByE0v/+2nnTqmJXZVIaYtqUevgDx5K7u8xGt+sanuL3FkQeKKPqQ4HB3zCC9
Kdp/PxiDwYGZfOlMqka95yLATjU6LbBTaA/IpUtSNkc0hHQbO2TRH2fCpOPJ19vKF9MGUWDLdjIq
cHfcQSm33iGmU+gPH8GcrWpxTukfVRIz6fLKi1iDJhoQEOTlfVPQFwVLrVqY+KVYfK/LtzxzIegh
98F9CwUCIK7I9TIDnQ2tEeE4ae7rU7+xy7Z+fNJ45vVV5WdRwqaI2uMtZ3LhoQ+//utwcaWAdOmi
KVFyc7IagEh/5NgubQgYT9aoW6+s0w9JyzMTZMp4HMAgUaK6gKV6LbkvMINAG/WWs9jtVN1JB/IU
EuLWdbgBvrrgfswijGgcWTVOQunE4G0dGAGwGc7GGP1UrV0eXNJQ2UiQlm5EIFeFEPwPsHsygVSs
sQQ49djRmNI7DyWnDsoMj0IZewf9E0d1AB2GEdbajcEPGK1YX8KlhONKuuQnhKCLvIih4wBCFCtq
vldDku0VTcWIrtKeupw6CukA5ptzw8mH0dVxvw6raCNKL67wzAiSKzVJRUKDY6drsfl15N1JTIYI
rPpsXYobNfUcNJVsVQ0Wdv1cd7lrpQzjsYo16F5R0AcH+XOBwGLFlt0EL4USPrRpvaHm4q5kmPLC
mz56JGSM0yFGfdzTp7PId0C5JtSn9eWcou8fG2X2+5P82a4fRALsHB2+VNyLwenFwRwe03+fJKAZ
77cO0gkEHIlegKm4OYvyhRSje/Di6m+CFxDcNcqA6Q0YmWs1FBOkanjJQ9w/9tHB+ov+AhO5x9TD
irMMo3DXP58y1SOej5/3+89xATpHMCKsr8OCO19JkNYhqZJciU29OUf83gyDCxf8WEZP3s5UzYPO
xSnZwEBZiiJXEqVVyXjUYNwTOuXJMfCKYYcmbsxtCK+7V7A+fqEBhr1N/DOlWvYpzotio8K3ECyv
PkBKDH6r3ND4rJTsgKEotxi2ssdlRQE0CCwjCxgBMhdJagJiuTdg2rB7qiMS7KKsqsGbkX6EiTiO
zDpX3qC6xASDZeiz7+sLu5C8AsPwH+nytHlm5WrBGxVHHtro0UwwmLYg8ecwA5CkBYyomP7FSO2V
ROkQAm1d5XkZJEZd+dC15pPa04fBy3dcqyNXQF+abGEIL60lOgDQY4VjD0TukjP5Ioz9bhgbQKvk
mBCAHJJEz22dbtFBLguaUFWBewFWCmkn9pXht5WuwWt3A9Wd2tqb6tbE0EKURyvRbxnSXuwsXiSg
6kRMLOkdS8PY6bv8bQC4ec/DPYLXY61h1mHdT5by9CupkglpPY1I15BaJebZKkLNVtr0Daj8n1hi
PPYdwUDFocOH0OmLymDYCAhblpW2oyUCX/QG3KYjRmZn6S7I0d2eplvWXdoQGjilgMY5PZTKNZEm
FCC+mzaETl0RuSPGQEq4S7RTg8Bdt+miSjNR+nXY7kBO2va9QJIOaDgzVPbifWre+m9CJI/U0c6B
eW/og8GY57J+b+psZzRb5GJL58PcapJPBqnXpEML7xCcRk6T5nj8je0h+cbG0dZR+wYz62Vo2eu6
cvpCfgBgdYopc8YJFku6UOl11PSgmm7OtPvG0OjjjmV6n6HF7IbnNQjXmvAnK5UbxQob19BD3VY9
3wUh/A/fHH2nD4pdoqh2Ve4H5UlNNSfpo10meG0bAgQfnaLfWWP9WALfN9bJK95jNjLypcffKwWm
zT5LcCxjFJU/LU+nFKXTsugSFgfOAFDUAoIDLCZ834s4cIxE7x2QO98ReAigg6id4IO6WsUfD9Xj
ulmXHNMArR/oGZiBlEJKV7o2w+VEtLjINanbasRRv+tDuIFuuhTGZkLkk0dVQhUzTB2WDlzu1WTh
sXzsYXE6mT4Torh4Sr0x2rwlVDp8gG9SKkkNzfgI6LYuxGIDTsTSHDDw7Yy2u+ej/nXdmJPrSyks
yIhNjukI9CwQ+ewxTR4NptE06BGDy5HGB/us8DdCyZYQOTqC8BhoCzWE5OmxiLXDJgfWFCf+UAOV
XCiBaY8/SKMUgNBoYZPh7tigV7er6GsdKU5Sp6FdBT53wBIaOHgpgmPiYNg1rf7kR5XusLC9S8uy
2IkODZlmn1l2HBi90wJMIxZJuA+49dJXR7zd3AtQIRZjfvIi9d7SytfGit1K549jwA/ULO59Nezt
Lq91O6HRKRKA4Rmocd9WA4JMbu1Yx48NxdtlR9muHtmtRxPTaZo426UBBkfWF3Zxl/y2yK/EbrZ1
S9Xo086HRbiW7aox/hp3p6gKNlt7J59csfyvk3kmp+faSEodcqzAym0L/+yoXtQ5GkJZmmapbdL0
YmW4UfrkNQ+CxvE7cVrXdSnOogkKNxhN1dEQJUWEGq3DVAPpzrn9P2MGWDxm3PJEQT2/LbYOraVD
eCZObg2J0UfGMDeJnBjNbV7+Cd0u7XP98LKu1GLqPRcjRQMzgLUwAggxd/R9AIbRl+xBVx/MLV71
Xw/O8hJSIKLBiTHw9wcVSAR4ylqUAaoB6g8CR+0mjxVw3XjyYZqCkHPyagzu9Tb6H+9J5R0yQ3kM
/Njl2AhpoN+X2BixF+gX1PV0G70yym3WjdZu3SZLC40kGcMOuoZ9Lr84WWUVci3FQvsd2Sf1h9dd
vK481c0W3BSq4wt+PRclpT9+2moliFMQUQZaOUmrvfaW9wTlVCC5sdAB1vh92zSmrVdlb4MP6qBp
luGyYXj09Ki3RRc8+Kb4mnbp51ChQP2/TVUROmUG/NzMiITjxeVLRPJLh+zEzpSucYkfoZOv0GMb
eEsP3WB6u74svokWoO6kjdt7oLGeBk0/C8rQNu6DvLkKDsJSD3jYeOxJE+PbgI4+jjrAOJQweQzC
jJ+IsIKPRPdOXWy9AyPOQe2ncPzKIocsp7Wj6bVn5z7xdkHXdW6eYCP3IXr0g9IS+wY0SAIQH44q
onGvgjhvNzT5uA8p4qRHRLWLYvXos+5Lleawi5fdWEFanKo4OtZBGYABvP2u+NbnLLpXwk+lGXzz
WnoHBArqVCb37KjKxjOGIT81Q/Iy6NAeDEyHtDZUwJfo4F7Kq0uuoYSj9/mh8dRXkLeh7knbwBaj
90XrIs+J2PipUoEsEVjpG+9C41Caxg+mZgC4AdChGvDRqTIQOfVKdhyHAGA0zCuR1tY/irIUTthl
Llr0W7et8nJfEdY+UzMxQPJbe8ehpx8dNTs7MsbXIvD6HbB8gevr159pMARHozSeunrwbDV5qoGW
jFevWxQAPExTKHcWSA+UBG0rCdVOvgDdwci92zAIb4IeZPIBmHSLiVKXACCHg2NXTGS7Go4aE8S0
hRo2duRRtI+q96Z1B13hJZaRncKGVHtF0R4NxPUMnTGExfsSpGWFNjZ2niS1qxsVCEZKgKeORfru
4d9wMKIeTKs5ZuOtqr+Zvu/QiAA/IDDvDN06NWCFAd25sfeGsEKhie5NMMegs2cfKcZom+AnKcIc
3q63t0kQuyNYV1Ddb50QU992qavHHvTANo9BR+YByqgd/UPVefdtAa4Q9Go81oQcPf07Jg8O6YSz
HwFwvy/6A5kQ+DXsDg+Q/H4IbH4FIP1lgciKqsTTEHvF3mPdrgegv1CQViY1jM3vBEDT/cDvbN0a
3Moj4NWlh7jwA7sEjHSS1bfKqI8uJpJ6EFREvj0UxYupBY9xRy27tpSLZ42lHeUE2W0CvpOwM29y
q7nRFZbb/qg84y+28wBxVwHqTh3YN9r3lypOAmA6Rt/xWKJOLc6pXXvFrk85cNzbcLCZEX1CPxEg
fPgzRgFNGz3k75oR7izTOnaDBocGzrCSAbzDNNonXyMPaaXd6D1KKc3YA/AUXVC4VGb4m3KXRSb2
BA8AOJ7ewuG6XcsA8Oh3Y7xTQusuwPSsVU2xpWh1O8J0cBv9L3tftls5kiX5K4l8Z7RzJxtd9UDy
7tLVGpJCL4S2oDtJ37g46fz6MeZSGRFZU9nVb40ZICFk4O5c3M8xs2M2XC9JcIijzt2X2ilGAf3P
VIVjHo9nVYJCSrw5rzG5F7XpTkKNO2TBOl+zrJM2fJ256TF8M+kwCzG+QXhzHyT1TVC3uGe+1DqN
D8pj1SEM7DaBRB1LoOr5vEnLUN/aPn6MnOVz5Jllt3D6BNOSHekGthlqKXYirAzwB3KQDJP0fSif
U9s/CMkS3G5QkrEkqc4+VAv1MjxAHFCQlJ4Eobs5DV/jVbxI/NYUcNSnOSirE9XqpZyWp2GBX+hK
3JOEI93YHy5RxR/jQNF8Al8/L4ixSSd4JMiViE6T7i7o5FMfp/DDoXXuKqEwhlPBISEswQZD1L1N
CHLnZBChotOgraHnDt1xP4jwFmkOuvAc/xq9+nUzLoDAgNQrIPaIqAjyKgCIPwHNtwDX1RS8StPB
JgA2EA1DXbrigdp4+jwF8paVfsERvdv2dtp6gdiRCEGegf0wyK3YKO7DoEth8V7xIG/Q+6gOP2D9
cUhHH+G16aksnb3XDjcz8JWWCWBx6MPczs9oDwwCIQ3pOVHzvoxnf9+DQC1cQFotdbMkNdsEREzR
+8iLmZwxh8c4ukyryoy6fOOVyseTiJNLs/7p2jtvHqp88Fo4wPI2wNqKfX4Em4PtidDTPGGRDm/1
jBph8osB2/KQppeQ+eG2hcVskfZoMrymv3f88Z609IN0yj9NgbqMyYw6gsRXY7vwLMC0QBNSoH1I
8cWVKOvtEDGs5bXHilQ64WaW8XMXYWcmIbkyxuH5FPbbwBFH6t5SI+9WCSmAHv/aEzVaU8qyxHHu
0ohfubGHSTPIAbJy8tIsbInNrKqvuVMhhc9JsOrrmAPoDDDnMYbYKuo+2XAf8fUdshdzvFdXeKNi
F0inRagPIYcw7Po8sljlbaMPHU8AAKVKX5VjA6P9skyKyQ0+p63wNhFlM6JGDe4Vz/KdDpi7AZTM
D6QruzdY8HrZ5I0PKD7eWds5WcPnqEixma7Pd4uhMxRnsfkM6JNuoG308zamt6HTQfXIonlb9sbu
bOk9d6uDL/LOl6LW7RXCR6qb2TfeoQ2Zhl7aFahs2LGSOKEBDGMPxoYCjtug5Uu7fOZRCH0uptqd
FsmONJ19NBIN3ybJMhd+58QFYBub18Yl93gLXrCZi11dUnVw3OiNIFV5v3SSbuHL9BL59KkWPWah
bXtPBfka9gLeJXF6ASyE7N24dbIk6kmmhDlDhHMfNzQ+GllfpmMoNtSvZYECw5xE3AT5QE2fKXwU
REFmnzD3WZVDeJmI+CzH5WGK2DU8XtjGXRC0iqw5NHd2Yfuh18kRwl5+F/SLwjLmyU3FAOZSt2lX
B4IkU2r+MtQGTo3zu4JGJouHWGbBEMpti3GzHOEPB0756wRbeqPHd9iQjZlp1W2wBENO+/C+Tx5r
s1zUtpe7cnbeWtM3uYrbnQODD2ziaEiQcPs1MM2OeunB1bLPW2fYuLS5HkW9QcF1BT8ZtYFh36sT
1+iWktGeoOPyQWT0VW4mZOIkpvMLBA9UWzjU1dlMG537tZAZL1V8JDI5hDP7sKHtsoWyKUf9edX6
C2qKzkFoF0DgDU7JtPEHaK0r114pixFlyBsey6VXeQvnT4R0Bx004eyJEO0VIEpxsuvWHjwSDxnz
U7kToByOQS3Tc6M7f5eUw8Vs2psytNVmGVuG2QRUqHWpVN74HdzPPXsZuRLrq2AHf0nfYGCzS9YB
SCL522ST+liV8YWgyI/q2Nsycw6BCsx5dNt9poiBuelM4G11TZH0s+gNzgjGSOV0zZHaugmIFbkr
GpGRqcyGyN71zbLKh2XuuSzr4V2K5lBmjSue217e1p6HotXuEJ9tc4E7HEHQLS2Qx/KEibYbR1OD
8In63BmY2CSJ3KwO6xkMb8diLt0DQ+4V7o2xzkvTqIIlqE/DZpQ5s6k8T1ObFOjfzJaycNr6E7Qa
NIBvbTqc0qSOYPoD2rfv+Y1XpTDPa50w110qYS7oROeFgHvtXV8XLqFZFZRreUHBf1RwEBqJQlSj
QtKgy8NTa+IY9HxFcxJwVbRwetk3UfmU1vG7RbYZNob2A7qEBlV9N5zmxbtWqTNmTm8/HMabbMHc
a/5Lk/Yfb/N/Vh/y+tfOsf/7f+Hfb1LZjlV0+OGff79kb53s5dfhv9aX/eNp37/o7/eS478fn/Ld
K/DGv31w8TK8fPePjYCy196MH529/ejHdvjl3fEV12f+dx/86eOXd7m36uNvP7+8c+yPrB9weQ0/
//bQ4f1vPwNsTEO4lH3Tra4f8tszzi8cLz7D7/CnDH/++Qs/XvphfaPokxuhpEAaL6arQKv9/NP0
8esj4acw8EA+IZQTo/wpPkzIbqB/+9kjn1awP0wjgiFqJHYCN+zluD7kpp8Qs+oiM8UlfrxGgP/8
+1H47kT9ceJ+EiO/lkwMPd74Fw7+DygAPkOgyskqQgQ/hPmEXwDhb9AcxCLDUiIKquPEDHmKHJpm
vCqB8g5tuOk4VkveW+dDmmA8E3Qoh5Zh0gmGrWzDakp3/giAx1WReK970V5rCwR18DiDU4Twci8d
2N6pMBAlWHk9WP/STxwwRdVgr3pP7X3a05d2WW5EVd1BgHINh9k4Q6q1f5EYoS/DOJQookxa9IIB
RE96mfMA4Qq6YboYsD5lKoheHCK9rNcj3xrm6NxYTNjwUbk3nujna5lWaDx8Il5IhXIQ5pnjZbMg
2bAnLNj0UJltmkRuh3BGNab7NvcSehpUH20q1GZpSdhGWywkXWlPfdzJDObXyIkOol2buh+V79wl
oZPFTmg2xkIqGrkkoxOaTRV5MAXBjrAFXgZcxdMs55p3BYJrL1hlzi6HF6sMw3o/OY66T+Zxxp4e
3qt2eA0DHW6J7R6xlqAiUgMtQmpe4wV2gXIIydmdgQIMaV7hjs7gQfOOQt7NyMzPxjZbv3NF1rtp
QZz6QgUuHER14hXR1CGFVcZP1uuWfKwrteeOuuIhdoFpnh9larddUu2iZjF5wIIhWyF5dGrylc4c
cTaCFxFtLkddqkynC1ST7cHhXp6mPUoedjmP9XtZpieYq182wXJcapiTwkQCAVePxG+OXTQ/+h05
hzRpkPeORqoZB3iI2re6Q49IB70rE71ucQndOl6T3vaUO4VJCEOpPI551BvwDxFdXvTQtdeJBzSI
158bx5SXDYXbWmyHFLUNi4qhB+HZt0oWvqhtFji2K3Qd10Vq4qukrIK8HP0hiyuLZTXq0ERP7Was
7LCNsVFmOur0WZbhWc7DgHY7bC4GBWLYK93m67zUu0bPTyOFxa5u+MOCPhwixW7ZlNx9B5f72jHs
5sIZsUONfrIN/OCLaeSjclKds8E7LKON3pbK2fdw7s86vxl3wrj6jPThYKvt0BeJmTmKYcFz6cLt
dgqCaJ8M3dfQ1hr6w+SDce4+js20G5cUzmiDvwtUuR9MP236eR73yvSqWMC0BZShiazbZTMOS7Tv
pV+Ipbmq0ccf0CTiNKtI4agqO2UAk1qo2byhkHDQ3kMWyM4TFebkOugTyjqGZIlT1FNwrGVemWw0
mpqLOabvbV3pQkzSbGBh9DkcPXGDZYf95vr1//ebFcf+j9+X8z/tN/d0fPnpnrIP8dN+/PjzprO+
+vdNJ/nkQoMKhT5yHFe73j82nfgTwSDayhNAZvFLsvVvm44bfYqhEMMuhTE1NHlrHsfvm074KcXW
BZdzWHmA1fSTf2fTwWzsD1BrgOw76EBDtMroNiHpx+PfbDqBRNlYGeVBhba4Oa/kCOTRYPYPsNm+
G2aEhc79fjLztaktDM5bdOUpb5csgtFENg89zdAWwQSJqy4zAdTGQQ8V95Am6ZYvKTQrXcMycBRf
mhbjZA42hCysCGKvK4+jQmNfWRzcVbFv3x1sz1jRYowH1wxVIxLQiipuZTFPrczs7N06IaBQDdkX
uBwBbGIRM6DWLtpA1ZrRkHK4V1afLR3azVKK25HR1Q6Zeff+Eq9GDMOjtE26ZbS+6inp85B2uJ/n
WCC1EoUrAVK6qboWM4FtvY0h/81k4Lhn4zrB3dyaBctw7eZYn9DRVD5cx4x6MlGAHo3D0xfBSeoc
AyveLmH8hI2IZjAavgvtcj1Q0hWJBqq6AP49sFGqXWvdTQPMIwN2gEaHh8muDiwiBgYvH3X1LnT7
iFbiFMqhzmVsQ4zE2Z3WoZfZoSHbypCjz4P4hKyjS8Q26ehkZ3/X+ApluMviI6Yz72pd3iLbRhdE
yEPfo6tPABJnNWKzCxXg+0gWM/T3+K48jMtzZKZqn6wafCPEQ1M3J78FcSe8aMeYdwczhnlH9YST
CEazmOxI99rAyD1zgEthk/cTqvaCgnneCu2KL7zF+HxOR+zD1pnG6NiiFPa+OIaHV8yAq8PuMt2E
0tx5jmnyJkg/V55t9zFTHZY2FAWsg2kslO1bxRI4Wo7AF1kXk7wSLprcgG74GN9IboskmgAcYTja
o9UtdJXdqZTek1TVntR3wRhUGbrKKyeN051muDB7bua9W0pgq5PD9lDdBtfE6TELrO1BuNV4NHUC
DKf16lO6MFIEC92XAm3GJPp3ZComWcpHnvvKjYCF+e/w2Fn2UhKTYUZ9zjm8fXYYbsAIDY+fgYKu
rbzuMs94N0Afloy76cM0L0kew7cnx7R1mEGHW+cLG19NnU4bYWDipMJu3g9BDQW8dXbAcG6Wtnoq
/fFQNa2Gc6pDQRq5NwoJjFuG9jVjNOhPJHLL40yccxvIbaRGvuuQAomdrwZWJ5xLHJfnkmD2F0w/
zyPPWkx0CpOnDaqxuKdAlRqN5ituEUBoDxZPvaAiesAmQrMFYH0c4P4nWpz1LI4emqJ80fXR9riu
2vEdrqzPU+cFWwmYDkdPw/HGC8A0YODW9Bghbc05Lg2+bJ+eDGWXhsGo3lflnKEI1zsnsRdVHNtr
PTVOHgti9xBqRei7UAcJ4uhml8xwXA6Wfil65b0D4H1t4wjwOwgy3gPGD9Qz0lhPkRnDHY6rn/V2
OM/LiFVrDGBcU0O709smRxZjX7TtcgchRZOnQEJ1zODaXXlXVfDUhddA3dUm1pfK7oDhfPRcf40H
7K5UXTL7mgAkzNpBMajHjIf6m3/EES1Qd+8VGOuthoxaufW+jE6tGx4iiR6x8U+zZK+Y0HwzwQfk
e/lUtfuxuQRsIAsxuCd1ppS9NyP83MWkcrTiJx4dUzVcJa0Wh2iIbxu+YAzbmM9RzMZsXPqMxe5L
pEJ8E+OdYok5HxezEYvAikXENqrdO1VjhnuaQQxxUz6VWsiT9cy+tdfwq9twyQu7vJKlP7uuuVr8
r4xOdzrpLpc4wlpFZhRLcdanLsoy1tzb7kL3/kVL+ReQ3M+TM9/aGvoUR1G4FgIE8qAShLa7DjI9
wAqEIt2HSVOY0P0SBfzDqX2xL6seF5aHym0IMfDgXXZzlhJMq0w4zVnIzBlF110V2NMcd9EOoN6Z
GQjo0AABLCLmrGRwZEvSbsQcAEUNaYhLCJUoWvFbGAjdpgs59b67g2VeCOV8cNP0wC66ll9iQ4o3
EOBOt0yFb2Vnu12PIcR7xFFglXcgK+aNV+ZkbF+jpCMF7ikMKOoZ7ETrLmCxfMQbB9VTm86PovIv
FHJ/52CJfmXY/1+usRx04UjMDNwQ7fT/vczKXn66ZS/Owyiqn+5fxm/rrO/e4fdSK/6ESHRMoyZQ
6AVYZP8otaJPmO2L4MqyZv36Icqz30st8gl2xhhJgEYd7DvU3v8otZJP0S8DliHySjCIjDLs3ym1
vhcurDGegZuQFUHAwOZqlvN9oUUZXwChsXgvHYiF+0BeTRyaFacO+o2FQzv+Tz5+c7B+gxi+hRTC
72o7fCRgBBjzpDgiEQ53sEqevqntOhG0SuDi3KcAektiN6pyMQjW/MWgFiw6/8kHJWtRGkAdAAOZ
HzwxU/BHdm79aC+9Kc6TVKMKlBwp71Wy422J6Sk66/LS8brqaYYKYos7qSvsFEWPXp8u27gWALZr
qLXBSvEMJj5gxEwNcK6fo8Pow4wNx8m71I1ynqthCV8gTBY5VJ9vFSev0MNNj2FUs9MEdOBB8bE6
waCfw4oANvB+DAIyjZIakphJ52DTkQcrQYGAafjMq17zzHjJeK2oDMHSliCj+bwXQAkzviBKakjv
OcQgIKDbYIMRp71NITfXYXsmEcRLQoj7FkLwDa26E6trxOZCkIPqEuiuhAW9Oz6I0do8iJI9erUX
IDIFRl+RDMIE2kow8iljhzXMK+zbDoop/5lXdieb4dXpgaVIxIrnYijRKddzpqbVc80/VgCvt2BA
4cgxTWGOtZADIe+bwtdKbOYA5joN93ThN9h2YKS2aVJ6TaV+FTN5AzIDcHplYnS074LLet0dGzvF
WeVVV2Uw76xuaAEHMJmpNvhCE33hs/4yiutndKQPVAhgPGTczTaGOUgybSNsRjmDVsu2AjRMCyUF
SXGo5zbvbHjl83Aj+uFsY/9KhbAJG+0Tq1K+hZkFcuQ9lJPokWfUCPQBA38mc1gM3Qt7nqkAguxs
G19WsFcfc4TeATPxNJCxKAaMMwIZB0S9m2Iy5KiqYdddql3iY1ZvqFDHE3mgzP/QC5LYfY1COmqc
eEM95106xF1jUs68JZc1gsL3YUu/MOF+Lq1/z3xeOwiph/NhnWy7mO8mVV8a7YLLHoa7ZKQnxzNx
rtLurm3odZDypwg+GQDjxq0VsFVOmBegISpn+LSCvVKuuie+6IppsSteXqO0aixo67ktfM/cAbNJ
5rpIguoi9WCtLhP3lvHqCpX0JamjaxE6p8GHLiThVbAbHO8SDHtwOVMr8xk0QoEWYymwVaIC6lmL
hE5USwQM9l2djJ+jSdY5BxkGgr5hO6cM/Z3TpFMR8ek+bZISezbiv3SafExDH+BEKLJLmvbCidwb
ufCilLrbMnfBkCxku2mavLVO5+Erk2nftOSe9mhwlsXBHEaAJKC0j3GF2JBugiUGj4aqMndHrp+m
YGI7TtK0EM5qpg3Tc8ci2XOAaCYt8SdES7MVQbNxA1mEHhnWOzlEoiJRrxHD6Oxk4BLZoESxSSXy
WXXRaeEBxoQnCh88JCaDVBnxe+BUg4sKrgtuo3eLA80x4NXPsEfy4U/mDxtnLC90tVKrk8uLykdr
1Dvtg+PXzo519KuV5JY0FaRCcMnOCC73X6H675D6b1fn74WZv67O3y6aP2wIZCwBWAEy3SP7MFtc
fG/ny79e/7//BAza4fggImi1VSAYuftRrOvYgCwhOMM9nfqrOnZ3btT8hVT3+y3mTx/xo1Q3tsgi
G5iLDkWDE2wlpgskcWEiGt3/69/yp4ym9ces1vUY2iGYlUqxhX+7mYGJkZ7XoxeqjfOIYcgUS6U5
e+US5S7IrG0tgzsOPnjvLwMaQ0JQBdKj9QIKv27a5mhB34Zguelxfc01BuErTbo8KcedFdGLUP3N
v/7CfzoyCfyFMOmaBkiJC+Ifxb2LSWnFJ2/ee5Dwp93jMLaZmf5KAhr9qMrz8TGIz0MlBVMuHJ4f
8BvZuNC8GJxjh5Yn6Udqa4CNnBvOLjG4Nm59Gm57V49FzeG+jZSrr6yJ0QeW043rw2bHga5z00FY
DSuxZVeJqQOhlASbuEO/Gi+T2RI5hijZKdQxfZILbq4Ql1B0TfgV/c5ewL82WwhKaC98AqF9rGyC
+EKz3E4VFuAEY/ZQoVJ3Nwr3vgH7k+kAszzQ7EEJh7gNmCjnjiMnTAbEQa7Kqt56kfDzeibPlYPl
aNJIfYjC/hCJ5GrtardtBVJO4BvHmHDfRra/q1P1KIh/JZU+lKbbQr0Q5akkd4FfvsUofkzLF0zQ
Cn/3759kkEkwlEpcqOT+nBJBNI9SMu+X8NbpnRxMvbeU2f/gQ0BKgWSK4DT9o/AS8ResbmaUcRhX
x3b/MGISYQ6Sv1iO/qREXa8k2LqC6vJcxOb96IKBZr2zwi+xWngLdBdwnEvhIn0wuhuzvu6uvBmc
CczAtzwN7mO/XqCViBRgIwYSKho3Q9wCtlaywUSC2x+SDrqkrupthpyh9EEY7y+q23925X/zfX80
0qCIFAoNtsd9N3cvI/bO0SEPcyyPdn791ydgvYf+IOawyK1HBoZZqxcKaLofMVK4oGK+1dN2H8Cq
OUd+MxKpG+Ptug5gWO2/Cs3/YqTpn31iiG4FXGQIuPfHc7H4Ttg1Cne1mXHXGrMUVUOuRgOSnJbD
bjQJ+x8Qx/9rKOE/mj90Iv+qfXz76fQi/nnbiFf+3jZGnzyQwUhSTmGkA1euP9rG8BPaGXRQ2HW8
2A++oYU9IPSrqzaBFbIbwUnkH22j564dJW6jNPE8/MHK/zuP8N+ghVEdfXf1rbQwwaUHEx74AkBx
92MXZ1rJYcmB4F0F92jECrnQjHXoR+ABj1LGFTWuQz5Dv+p6N8xRzUYTVh3bCIh0ky4fbS2QmzjF
PKe+uBauSho4RGEOBPsJdBdwNkDDVtoCyUYNAiC6Lw1eufeGbrcwrqDD5N0WubQGEHT/pWuq8yRl
tdUlkmonv7pWLYCjlPYX2voGbrPJfVP3LEc46ta1FLm/ExCwVhzRr+ksdJZxr1vf7HzmQHEpXwdI
QXbOFG1JN2OAg8afBfwBMhIwZENJ94E3UJtSv0RBrMKbQY5VJsKozY2HziDV7XEN2G5JKzeowLu8
cpGanlYWSp95gJDHRTy2tJGT+U4qobBLIhwKefQVcL9wasqi9iI0FvFCt9LSx4o3Yuv1Y48uBY6N
DRsfDImOMIi+pw784hwugJonQCCb6WWCVnwDq4x2pS4/xwQwHbRY415UHTLweiDDweDbzTxq936Z
AKinywZGK7fADt/1NB9o56B0p5A2q7CxRyhn8Et7LL1Rt5ii4pqd4P9gijEYHh0fySOA7Z5Imrzz
qIkerJivJ+jLgZEiNwjJgTsadyi8MVtasEmTrKw6ZJ8HEgivAPcMcNYpllVGk0JPgy0FTKjXnisU
UZkI5I2qlqdmFeHEE08KLfQEFFXetlDsgDUFP0G8C24gDxx8777WEPCFnYBEdlX+jO1YbSTEQLC0
Qau/6oM6CIV84XjbwTj1jR2Gz3pVE/mQ6x5An7zVfgf9WXwxr8ojksq3dNUixRAlxap6J6Q+gB1Q
+Ir2speTRSsJJZNaNU1A436ZgKs2qYGVDYRPPXDEXbhqoeIIfm6aeHKHkVScpSiZD+DmbE546wFX
ZU/OOHfbeUy8rNRS5e7kP64zDfjS9ipYFVnQjpgNwrzgAE1iP5tNB4MGGlwZiEnzZVV1RZB39UF6
EKveC0FHoKZWDRiEezU0a6TaNpT7xbRqxfxVNUYXCLToqiSrYDqRowF/hREATBchNzOQnXmQn81p
v8GAZ5+nrXMIIVBbIFRjEXihCoqVDPfwbl4mYNWQtTWrvq2B0A2zyn1ylTb+fbhK4CZo4cwqiuvo
/N4SBNAv67U9QVK86ufCVUmXrJo6varrMMX4ruhUaMju8L2SrI1kCzYIXlCgSKDOIx7SzHst7qha
kuOyqvi6Vc/nrco+3J5sM0PspyD66/vwrH9RAc72GRbae4Q0wdDLw6y6XDWDlcvNia06whmM3Sae
6GWyagzF2N6DcsA0giLZnFAHlUIIc2NIE6NVo8ggVmz6+r5Z1Yuscx4Hrl4Mkpm2y6pwrKvgDVMv
6qChQN2h3ecFbnKCe83Y3FtVkr2FjN+wiG9SMtknM3l71ZIzS9hjX45kg4SQ6nWU7VVLscvKuid7
KPJPdG40riJ2dim/57ObZDBBe5gWVqLTXrbQ+NPMhPprO8ZN3mn3lusAh6R1ohdD0F4uWINl6Y15
zcIrXPXnAWtOxph/imasTHXCYjzeQUzLaL/ONkrwjWENZ8DJvZotrw6xdQ9BIl4W0e7d2UlwvF20
wH1zV1qx8eryOuBNckiF99A3BknrE6k37hDD7ruzTg7TSQLJG/kKlVqyTSP2Fg4JRmiqj3TVysau
ewMfWnFRLc2FncKpaNNlKZIR8yB+WDabFgYLq98R/DmlV2Z4l64IZHUp44hjs3BfzdTtmsa/Hkfz
PsdgpTQmczpjIQby9W06uRpDNPDAAz+GADwKpMpNWAZtdLQffZBrdYr5tLDDgEHYtRkG+y+Nkjgy
OvkC/jDKYptMRW35di6XLlM8FSfflR+2HgIsvfxZeXOza0qN2MLZu6NO+h6m40tIor3i4XGMq3qz
dHxb+yxjhPcgjMKdE4+qgPd0hmGso2HDg9NAGe23yWs4uSetveceo/O5g8nCM5CVxzLyjovbQisk
LNSjBormBnEZnoouoWLCt+55AkctX8FKRtyWfNn20j6ULTAmNATyMljCaxz+BwYxCoSJINS0Axfj
DngShnY66LcjTjIet7gqMG3qp47KoL25jjt8CjL2FswX2c+YrwBjOILSdbkL+wNe5UuJeX6/Sy5g
oPraC3NZ4mi2CTh7JyAVSBfIyMG+B8VYKygYtTqDXz7Cci1+jib9KheabAbsyZCUsq8YSiyzaVop
XhosOVHAQsrQPbpVrTdmzUGktMTwyhhBPKnH+uSWPigpD1f+WFtMaHhxhho1uU9WR/umj6IsiFkF
s1Eb59qpxEYiUzkXvsC4DRveaTWAh+3EI4FbLaYeMEai6qemZ1/bqDunDaHI8wMo1LfICx3xU7cW
Xo2/FIH/Fp/yv6bU/UX9CNjir+rcHXsR1beV7h8v/L3MhdzEBwkCDQr6mehbdiT8hPx6N8UNkoAb
gaTkd3YEtSwSLAFiwLg0wbTPSpz8JkTBQ663utZAUQkLVTRF/0aVC0rlT1UuRvRAB8UYg/SQnfwD
V1FzTWy1aHFEb9oeA7XuLQujBbE02vuIMUFMKDCdyjF3i4Ph39k6oMsVSU7TXKrcSRO9Q+mIkRLv
Xg2Q/0Ht6zhxXjv6TWD0IZPu0G71FD/MjvsWdM47SpHnkkfwI4gXu3NU8tGpcM5tJZ4i6rx2SYM9
OXZvxjkFFUqjbdOMdeH2MZZaD4L1uWsx+4Zt1DQ+5NS+nw8JxrF87V0ACJ1QH4XmmmLoqgIQletI
3XQyGoquixqgKOlhqm2E0rfsinpgX2SMeDm1dBjaolENpfH0MqbzbeSM7ZFTmG6P9SEyzYdk/Ghm
eQXyG5v7WPU5fKvOEYwe9y1aBYDkwwvKTnhCzxFoV9fcTdFcbzFfgY29hKqwpCyvOYTRXtc6RzE3
1/BBb28MqeYNAkXgwLw40H0C9N0lrpoPvQP4Z2pQOSNENdk6DfY6OLmJrGwrknNrGRaa9kFiIqVL
OVBsRZ50hP50tJO3QVGCCjZ1vSvezV+nYHgQXXLrJf2093XsgoWIVxXRo2nEBx9cAK0uyHkMZ/Nc
hP2du9T3Wi0vs5WwUAYnzZYhySGFg+YBoSpQYb71qZrzJfWuoI1le8I8sZdVcwfI+RE/9XrUmIeu
TACawkXWdljdtAsUNLEaMdmPFmjLRnIROBSz552+WAB3296CWaga9D6iek4UUjrq3qK1qm4sSTCr
5APkIQ3JYXz1ubcyzdMxhiuBaIo47Z+prqdDHwZYv2PnDgIR6LxpigBpDMcfW6zZB9drvuJn3uEa
H/MmonX2f9g7k+W6kWzL/kr9ANIAh6ObXuA2uLzsG1GcwChKQt/3+Pq3oIjMECmmaKrhq5pkWgaT
AaJzHD9n77WXzGqOZSlCrzcYffWs4cfIwUZmOvN+Mo1jg1kPlwa+OLDbgyssh89iqKJgMLj+jZKb
Xq2PjMYU+zDq1oJpLAp3jEjP0nKdzKRYV6X4KnsSVOaw+trFlB9xgUUpnK2HQNV8gOUPS0Pj3Bis
qyLIqS31IXKZ8LRbM5Xgo5PJPsdM2G/5iNYAPFK2oEl81SSM6QuB0NoILV8k6vdYROq2aSoq7pQz
Khqs4ZGfxNqOink/js1WkcGxi5OTLvSTWk57KdRtW9WfHQPyvRYVZ6FMC29UGxOen15sJkoHdw7M
yQUsx3YrcTYCqYRr6YV9EEV8MuIeZVPDDKKHNuKOdn/uNOWL2i66ZykmCNnZUNzALjiPPGbCqEEZ
R6qxjYILOerzbswXlL0JfocB2C0i0i0IljN9Mp1NnVnPVLfJ1kidAumLgqlntA5TjA14rkXpBXQ1
waY32BHm9JSOKSqESH/OA804lrMTuLYszZOeROWeTO/SjTLddoORZ1SipZHhuLhBo2H7MseTmeUv
EDmlu4gmci1buRc1wu95aTukOemDHRcPC5Mnt5LCYAhJPzWI2NtbxnDWl2nrdfZwha8YnETVtN4y
1N9CLfwm45n6Y8n6g0zMOwwN9iauESpNAu9nbCyXcT5dakF2zSZkrSOyQ4mvjp8oJ5gN96FlfG8E
DeFaVly8cuncVE2fk3DxCdV6wad54fTFiUJEZSIzbcuQwoFWi1hdNztzSo9O0dHCyukkUkzVAiFP
hkZ4sS8X0NVEZ+DcjbM8dhHfneMAxiMTKndTOgx79GH3VZJdzX3qeLpJXyDIyk+2GL/0CmtH3EgL
iHu+TXHiFVV2NJv2vsFhSVSBHLboZH2CmDqUjfPXQsyfFIn/cJCSDKFFeZ4LpTsNcf6cjwRGGmPf
oepRDVx6+vei0Ea3LNIvogkuwgGQQll+hQyMPqu03a6hNikqcd2p6XyRizLbpPQivM7ILVfRjcht
W2S8+AnU7eJ0d6Zl3eLv0s4hDSs4ofPnEmDfZkau5DZT7i9MP4tOurWWnM0ouAnT6dkiJdTHul1e
qEEQbyydroVUuAIFw+nCKT/VTnWf94yu4gYxvElvkBZCyA3UkJ23uu+U0RVWzcNgGBxhqnb0XAyv
C2qxt6EQszdFHmgVi6cmzt4aUkKy2/FGZ6eulWrijlp7qWkozRT7qRYQ0lUU733PFQdsbezCTr8K
MdxhlBX3UY6NNYba2IX9c2AtftCXJ7xwctNMznEtLrO6/hYtaLQXuzMRbwYXOsNl0Y3tpm20c1sE
aEmZG9NzGk4MD/uzeI79NDZSd5CojSiTd0Lrh63U42sMmFfYAj1ppcM2yD5H0zepD3h8b4yyuquH
9KUNC7LFazP0Qid0dgkth01nNOR926ZzK9YRUD9bN+WYthtjKVY3kOLibE94q1emre7MWzOb5dau
0pd0KL/oYX4MBl3sh55Wk9bhzY21ofSckJZ/1sxHixa5Zw/yVDVISstA6/ZakoineCkughB9fYhU
ai1tO76gCkQQcFjsbTUaWOKTMVrbTlEaZtK4XKHs8I3CCqHFM/uNsvOISbglPifZRTmB6TpMIC8M
ajaqSrzsZnVw3AFK16FStOSIXPJbNQsTzoBzG5PwdSydVtktkz1jZ2ROSk9fpe2VRJtUZA/DvDSP
ar3sMb1SEUSnUcDRomCENccWSm0ylJW9qp6AcMe0+FuFIfg4XS1GOyNNs/eYzTwiH6KNuojcDXO7
9aOF3WagPyu81ddLKveWJZKdseT3FfEmZ8qk514613ezxAutqBb+zoh2x+JUBE1kot3hd0u3vcXY
yc7Z4v75FuB/pU3KokX93xviZ9EzPqlD+fzLRgHy8D/9cOdf0qTlzfwYrRIS9X/64UiioGkxBFmF
58jP/7NR0MS/kF3xQ8jC5N3y3//ZKGg/+uEG82dClAWjMvFHO4U3+wRLwyUFGYm5Nn0KOFT8/CdN
kz1Wc0+Qde+zCGyFmMinGbaxIv96QP7rcP6NLt7iX87YB74VMwHOGBXVm+M4g10FccBxlqYjCae/
oVPsz4VNz52xj0bwYR88pM1dPY9oKJMbG+Xj7qeb845+6+2e6O3fsP78p3Olj9yV0cz6u4zyPMQB
xDbHMTbYRq4VtS8+GAByw3+acv19xqaKeQZmK9B//fXRtMR2mmCZepAl2e2SjLulcXiQ/vO0vXNC
7x7CUk2L+T+PmL2OvX46oSbsLdQ2SY/31vADLCkEgN79/hCvx+5/nwU8VQQP3D/deHPfGBAMSsHg
2zd65VrlAxEL87akgfXHh1k9Hapg0sOQx3xzseIG58O8DL2PMH+vasOuGbR9nGofHObXC8b2Gw0H
AkTpqLxBry9Ym0TzNCqcTSZUJh+WOAsz6+VPT4VjoKpYsT7Ym9+eSgajoA4gwvtifmpF5qm6Z1Tm
Byfy66P8+iDrif505+esomxwnN63jPs5mXdGcRaL8VCPH6FZ1/f/n1ntev/XA5HGjOxFYp95sz6I
IkOA24+9r0bzTUQhETMRcVHlWxdIEA8U/d/yMTK9tqa7P1eIIhFPLJu2cq7ygkQihPdPtqy+6y0O
+KSpvjIYDtwuG76oGXVeoNy2o/m9WJT7OijOedTik+yNB6OJkl0gzMnTqgW3FsYPl0jJW4KgrrS2
dzaSSYwHp7dnk2+wdwy1exxsT2lQ+mVUWFBLpptWlaeyLI5FR5Xd22nqodFKPSN39nNqXuV2dzJk
c5bEQbj//TPw7nMGPonmCheOZe/17XH60KE/Eg1+0FJYZuBuPkqmffcBAAHPy8JN4T69PoKuNvXc
2H3v53PowwDfaHq6k+xqDf329+fy6wpgsv9d7b18azjem07SgkO86rKg863ibu5eghYug/4BnPHt
THZ9ynBL2XizVLzJq2j458c5WJggilJ2qBwYW/TVbG2TNn9I8tlFqBYzkup6F3DD7ven9s5X6Yck
GZMFWqhV+PP6uKbJU5tPSufPcUXjmabzgvgkDNMrUUfnUHbQ9E+XsS5Im7CfkN3c5EX25fd/xDvP
CtMzqaMpY4VFV/z6b4iMxBrprPe+o1seHUMvDOs/UpX9eIl/PsRbyNtgm4GmDlzeqWJyKR+Yo53Y
XnywJq036c1SwTkgWjbXZ/4XeXTJDEWZGqLvDK5lUd1P3eJN1p3eNi6YePf3V+29gzHGX/lp6zP5
9s458YgXeYo6H4bIrtTFqYbf2Wb9lfYNnNXvj/XOG6ADwEYWRr/XpuR6fYcMNTbEnMadr+EwZrfs
gq29MSbrgxdtvdFvrx9rBQo3EEWsuW+W2jpo0mBIuH5D8LzkjldHoa8G35HZbypM5wX8QRX3x+/P
7Z11RBesuSg1+Fpp+punb876Wdc06jJjsF0VaVI6r47060b/9PsDvXd20AwN0zBVeinqm1dcl9Og
Rhk3LB/T+6GNnwEK25umah23KLKLyij9yo5CTzGTj4ia790/Ya4vGA8Mur4351g6XQAu02ITlcXP
ghZVlaUPMO+KD56T955JLuLKbqTURUL4+jnJqqxWjWzuyJbNDnMK3KZv4ntFm2kSjum+Rq/8wRHf
O7N1E4CQBS2b/vbuGZOjzn2COswBrJtY1qHP0bVU6f/NOqlTYPKk2FSBkBlerc9RZCXxEOadPzDT
DJhmxkxgGZSbpXA7A9SY8VIxTegnul+m46rYo37/9LwBSP61hP38F7z5CrG/DXHRJZ1fxHSBavXE
FteLFum2S7eNDJ0AkWVDFXCZTx+ta+9dZKY8DqBG1jWK+dcnzwerAgzctX4OGK7SY8IX6UP8LRj7
rzuk915EZLggK4gW0PE9vD7KDC0XsAC3Eokt3LNdk5rbpvsyh8oHy7S2/r1v1xkmVqtxZ11lfvz8
p9pxnGeBypu3rGitM6fNta1RpXtlEPkm6OMDSJc7URa+Uum7ojS/oXo4hLMgnnf66K6a73z3Jeu3
TQmDHsx6+/w6SqH1lmxbH6CAp4R0SxRtF0P32pii/+qkLfbFrs63tdkySJGBG+mHQh2STR012JEh
ytiL9m1Uq2kX6vREIrQpM3QLbDMzMuXyghRXH3hVjWKhHzejMd6UWv44juVVY4S35EeEzGhJt66c
a64/nDmbXpAwGJSP+XZsQZKb47wtQrtwu0m/UEZ0kWY3gtCa1Jxh2EjsSvqZhedSBIgEgCHMwDSK
FzXMHpk9nMWd9slundMi0nB9PXylNZ8lHpG+ZPQsrbZ10YmpmxbWGy7i+JuuRAJInmEzLyhihr/2
vUOBshnzrnVnK3n5/Xv1/g3A1kQviznhW7kzBmlsOr3sUU8RP1oV0Rc0x2hpHMB/Dd8qLwvw8xBE
7v/5caVFhUwJi4ns7ebYCGVW9m3V+pY5PNRZfgnkbV+biyuU5TosmeHIdvpgL/POGyYRvTMShRDN
mPXNIpZ3NUC0IWt9JRvwQ3U9cqts1DZjt1Db5sUHh3vv0v58uDcrVqp0U242LBuFGV4WPcaEbmV9
5sF0XvRMfIwGVKqThR+1Wt49TSS2Bt0mXf3lQxvZBFuLtml8RytML8pzdGgSsList2Y1fkD5fvdg
8IjZsnMTkUG8XrWMQrQ2Q48G8/QhnKbLIrmWkXU5TYffPy/vFMm0ByxkowR401F5c++GTk0QXXGc
kViJ0dG/Kply//tDvLPMQ4GQcs2gV6mJ3izzumqbuR1yiKgSW4tv+cYOMV8vDHp/f6B3KiGG8msh
xH8gIHhzzcZ2GpMqdRrfKNTzstRYm6KM/ODm68qZnrGuuNATsVlkw/b3R37vK/rzod/aS7pwTECb
SC6jdYuTvioToJvQgjJr11ufDH1ypwTcie7+/rjv3D1DE0T2YYFgG/k2rszJozGO+rLxgyXfZvm3
bvzomr5zBLpHgDegfJhAqd48H1nJNk6PVFKngA16SCaTrT5+tKt/52HnMWejSPwPBtC3+4DRUYdK
kXkDvtJHtbdbqm+yh9xXfvAkvn8ce/UOrL7bt1/FMTfpsSx27U8L0J7yxizgzFloFz7aRL3zyMM9
gRfNrltbd1Ov317MRiUN4L72E+0hLI4IJMBZfBRo9KO1+6beoObWTCpv9NasFW+OkpdITbKl9uva
vBkqYFlpdSi1CEFfZSGly88T9IKMRZIaVPMK9S2/leuHFBHfNwN3hjeL9JAVjav34/Mspy9xlz8v
SXkGFP58ytTHPMU9HogL8jc+Aorj8X1VLtlAO2hKWDBlBOWZMOR6EX8ul3orSJMlrH3DaTAeDmoz
o2tgatgn+stiQfpoIvEY6Rmab+j5wYziABvV4GYRkzaoT7vWcdAuy+tab8MbgOPVZmYg01QhwymR
HexwbN2ys241nIiiivw0y+WmFBKPDwQlSUZGbOk3g1qP3mSOXlXUcj931S2zg23IXBv4bzofbDP5
VIl5V2al6Ub5eN82depRiDxXAbVPAEd7B6UFdnRmfhaz/mUKrfrAcojMnKERGz872dAooNZQqeN5
D64ZTFje4CSHJFhNglWEcs0CPzNJx+vj4Msy5thzY/W2l9ABu/TMnorHvtR2zhh8tuflpAqKSs2C
3VzFzZ1kRLqd2vqYKtl+KeRnXRkPUYfiW3btedtVp3FR9mCPPaSDDFPr4bJzOg5lxAgz1Hu8suAX
8SVuEwUJ0EzDCBGHdl+pDRjLxlMaVAt1iPgOwU60q1PD8nLy6EhG4C4l2TAeNA1ZnUiHZz0cz3I7
u7CTxDdUVJ2ZzbByOU/K8BBk2Q5K6R6dQe+iho0OzhJGpzJXPmlqtq17DXJUP+8qc7zDLrWNTER4
Zl082nNV7iS8OgSoeYfkQd1rjTNxJt3DYFXaFtZ5eZCGNV8HafAlnMBdCzlurWn6qpArf2sUi7Y3
dYpMsnEupwB4eVinvqbw/W67eNOp5lPTdrsOmaFHsuUl9P5mY2f2uYlR9kD6Q0HN3syMthlNTkpy
SdP0W9UlrVvbgY762TlKdSVvadpmaOw1tu9pNW3GPWqbKj6k4aR5c66cJ9MkPYwGT4aTXUpbfaSK
LTdsboULi/WxHYsnPRNnOXg9DZMuKK9V/lCb95YefF7S4UGxwH1j130QC9IfUfafUn08BhNYB3tZ
Lgwlu6oa3HC1+hlO5bgpB+1CLJZbiBR89qhcyqzfDlbpYckoN4attBe1mkDbi9CK5UIgbVq5InIc
bye4lm5M5V6XYrc48sq0cEwH/fx1iNR9OtKNijq4E03JPqPeS6O+UoqebSR0EMbv7Vc7i/TPVoE9
dYcCrruP2HRc6IpArxObcIJio3DNAnBuO8gXJ1C+mIpIPDmj9Z+wQ5wZhvLFlooXK+knWeg3jtLp
OyddNUYy6A6hUQ8bE0FBXNWgtPmthCDSLeCRaBsmSnRajMoAYrckSLGKW2MMdly0iyXvKIMDFo8o
L4sdoRCOW2XhV60Zg20hosYFVWeAw1GOYYbcRu3nlolWU7o1d6iOW1/rNAj/gzA3Wtp+7yE8bOza
wUHdDAkDYUfddHN8pDmdbtLacifUSe6caZ/mHHrTIJYvRoVjfukS000iG6mCGrEw8AC5vFWfA9nH
d3o2HXB7JXslVrZlbxVuDX9vr07FeB9N5AEF6ZqmM+3tmbGADOSuiuTNKNSXWeQXPUjf7+rQXnZW
vOWZhGAMNnzXO+m1bKJPTSd5Y3X+KD3BghwCZGvQr7gp3N19a4zNBo/fRV6uy5VhMECsrnCsFKvu
3SbLwJw3dWUj76rQTid5epMrE0T7Gn9wi5rES2K0HfEAD6DOo8FtwgH9y4iSF8RrxiB++eos6dcJ
cP0ZYvb1N7XHsekuQxq5W30ub6MOt8nQlgfQkFdtK04ORptdmaZ3cqFblxU2j75FDM6qf3ODRfls
6mHjTWVL3lDbRVuzFeNVmSWAEEbEUH0gLzUlPTmJJKaqbE03L+VVAilzR5xCA7KgPI9ETAtmNjRP
YKbYIGcvcBhaeJPKa8VJLsiSP1ptcz3gwYkCpjDtkO0WiWHc0OUVEglc9Hr7mNWK9PHto5Dp82Ma
Nqjm6uSunZOXOW6P0wypO3PMT1qQs0+C4JL5uTLbUFkR4uvSeqz76jiZOeOTqt8Lta/dyLLOmiUQ
B3WIqYrIh3KzivM2nOkiMYddlgbIqEAguk2nsGLgbIha9PBjZeNpJZ4XrpXkzwBjBDaIr948qmdz
jB7GCfr6Usap7lVOLb0E1lC8CY3MA2fxVQvrT51pEmTQ8L2YJkjHBtapMgxv7D7JN0RCflUDE9EO
uvS2AhJBk6d2Gd+xno7KdolpYPWIZtJc0qyr040WVeNutMLvWqdeCT3gUTMLNwvrGzbC/KlmDpKK
XcLGYXu/EcgvJiOdXDEYz1ocNnB8CegJGgMCmjmypo83WgaTqGeFJ3hkaTZJmjxklpw3cWhcre7O
/VSE1babcZzkIYAxxEmNpcO0SPOzkpmabI3Zo7naeFE7sDvpseDL4QEZX8zfNT4QAveYkMCzifrs
UakIlyekyOtinRd+rsANpTh4mJVxUU4FA7c9dDDLowkNmT8LlQ3Q4qelCw6ZKNtNwBPIAoUAaygv
+HUyBUbAZrWzb0lRULvsOs30U1waEarB/msheUkBjrihmlKjzhhNko6lP61e8CTs5jqgt5w8qYpz
W5bZxSiWrbUshwyCUS2zC6KUrpK2I/oNv2+daGdDm4DwkunnOjHPiw4lS9mqBjyCaf7aOMlNw9cx
1ScUQyAPtoWERmp0KqtTOOoQoQt+5WGZzc6V0UpBCuLD3ErEpVrrBlag7aI6m+gEqRdCXV1/xZjv
Q9WuLx1258dO7xWyY3Vtm8fGuJ/y/oTxdpe31SMiWodmjfE4BNVN4MzfkmW4jADC8aepdzRxro26
J/19qWcYalRJlUgMV9JP3ZZGAYS6UqBUDeH3EeFnWDARmdRI7JICj7858H+wpvxGGKTXt3F1Knrj
rLVLON61fKnTOfXyvjkNZu244zyGT2tNFeQFwuUEylYbqOiwFOe81dkyjCVa5tFpvhmDscsmqu2+
09BJDmh952ECqUplwFugwbCwDLa4jeLREky8Wjgh/yi5zlT9BNorISwlhT2yQI8HBDUf6mIJ3LbX
XgAE+rD77s2cB6YVUe93mfLUpfBrAyX8DqDlVCGvbLNycMdWM/leBTdKI3O/C7A166yppymuL9Oy
rl223fOBQee9sElzGPkuBJBlkVeXrBdF8rktlx6ovsGOYIEdYdXKfaQ69Vk0KM1O5kzy1UwJToU1
odKrzdusn65EHp7VELY2RpLf5rl6po1hui2wF244+cprCAA6H+cIyyJsXquknxtm67s72sUuyJLo
3m6Bs2JyoVBSNTr4vX5jBfHneimc/biMGW/F/ILLEh3sYuKyWMSmiDVIAcWXRVXPqqWV+1ElAYZV
/U4rkJAmRf6VG/isdnNyrky26fJbBJOnIE9p0VxK+K5+5EDnCpA/RpXW3iWdGZxkmA9eChPorDXx
oeBd6vYGAneUrwrJBEFylrAaAIE1cJXW3Vlm8XBFC2g4zeirDdG+N0nJlzsO56epiDIvU9qDEuj1
nknefTWKjA8RBeEyhldFCsysUdRtECsXVuycA+eDBTnrT7hm4NiMpzki2MeeDAA5lnKn6+0J2Phd
2JnqDhStulnK5mlZLTh24QzbcOkWtxMoG1WpmBudD1umZze12l/11BSeRrFKlACOm0aclA7p5FL0
N8RCOCfw/AQHGoFxhl+X0ygjGAcBlDyD5WOJNImHp96LlYwEdfmRLjDwTE0r472eOOdVPxSunMzL
Qq+uKkcFjqK85EVwnUym7QF0/E6qkYPGpP3WLuXRqvmD6YXjh1oRkrnqTzU0v85EKBzRNjxL0cWf
qYZyOQfVWecgSqizjO1Q/ti3pnoaley5mam0eBRfLIJd945T8KmNQzZOM2kdeRIBitHLZ6uqb8Fq
Vlt7DC7njg+nFiOJsiV+2SLHxGPrWA80kAxLfYHY9KzOyEIabZynZma+VHbHghw2wW4U02e17M4z
nR1CoF/r4Jw3mRWInSFIrQhFHe5iooPOSHoo/DmL1MuiRVK96fpYHKso0t1hqRcfN+l5Gy5Hofe2
//vGz3t7Z1Ls4K6uTnC+J6/3znVeMHiPkPXwvGyV8SGVJzSOviOiP+oP/rVJZ8FC2L72d1X1TY+B
HbFOARUOyFtxLvSlF03zBwyB985FWhZgV4Yza6z763MZ9Dpk51Cuh3D2uczO9TT1x6L3sIM+/P6y
ve5m/XU2EsWgTU/Gwib/ZhbUAB6Ps95ELId8bGR11qPy+sch/si09b9MsWlhVsBX9dOl/pUzvBKG
f7F2/ecX/+3sAhdsSwEpwHGQhqyYgn+49owAaZlBCwahb/OTf7h3mK148CQfqlWOxz3729mlqRCL
1+4aM5YfzPs/Qgzj3XrVkFrJd2x5dJ1/IVN7Fc7e6wexE7VM25Sqi72qP1bZsxZ1z/GcVjcZ6m0v
R6e/GfCd3qS9CO8lSWqQZiamswtLerwMxS6qGs3PlPSzUyt0JQqdoaaTW221kX2YPnTOwDI9VHKB
KV7rKCTzsb3JkNG7TPNar0fkvKlUAe+rb4q7QM+xuVv6ssHLiMmBMLbLHCmAh8mxdGkMRhdNwGIM
Ev66H6FoGkWdHiZdz08mpMdu3XbRQmNJHwLCJBo/71tSoyxMUGxTAdUzjxqNzG+JP97EJUCUNjcf
mog8lkn17RyPfNHrflWHvZeGyb5XynJfKdHNIthuy+ROkYkfCmrICf3+xky6PWjNA+zUjZ7BU+H0
sTtDBq3liqart1jPX6IgxW0xaSaghB4Cjqld4i1Q2CgEZ3ZS6fRTxHNH+lkCwmGxet3LrPlRihjC
rKMeEy2MvTnOKO8kTUALKwZJUUcSYoAeK+MTfm8/DxjJlENJIJqpEFpnj65tLSaa/fECS9+jNBqO
LtSnaFLHfaekBi4VYvCiyIHJq18XsWLjj9DcWQ791hnJBjIitndznlaunZdEReHZoPxIm63EAlIT
77ZM+GlD4o3aAqQFDeVaIc7KxPXHh4BG6LIp7Hq1vfUqykW4AeUGYaYlt4ohs/ukmnVc5+2sX7fh
NJ5I03WiW2PgAdh0tdMkN0tgsF+bcraudjiFu4wW22DE5o3RlCt6LGYvYvPpFCM5XoHYW4tT7LUS
BAGRwvo1BjyS4LQmfhhCCHNdqEEpU3LDHwa7/6wVU7/PFEHQGOI6LD+gSZMQOb3Xzk05uuMSzp5V
NqGvoGe8CAvi7shgDmBceskiBsyMBn6FyhLKySoM7RqaUsIWOixzPCLZ1bLkAw13KmTYbmV5gHOl
Ndt+5n8blaX6SRhWn0eryB7JujhfyFY74vwZSwxj+ggwvoXPphplc66UUXhIo2x6SrJqbQGYYpuM
WuL9P7+G/3DZSsm39z866F8W8Yc1nORUvmPP/fGL/yziqGIQzqMqsP6iwf+ziKPiQm6sS8bPiBp/
XsSJDtaoH5AHv17EHSy9yPNY4OFGMy//E809n4pfl3DUhoxoNaTwGvLM10t4WedxNyS5Cog6HtiL
NEyB1bxkS4f+5LJLw2pHqBc5YE51xdhJv011Mu/SqNa3y0A/LHbC/dA5rHAEcMiGoO0MNIp0SLyZ
uytlIEBrFI0vpTLtocOPXM1Wu7DYaPiIoQgSnhwcs11JxoY5WLQ/Bu16UlrhpzYh6bkxqOcLEOyj
7NLPRjfPHpMX2opW+eA0jms08pjnUGCIcwMimDoH07aSg9mzimUDAY9xvZAU1Y53eA+3imJgbh2c
7bQ0X+HT+H3YXdj4NF1MTMYFTXJ27ZEYAxgrvQkDpQtAELNLG9R+MzuWcmkpAwvlQpdZw6bk5WVo
HZqR1mYlR+gEmkKIVPjUSsX6HhpTeG2FQKc2YTD1nmhws+pWfC002yFtDbLzOMhsIyI+Aiy7fDmg
1qQ/FhFlXU8GmJkuzUsNM2zd4+Hq+88kc0p/KvLqy7iuSvzZ5bEgUkbgmWXfkh+0Vr1Iq07fFhH2
MyAkE74yPdt3zPeOPX23YxYkx8Wa+BMIwmL7q2OZbayLOCBxJlhbllEoct+x+6e+LADIrfvgGGI5
1h0/lZiR6KvVRy2CSq3kEyQRFRnulA3kVFjhkBzCii5dQqv3RNrKrkiD5dJakUK5GjTWdrYIJTXA
tmJREvo2ojF50jtTnA1jO35pGGRF8PyK8ljT/9sl1SpZx6t43s9LcS76SD4EfYi+O8sCqA02Vi8P
dgxMmaCbt/9/TfsRuGRQK/73Ne22LP7P6flXG9H6W/9e0Ix/IQ2jumQYiQRizbD494Km/4uSEAWV
hpYKASIl8N9VqRAwClTqTsE6h3xO41/3b96ACtxZ2mJ1JP3xgqb+KDr/GfKyZbHQPYJ2QyinoqFg
gXw1Ja3UtKYK0BzCxPqRT25velNufUpVQLNVQfJtC+xnA0jpKg/mOzVaBJNt63sLmIcuIlJMS6OI
qC3tIdFihggKxrcsn3a9Mn8C5Hpqg5o2Av7eWLRXGXJKVyls44A7MNh3Tp3sOxws15NWim06RVfm
XJ3JCQSro3dEJyjAkBA2mVtHmUYa0jMKxkC+zFOlA3HO4QS1BUj5Nm7dhkzXAPI4MZbTfTuhzCgM
YIex0D8ZFIhrs48GLKng2y5ynpHQ0Rpq062TTp8QXgqXrTkhCzZEYFHpKp1x+7Yr4xEpKMPEQHUe
RYccrCSEhyres2cDX4NBBq5GQyQ173MSQZjCirtsFtOVY4/fxoRR1dIKZQMuqvXSUXvqKltA6mJa
Y6bVpaED72kpiwMd0oE1GYckjk59ShWYAxVxdQUHddwpZxp97GNZVF8ThubHidRHn0PHm4FoNk9k
1nSlMufcEt4WeiK0xsdFCyP6nmB3+jSMdvHcGO5CS8qtFtIfqWxSPLLNLREbik/xc1XUZbOjjKcJ
JLUvYxTNHoZf08vYx2xylVDE1Aizi9qRR4hFrUfq1hfNGb8lZX5ZSG4i2hQ06pjQbYLNtvGkf4Fg
0myyiTTQSS3X0hkWil2Ig2MvxQaO4OwClQZsDcz4BhHhJ1C8ZzHDeIYHfBecwpzdIafh64yprxvN
CwGT0YnAi3ED5RduEN9hKJOazh6nKe7j3Gz3ra0mx8EBJlAr9iNpgpTU8xoQWkIsaut08ATj861m
LrWXxfplT2iGoxEj2o3FdWstGnOBeaEpbTw0KhMyPTg3i0Qca535nDHR09Uc/Jh0j2WEMTmSU7FN
h8QluuKeLwbjfF22LhFfQxj5bVUy/lXwRMkb7PMkVze4xYEsLNsYf9lRbQzCAWobVBAtoI5ZkivG
qdt0/8PemS05bpzd9lX8AlBgHm5JgmORNQ9dN4iq7qrEPCYSw9P/C5L1u7tlWaFz7s6x7dCNXE12
Ecz8hr3XLrWvfvUe6eUtw+dPTWrxtqDhPfkDYBy9SsVW5G6xKausIOqFXStjaUDqUmfV7FYxRCy1
tX1+hXD/ibBhI2ECMz24Wa5t9Mo1Du7cPnWlxvd8Vp+9bqqbwnjSnGJYM9S45ZIg1bsG6+CnlghH
o4cfVsXodkXPCtmtLxj9yGFxBEIBce8Xcb02oWWhR2qvLF2DHDR2x9L2nvRYPUFAiEOWSfm+6FgT
pEMuiIZUZ9eJHkSHx8aXtJ/ke7xHU4AeNIvW0HolOdXia6LgOMErvQ0yNsxlYe89nIZola64i/3Q
g8awEYCXV3K20EPIsj4ZmXf08CKFPviktTE6/h7BGPL7MQkrfmjD2IAxmpuHiinaSga6DDuaakbj
oLTHrtZX5Jh9NNjYiVv0xrUPeBteAIxVM0UNPmp0CkM5phC/8ydnbmdISuN1w/ornHVorCrt9uCb
9U2W6NC7MyhknZDJMRsEqG4SNu6GwRwObdnlp8Dj+fH4Sqjedh5Mu2H+6ywmeOer57GLEPP4nMBO
2EwkYB352i3yDHfxiI/TpnSSF9lRVXjlQK4LYgJTuFetRV5jLluEKhGj50hAB+50MF0ze3/qFVGS
um0/QOajWpNGzg9I9mdqkKHXVdCnNKzHQestVVt7KiLmtVZPknAReSVAAY1GdVigRpF3dtIRWHlJ
jIYuyyjUe+ezSsmK02RO+m1zZAfyBSTWCysz+DQlWx2d8m0KpuO00JQMi9WulVpfXKx921wST41N
knJI2wwUrutq2QQnTWmFjdF8g4ne4NVmwRxnjzIdXy1/vqBXJBPZRAY3iuYJJDhamal3gHyUW1XA
WwMBw3t1yBzv9PzQzIQ7zVnxFnXNgazRL2pIzU3daEFYj4C/WcW8oO7b+qOdh4IEvv0IdGaFc5z5
bcR2rJ6YRffZZXDJeO3kfd3oLyrV7RX6+r2wwfR6aDfkVCEB1mD/2t78ypIn2jYjhoksstIHsgXl
Kc08sWqn3twEhABhXlKAPXyOodhkt8cxr1+nU9AcJ/hh6BhsazEJFBvCY1ghRfzWtbnyQtNVZHVr
4xHdvNgnY+sgGEheVT5gJfPLPZ8iq+hEyzfKgwCuiN0NU6yHpA5OSxg5H7SQHGkaIQP7OO8uae3c
OQWsuqhjMKOy7mgzIMAa6HLHV0uiCBniaxSYLUdLn/GFKM5+hWOPr1O0kUUKeGQm+7dQZFZlpl3v
vZa/VG1HT/YoGIg4/GULj5tQEj518tourMAWF9TGV3njXqWwAh5ZWPmMOcR4SAvWlWP+5MWCuddQ
DQejkVeiEPkxssscYQRrTDkEM6kqOuHHDVa6JvJt0O/NW2oTuehoTh0Kog83s2iNdVtDNwmIb7KK
vTkm11QUEzIa9Bzs7sDPRe514g0PVl0Tst0VA6pvCGxjYZ3Vwlmu5XBmSVyufTP7ApQkIKi3OrlF
94CAZF8YWCxUudcMeewapnJTOgDkzYY5FD776jnmi0lIZB/qEwlBfYsuneGDoO2C75UF8ZOujUst
pWdQCm30JKTUk7tYE4HVurDEVFmzE4jKQ9dmJzbaHe0QgsmGA5kJDmufto7OepLwxbPTPtQs45Nn
dlqTfVis/Li8zFXUrUHuKTBz0JMd8dAIi+PDmj/Q41ho3do3CVim1/1PmCN2aLb3SQFnf2qq+OjV
RNaMQRpmsvlAdCaYwEUXbi9ChyQsvz5htTmPrNvqIPhI+gGuRGOSCFCMu3yYgosl/a0j8/7WyPP9
mALddqtyXZMev9bhdocZCxr6FZLj6/KbjJ1vIvHasPL1b+DhndAZqESdJaBILWKYxKjTbe81+tqe
+UjtqCWRXBnPbop2ocqjYyyS7Mms3AI0SQAslmCOVdsnfNEK6j6wwS2IxwAj6jR/yybHurIyap4u
Vukx4PHfVoZ2P0ysX1a1y2yKjv8rZ//Wn/qz3nePmaXDdATusWLyhEyNxyVkq5DRlCcveBOsMEgd
uULgcrLJ1eHn0bbZRfWAoA/FWaW9D6V5Pxfmtezci6JMWpFSdMXvjgSkHmvtgmRpzG3kyxspi1ev
yTdRMOy1kiaUH3miDoC+NYlbZUXrvjP3VjDfRZo8eQB61opP46gGKCYI9lAtWE21dnzYl1Ni7qVZ
ziuzn1HEGIzPpi7eaGl+Qn13LgaWTpUKLl3jNeymkzu+CKyxBjgXdfmpD+n84M6gOVRgnb2y67eJ
Gt/UHPhkcDe7pprv0K+99yiJ1mmg7xx9sq9BPW2Zv6errANnJ0tkZN2TN48PNi3/ioDQFfO2g2Le
gazNReXXOjpM3mLkkCJ1bw6KRzsVJCLlkCr1We1dq3FCixdcaaru0B+4NltYNt2twA+MJO0+T5Iv
MUDH0IGBiTzIeC7A/kx69xqo4MqrxrvUy70D/J4XGEIvnXLu6y7bB6gh1nHExS0QrHHMJukuttWj
dIuR0k++suY9A14J67oz17k2hhOJG+R/B6xGpzXQs7AQTOnzdL4IMZ6N1N3HnrjEHFeV37RrAl+v
7arBKxFFHFbRJ+fQje2+OmQq2ZF5jVpzlzA19x3/oZ+hHY030Sj2Rjtwqqljq+pPO2JQDGZk5Rpf
86g/paKrroCg6rtGRMBfL35L4alKME0AaZbZsU86qim1TedUlzLTdCrhMt3MUmPKoT23LYGlztzf
wl3+Egx9SHzN+yzHw0CYLUOto5Yk+6LFY0iQ1xDqeamRGtJ9E8NRtURcGeZ26u/RzK8Gy9iWzIJm
pz2bJlqBGZiVzLDdLAy4wDvYrfFpVybPiW0+DRLhIrmIySpV4sNTbIAdjZQ00bv4cFC+SBg0Wcxl
CxcOovzWqrSwdJpjjM6DobGzctHx1PqMZAT85ZgK6GN+iEruNoqqreNPh6wLiDA1aQ5KVi4i+eLL
4qroOQb7Ah2uGvs125UKFQBqMk6rgFVu7XPKVoQfUmwVicvwXoTMTvoFd8X0rrVvRZLSgrKBzanY
OX1CaEU36Jcp8az3YgB+ZZmTGyauh8nOBeRkKrUhX/GjybQHOcBt1jMPWnxahTDa8buji+QAITwg
6T5K3SUDyDimWYSyNQY8mg/UFIDoznMLOZTcxxORJEseOL8m5EfYSXAgDFp07qX52ArUPGgIvnkS
Zk8xpekpzwhC9wOUcyJzKp5PEhCqprzGz1Zj/NAmvvzWoYowZ4B+rdlYbKw5fctG+Lec/nekNTTb
vvd7ThnGUsHs3mSudNYe2sKVTgHEF2twMEwWzUPeZRNwq+boZcFn32HIEIt6g/0QOyXcszvPFv7G
lMhsXW8wdk1mPxtNwAPk4Vcys2yLDpH8RTP7Vg/tWc65vgXDdcPq6qEsVXdrQFSDmFM5a7OKH0Vj
XKrpGwJfNm47M5ufXBm8l7nDKK64ylnAD1UPGLlwNhr61iiF5abyaUcqMq1O6Tx1SbVBN31ltwgj
VE3oitlpX3uflFsjIg0yVjMPeNrdNQEXbDN7V4nr9muoR+QPGfp2rMajYyp7ZWbkN0pRnVtB4nnD
LMLijx5oKOPev0088eRM9sqaGDBEWkygUEkiUVJn+d7u500+tuzZWMD1wdd4jC6lVpJRWINoKAVm
Iy8sG3XPCOAsRnhJfUWX0x4VGuowqt1bpFgrhqMYNd755hv0gAF7dIXm1j3TW42kHtkrJ0KV5/aj
vo7bjGOLUrnPOevi6gOkFRV306/NzN01Y3uvNOuj5TjG6nJJC/nZz/ExRUC/b0hrWrmWfz8VxofU
k3WUGOFgxGwq64oYexZoKGEhNidcOfW0H7qGoSPG4qM+5o+MR/SNsBExUb5uc5DrlqMEocgob3qq
a2Trj3lGbaSPyNmt0toERo/wXXTjxiR6yCnchO8a0VNBkuv7Xz/EmHViPaRPxjDzmScPRjN29wbu
DA6VGeJeJcu1FYtmbwQT0wJfB2s3yFMp1VOsCDV1x9bYOxqy+zaK7nwv8TkcF8z1dEidgVAgZLoE
wIJxL0pv27X9JkFrGEJrFTffDQ0Rgk6COeF3oeeM876zdv42hcN4b7JdXRwLoPJ/mMLZpQsJV2e0
79AbBGwwHev5v/PZ3+azrIH+fD77EL8l/7iIfvr4If7gt3WVw4/+PqQl+4AAE0QigH8My2R3//uQ
luwDluA2XxyWT6aBfOS7IS3jUzzjOP8BBjlMdn8f0hq/MFgg9AD5MoEl/t9CPTGG/eHx+DX6AN+j
8+uomFppCQv83sqCaL4kQL0rjr6qwgAMm7fw2CInncNxYbQ1wZSue4J2Ni4AN1HE3UqBdCuWXmZG
O3XfLftTLKz8w4cBp5ea2PhB14UtgDgXUJxf3tvOEIrxI5phsDYqzGEGjcq4AUF5axnQ5qbASLYD
ADq/CFiNg6RrFzYdsVVX3UKr8xZuXZdZZ4hwHUYK+8u8oO0kIjux0O4ysHcC/F0zBsdx4eGZWXMV
AMjrAeUlODvzyZLgUOzHmNJlNXTODT2CswU3gD42JSOwBr03DNprnQ2HauqvSQ9MOWs5CNV05y/U
PoxZO2YVBICZzKb0nFZrYfwBneMSiG0S1wAAmoAA4zK9sTvrwCtlWz2+hr7f9ECx04UfWNQocluQ
ggDnnrWFMegutEGFJtpY+IMU1JdqIRL2yNiPmHtl2IIrJOaNmFG4mUk2RGsxC4qisX6LmDGsotY2
zshT7klMeGCVTsPWgUXE8hqv6wlNqB9FchOhX2dgs4AUISp2C1px9lV3VxbcJXaefzropIFgtmyE
kvIRJmm2r3T9Y3SG/TSS4EttUQBAzw5anJVrpwfuWpANulG9i8enDw5p1oNo7/rTbMsL7oqcuTNg
WIQjxVYm4xDWRfGY+H63Ib6o39n+GI5m8loQCb3WvIzxZiSe4zEm+w4RntXSBxVWe4vJoEEMC2/f
S65jV3/TYtSdYnGAJIP97POi/H/Jfi030vBL0twQlA7Kh/pZb+vBBM0R9BdHGFeeRjPzq+C+fqiF
d4ThWayRczxnPdMljmYQ4WgQHdldWxZLL7NJv2Y+uXpNBsig66mSRDwhdQdLvvbn6NlTMTAiOJaJ
Nd34jXEa9JaGmtwNxhMKDUPX7/sllKNd4jkMZ9yaU3yyye3IlwAPshMe3JSeIO54WkvRhYq0j8TS
3FBEsGUt8hyrrvlSL9Eg8RISgoGGwIa82emapu8Jt/jimjBxATmyjk0Ta3FV0BK6RI/MCuHPyrCR
MNQWakgjVXyE40exhJa4masdkjLLKBoM8xZI7bgGjZvuaqez1u0SfYJHQ2feV6vVDB1cLZhwuQDD
GZ/bmzhlwoxWbes4tUTFnL4MsXbpUoYytlk/5x5p5Qkocs/pSuw4OVGylSw280IsdxZ2uV9ELuh6
WrKiMPpNTLhJPcc0hm19iSa/XfUkS8kY1YkVjGdzAaJHCxpdBRP8WXC7Hbm2pDDDTe8KEyXy2K15
/w35uvpxqLob8gDFGnHO3tDl3TjQI3cLhl2rtY9+AbPPZDjuRqmdsxFoez0VR+Ygl6Jk4RRL296M
CdGFwgH2PrIAXWmsP1o48E0co+R1r/QFEG/kiaB3MY49okY0TopJaTI8GmVh4puheU+8a0SlqDUT
wn9NYqOdRQM72tM2alHpJ1zMa6UCL4QuzACzqMutV6e0HVF8mjPzy1ATx8iJ4a47vFRYBHAHpr18
dzR1LBNs6qJHOtWnNg971NQrVcADrUj/q3T/Me6h93aJdKgEhcV3teMD8HpoLj5NY90M5q7WYSD7
4g7l+3vlJzrK+WU0CqPWnlLAIT3dcNEIQsBBcyYD9Oy0t+zVkMKT7XPziqEKemEbNq7sQYKn6Zdm
rDsENjHtg6GRmjPPtD7ky68MN3rxZHYxezltKE/ns2sqFw9MPXO7YF7Cz4Q1KpjuoobZqQGCYGUV
83QH+NpfxTB9QyvBX4fN19j7SO1flWY8+rPT7CTJY1urzN+C5dG2sv4jr/DqxCA5qsbCCuQ2OxXo
UL95SyeUmvO+9euWjlLbJ378Opr6eLI0daWkGpHpg+PMVSv3k2l0m6gnqr5KHdI9q9QI+6bttjGe
hRUYrnETjWUQai1xpk7FomTyT76PI8AINHOtl0zeyLJAt8fIIuI66ebUgQIrbxRP8sB3K0ypIrnl
D6pob8u4iMJ0TJ7TgMuOQlJu50bet41+R+vJCCJN7mn0AP9kw03p8tsyY/82sDk20mVJOGrXes6C
yp+1cKzMk9nCx6jj5CqDY7CFF/NI1Lv2f8D5/39MMvpb/RZQJ/156bd++8f5x6zkf/3U71UftZ0R
QIdZaqrfgP+/V332LwALLLSiwAYXsdH/Vn3BL2gGAav9HpH1z4rP509aKj7bBMoJSYggrL+RA8An
+1PJRy+AhBVPPJpR1Es/gxPIAWijEe36njMDvaNQjLwV+VsrC8Y7DHAOMjpHLVpTzpIXqIQeOmzA
LUY90H4zPGTgh1Zx1uonvEX9FSJMsZ/ckpAU390q0xy2Xu8LUPdL8FQnaOlVNF1mRY049SSCeClD
Vdbk1hbm3mvZlW8Ry7zVmFh7Ul/bdy41IjIsxoArr1cdE80m2g1RaT80hWVt0tZGwZclYYoPeeNw
6b+NNNr2Yjp5YEO2GgfyuAYb1D343mtqKG+vM2Z+ZLM2rnWzB/5rz59D5nRbttaIH8fFZhn1/i7H
SDcWtrGtVOFvdbt9DWLLCQndQMsnc3Mli8bYtJJZjNNYn7kwTO4eFmlNot6EJOZ9xq1Lvohce32h
sedoT33XUD0YqgPHGD0YeWacs3zCdzqDdgAkj9+qEq/5GDPgIqEEFxq1ZZCm+7bNtK1dZTXA/yg+
yzzrtr4zG5t8BgnkxXeRsN69Np7XSsgzsUbtDU6jK5ryONHPWKXpbNtrR8WvzVWEFJJUgq7IuNDb
Cq775JBrUJAfmai2e2pMNL2zMzRb2XT5Ifeb+sbV/eht0D3Fnx+lFwcTDtaBcB5iEEtO9CqczKLS
5jQORW1VF89Oj7lUz9nQbBpojSG7HNP94kdVe68XTNkLhKTyXiF+OmXm8EwuZn3pWuHvkVb2XLy6
g+jI66yx3OmqYskUO0NwmkhsXMfpYDNEcVMbsZdTPJSedupslqpL5BLL0N3cq+wKY8o2baONEiq5
rsdpQJhlM9SbggrBcDMdlT+Eju5ge+5JTLhBtaW+Qa2OunA2ymQjeUK7RtQg18EMmUaGJ10PxhsM
Q0OzsqlbX43KZgZnCKR0WCmNVQ+IERUERux4iHy0KOBRX6SVu1uLR+s+tU0Rlr5mvvKIMqy04+qY
V7nawX7X17NhbXGc1/DeSQQG025cGFUnoZYb2aEfi+JZaGKX9+ZZ9YP72hGve/CsAVKM2TjTedC5
72Zr/gtKzR+ViCbkRd0HJETWO/fPjy0hQTIVY66m29dBstZmdt8Twhs/2pXaX3hBjD/q1lEoeSj0
fceEpvczKyZOu6BrsOzsBdvEumsfhuFW1OI4S2Z/aEyEccptgpZQ7GXGItuFtz3iTEN+G9TGqcDC
lvYT7nT5m+bsT9Fbf8BA+hZnpEM8pM4JjoLpJ2uHtOIMCGhV7zu3KvaeVyxB3zC4C7u4Z91DmI+D
BccsaobJttgHOXz5obD2POh/xZv4w+exvBUXQJ6PZgvG80/K0NaoIcUXbb33pT5u8jIjzKqLPpvG
uHLyf8at/v9sAvnnRIbH+M9v9Pvq6z8e2n+X72Mvz//vlzqjHDwbjGQcLnBuz+9HOQ5YELDLC7Pb
5F/8c5IT/MK8m/AeMvDwEPvWvwY5AZGYNpgEwkx0h7Ag3f1b17q1PAb/ktstHhCIlBBVHEcHTIK9
6sevbVDTVHqzN+yjKmte9FhyIUexo5YFc49POq6QWE2GFZqeaPce67XIAUiwstsi+pRaYZ1mJior
DPbxvsIYjYt50DrqToVkyyqcHYZCAk+a/NWf436b653a+vkIl7lD9DWNuXOBal69pvPYbOFMcVlO
iazJ5JLNWlhtcxNVnfkldYk9dCmyU132H6odxg0x8tW27h35whrkoy0sAZpD2W19NrxIqlUm1fyt
nRvxnBpBfVJS+CyS5LjuTHyiq64IWPV5bho8NhYY/44rb4+m1ntOFzFqs8hS818VqsUiVjVgn7Ka
IM6t5YvPDVEdIlvSBjS8L87iKh/QFtTj01R4tFoteyqtDI2gunIF4Q9aMX3zmiyMM/jEc3zFJta7
Ar27o8Vt2fOWdC6VIMTeyp1vlibbu9JQduj40ggNaxzftWWnu9a9YAMjAWtmidDZXAkfc0ZDS7+y
2unOmgm+z2Z9AqOI8SVqa+6OtEXi1oAOsdjR53JmNzReg89llG+NN6oanWPUlY9l425jjqTGw+qK
7C3MisjaVG320o7LzszXm1UuGEjZWruzOwAmdcaIL/Jeywk8AuQNdzukeF8sryJGowjYMnW2Uy9m
7uPQFu4a8ctujtud12fVnodJrzcZkyHEQj7v2lD1KhDVrSi9UxWoOhzH6BXgyzEdiYNMNbYHSCGX
IQQTnNRtCJ9DqGwK49XuAqql8TnS1M70nHcmMdmpbAsEDcHwxl/HB9Jg6ruqqrWdNcgLe97HPK8e
9YRkJNG8tBau67i/CWZ/X05qWwsTcVnz6Mw+KUP1mTSGMAjUjQ3UZ2WX2i4vgdKYzu3gM4HBbpt5
bO9l9CKJ+CtrxaPnO2uoFAz2tduiNUnm0cDgJULHWTKY5CZg9fXsrZ037Ded6BmuDoWC3gLQyRFX
z0J9xnLumXWom9yy6hVZ3u99q78R2Hijj7rJWNNhbRvXH61DzTHM8bVeztjD68c5KtoVc4BNac5n
fUyvJcUgi+FkT9LzsdTLc4K6Ki6b61Krns1pJEbU+UKM5+0gEyRkfFOWfRoTJvubkROsBWKbbpYo
SvtJFnxlCt6hPZi3dSHM+19Pz/9eI8uA/M+vkdueK4SlwFvyb3Tb/OTv90jwC75UvprQ+Aysg/yb
35tDn2UBTSCWEgDQ368EjCUoGScKZA9IhSwHKBP+2SAadJSc/QH/oWijWTT+zk1icFn9cJF4yMWX
16ck497C3vLTRdIwXDBYTRz8OKanMz3FHjW4n7rutjL954oFnD74GmpPZ+MxkWBjWxaM75nfxRN8
KbzRDYnhEMq++1X+m03Wz8Ui74stig/WyTK5Tpfb9/tVRQtuYjSRUh8c91uevRclQfDDSmvPNp0Y
Jep/fjVS3//4e4ANDJ2Mqx6M4c/FqaoSgRnSnQ+DpebVaAacNzopLMb0aHUeqZwF4K0CAk/fwQzt
grlDe+jdNEOb7JLRJ7g0GnejCdt+MpL3vFXuOrGLGrjCgFJt9m7z/DpuvHc5C/R0s39VmfXZjazr
2MLqLbFvwmfQUWl5uxHVDFfiuLVRVmxk65wHD9kluRnPeVV1u9oMHttaHrS+BaOWH6ZJJ645aV+H
znoSE9NLBpb5mlaZeRDevDWU83UeRV8yQii8GDcjJkdCRsEC1FbwoQ/u2bDi0xhX6dZv0pO1fLh9
bDC7W0akYizqba4lJ9SDHynyhUA15BrF6fvYj296r43r2tQOhdscZZQV+6ZpX1PPbsNsHi61T86z
UMOnXSLng6LGajSrGCPDL0PTl+8ap3kw6zJMbMMl7jqfzlpTbzy9/0wb4ys0Os7cEXJQF7u3vel8
dC4RzikqMazgXMetHrptfMqy4STq+jBERACWgiDUqN+aVAkbsmf9VeMws+08+m3HaBgVd8ahHudL
QWbTqkaybmUBom4ZQXCAcLGR2Tiv6WLkXVs3+YHojUPmGqGtckX4tnbnl9MxZ557SFB/UCmxx9fM
FvxwVX3GNasMRqskD0fTXlntEa3oHqCav0qniDHp4BjsZWk0p5e2jhciQpHDAe015R8KE9Ex6bEV
0t3WH/hDZtUyLV187QaKRrBNwSb2nHsvnXGNZnJ+MHHPblweg82UzV+reEBbafavYHJQ4zOv7738
agyCUAZgEpqll2KbMK/SjoseoVyxzpz6IUmKK4LHIeAzYLRnksqCobir7QatHbzNceruSz+Hr5XL
t7gs42tFVq9cyyVwj71efBh69ywcQsfQXO6SwDg5tXssYFFtGlRlq2hYhOsjgei5g/O3dU9xpw1s
MVAS6DLT96aTpy8siMA5LAF/cWLsxl7bKu2gDd3rAgUudQJWo5kQcfb3RBo/UgJDWOIbtGbaMK3M
scnB5CwAL3WcGucT1i0ILi3smYyt9KR7cQIXEbW5M2sPR4EsndBrSjgXDZ8cGZlbs08vSZK/4HMu
wghVyA0hsy45ajVBh3YTpxu9IfU6JYJqQ2jd0asCQCYxyh+nbp5kMz1WTb8PnOaOI+RRKo9Nl4wf
5nj+NqbQFXqC4bV8PkVN5KKdSV/yfpn0esOuN3swPsGSsF1a9ovmNm+RwpSiadbFa0sAZEYVb038
JOCD9KekIlCxpapZN8N08QL4TSJFKDwF/cmu2+NEYsPVWIwX0qeZyJvzi5eSRW36igrAk9T60nwj
um9CeJOpvcJAiK6sRxo44b7lijCOsrH3A8aYMwDzZ3KMJ2SvxO4OXg8HugFkBWbPjneClA00zu17
LoW10Qb57LbTsO4UifJ4mQjsLuQ1gfblykrE7ZAJsTP0VNvHWvcoZZ1tKi1/yvXpodDRquiVRixy
f0ZCWi9OIbkTUbnVxxEBSrSux+KYN0j+ZfJoacVaJwjUZQTnkRdiHqK2vcaecuTqPLXUeiNwNRpn
HgFWcnheBtSxTXE2JZnVcZeQIO/H+O3qtKScC55EQiTWZBFhNiCIa4Wmb0Xk3pdGvYtZ0ohJfOtd
a9q4ff6omvnesKu7qJcJMtXFCl74R8+uni3f+BJr8aFxvdcOWSPLMvdhmvn8EA7vHUhvq6QQwzqd
8mBjZxNpJkmoWvU5uNopMqjEc8aFnnkcHDhY+shwIe6qZes1AO6xpQVyLtr7Acev4KhEOaoI2qth
PFURU04QZpFA0tf2BH4PzoE9rDwLrTuPWckGL+h5TFCLN5LAYg2tTKhHlJRS2c/jMH6tqzHspOex
uhxWBRsGuD31N0yV+ttgBHu81Syuyyu34Dsf+9OwYYgd7FK9wGk59RiG0gw+lDWGc8uk0K7Nfefb
3d6dqr1WddnaSudTnVCY0gLhrDe17WjL63jiQ89x0VA0J5e+NEuU3KysI0AhXC13VRscxcRsWEN7
u48nVFJ6Fh9pSjZlizOoMdBr2xU9VdWn72mQnVKpP430orjHoq/cfOJsC/erAtyFfg1WlDfk7Xpg
E7krg+mcTmVxSyhbvQnwS6562+o3TdTd++nwMUf+BXlT+J9LjYVE+33nDqfI5n84nkzTIyHmpwFP
5sdDIXWNj0dvLloR3+dBvdVbVtfRjOvWdH4b8P23OF8K6T8vzvfodW5iTOL/YFY//bFAX3769wLd
+4U62qP/twGuACj+V4Hu/oLo3yWvgtHNEn3wv5Me0poXCIzFnsb8tXj/16jHBPdBWc+sx1gKd4gg
f6dA/1HRtUh2LJO3tqh/wPSSJ/1jHTzOnUzpz+sju8RvI5ZhQb3xF7X2z7Uvr2FBFdKJmsf2RJ71
j6/Rc2cldV/Ux7w3ng05HWoQ3vHcPxjSvv3uQ/g3Zf0f/joswXghRqwIgZfi/seXQtnSudIb6yOm
jrDT1M2EjOj/7iWWt/Adr5etSgBueKiPvantMl1+SM37TQT3pwPjn5umZZXHTo9PhaLBsb2ffmFK
SmZNAX8LAy9eVyZrS093gdr/57/IHwbmv77MghwAObNwXn7qzQSgj4H9C4ke0G6HKr2KKnWfG9GX
oraeo7F+HqzyPS219ai0rwNms7Vh9x8dQbepXXBct8W6TQpKx9S6iaZh9xdv7+eT7Ne35+n8F0a1
/YfVooXbpvWMsj4GoszXCNsu3ZKfPQQkXTvZqwgIhkXGruU9QDXzNnd1pitYqSycASNRysJuNkTS
HPAy9uv//N7+7QcU0DUyG9X5gv70DBRWM0slmvqIKOBqrIs1lIH7Usuv//PLoKrkYfr+NF9+Bywd
bQ70hQ/x85NQOnA5yySojrrn3o26fd0RAs6u6jTZ9lF5821WiM/UNE+WSTFeEB8qsXuu4LvRDYFi
gHiIf5mwcWcywlgfwyYh/yDxt0NC2rBv3prDDLVsUUz3lHoZsokEMIvKIcWih8+cFln03GKGFtvI
aHbItVB+OTbhQWRMQzJaw6+v1oXs6+28zE/HaXqy4hTFMhfVqkwDNoGpvm7yEhplSyBa7F3NQ/XM
pumQBP7T5E/ou6cHzF+MMbXT7M6nFI+tG8W3lj7ttGa+o7K8JXfnayX8e+IHDkbnHzJ9fHSTLkz6
+aiVrVghO3qTMPJc1L6dsB7rUhzw4T5NmtwP5fA1HTvsZ9FV6sfLBIJ0vqF/gtJ6hsF4yOruBuv7
dZXyjEfel0G2O0up+/9h70yW5DayLPor/QOQwTE5sI15ynnmBpaZJDHPcExf3wdUVSszyWKa1Nva
yEwmkQgEPBz+3rv33HZILwfJmG/GFhhYzcmW3ZcpBkOidYEuNGD1PQKJYbWj3MVJvZciyOhpYpkC
GHzlGP6dG5RH249WdrltolOr0beD3bC0Y/9y0PHsoOtfELK+ww/eIkgGUjMYp9btcd1O16lAkeb5
W7PmJKWircagyh8MHl1UL4bcfME3CKYouA5FbG/rXB1LOz13nekW9fHGC/xvXlp9JfbgvKzGKwup
n1eZqxnCnDn2mZg0jblocZFPA33MYhdb6iZFxZxbzq2CxcedLZ2BF0IMww21164UuO9Uug5lf+aq
Go8HBhgtJ0u6TtJFneRnqAsf8tzeMr/aIsHZ9JCBPMqY1ZAT6j4OW6T4F1qSbYBg3rMDEoVinMAP
3PmtvvJKdzsK+7FvsjMZMeQOActhbS3GA3px9H6riNogLy0sQjiGCIQ/gCXdqDzfWUOxtf30oja8
g1u3OFvjDaaFmzFol4GUZ3XYLGVunI9us+3HeJsxkJ3tDWLuXN5XdQ/hyFoHbb/Gs05TVp2FlkME
MFRzUpGRD/rWNsmnTVo1Z5GnYf1UzNIb9ShGua/QAXlzyL1rbieZ3YXMyjunWaNvWzcof2qaACrE
aFboq3yMwIJ2Dc3kHv8Fh0y3deEFuOO8fo/AtrZTUi1Ty7rwbOMpz/xLM67v85JuWW5cZEyUKby/
BWF1qhW6ntE/ThPeyFDs+7BYB1m1qWybg6iFZiczwVA3dCAk7VkBN3ehCRRBFLIPfpfelD7ZMMgz
8uWYT4+tXZ4NEh94qTVLTterRHV8eWl57A2Iq6YcDxiLD93o7UfPfYEfeV5bc6MAxbmbuJdTKu9w
yDzoRbrO0+yhcG2yrf3yHgTpwcUnVoXasdKtpwixUWdPRyevX7SAFd6isG/Lk9fX53mMkFCl2yGw
r5LEPdV5pjjOYwhr9C9xIq71QX3xM1aWNaL1MNLXRqVXjQXki0yNK89R68llw7d07UwnzmyKsd/S
ZqHCEc1Cnx2Dwj86Rn/W6uMxBGuD/E9fcBWTH5L5VKBjSwva3kG50jzrJqUwXE4WtdVkoCu2w4tR
714sX7yAWVbA52Hi0EHhJ6w2ZjhdkkNG8dinpKxF1+wZ7C99x5aZspG6dypK90nAuUFM18XQPQoC
plWAMCYx7nONxOu6r9a6o12Ugb0ui/CpNLKbPItNzOvDxsaIiHIvOzADXHPQhHpfHqPJQyQpTpwY
13Wqzsbe38G6v8kNRy4yZW1wt503VrFii11Po3zIZLhu3ApDm0yAKIwjypYWAEy5axOwpDy9xTTE
N0kVX5Jf+zjE4QFq2kUUw4phJrYL3TxZW+6YYRY2zkJd35UN1Xc87Yrcv2dFvfYS46JO1lMtjVUC
ITcYi9tYIb9IuhNik1epRSc9b4qlhKPvGtkupn204J26xPNxDPBlZ7O2gUiBhYi6q9ykZYD4YdGP
3S4Z1FPiOedtyrvJEOd0R0Ht4skCK7SlkfmMWyhfgnS+xKuz8pyYQUjlXNPAecxj58yLrEdV2pdp
ZKGg7b7Xs9sEGwzMubU1y9ya2t4JszuGk30XCXc1gqxQs4pJC8iPMMIHLzXdxSidR8OtnvrJeDAN
82QL6EokSG2kZn1zc75Q389Pfeue1RruP+j8Je8MNpSIWPcVZN0TPRUBxCw4HyP3KL3mmxaaG7Os
L2PNgtaGZhcp8d7uxUpzp9tCRQjWK0pIJ7p0Q++8DDzs4e7NpIMC/v2x41enm7eHDmqPtyfcwRtT
UnemnAlgjE6DZlDFxpAP+99f5hdnddJpDMc0bQYE1seI0TzPWWpFUx7Ciuh6PYTYbqef3MqHRBoc
KyZtAuafHPQw7zE3f38vBowEMUZ1eaAAG2nPkspQxbhgg/g6GNrouchdTAAN1iQtGZ7tpvz++5tE
gvLuCDd7ZpizUOERbgsPh5ru/ScYRzsC4mykB4aP3iLo2uii8pyGzYJttzL8fNVr2sGLMS3ldb/3
8ixZd52Rr8DroPO0vGlT+pkPUU96W1sj7z6e8n6lnNZlpxjjfcyhZFkXiYZsS4/x55e1sc+rloAH
8iKO1pjiatds1k7latVjpstvpWvftUl7KEDEukZ5ClDSLlQtboMKw1SeuN/dmg/E9B1qYTOcq7ba
11J9Lyf/yRApFIkgfxxdeTAHk9gzK7kO3Wxj52iWxBjXV1bu7bOheIxpaQPJbf1jRvzBqoukfuxm
gpQbaBuEDvuZ9bBs2qzdDOWIZSqGkhvaBzkyZcaaS085GjN9bsNspsTFip/gmZit/jFduIU9BhOt
uFl57mzawrkLLeWvvKY3Fl1HE7QOOOtW6xAkRtz2B5eXvV1op8Ewp5WJFQL1Pf1GPYcaoIS3InR4
fkFw9M0OBnbscUKinuT7NAPxwszG1HcdyOydmgbIFjQH9kEI57DD2HhJK1ccXC0I9qFo5LqxQSCn
dWBugp53aERWCP2ysbjEQPdMwql/FkHmxTwiMS4U1bgNgzHcUif71zTNM3ahvn8adekuRQ1C0CjL
bgkgdsDs1xvrtsKbOIbhtwHR00pkMOmDxjwklZ7gmDWWXQHs3yyZytZ8rkU3+mKh4xNfkTmkaGXT
QA8LaJEIGbBcEJGecLZDTtm4V0hML7Fws9VOfr6mVXUXRna98AbrsowhSgeaNy7gDUl8HnaLpT2A
gG9Oh8mIXwgnyNeYgJ4a3gN6Ib9MUXaUZnqnivKmpC3m1v3XniXLkSP7XgzWJmf/hyU63lCcrszM
3WF+W6GeC5a20+36kUE6NtLUsvejgGDT9PKMfM3H0QJYNsacCw3UBm4nt3Q10cBXerFiZG9u0hpH
nA+lOkdjCGgNXg2Qym4Cz1nVbMditL4mvpfjEC+OXe28ur7brbyW97jX4KZEFLrTRvPGSSK57Evi
ZHSS+TZDUBP0ILsJrAW+Jg+PjTXiywi97sqpDEyKXbVPR0wNwh5N3uXILU0s/fT/2nPMAcMqqzQF
qRNWuTVdVkENX7x2UankciXHwVh7ofvUcFgvmy/YTuOFb4QHFO7V1kTUtvBK61UM5I0ovUEtqewv
uW5fSjv+WknqOx/u5iBRADQ6ElOa5OE60st4FdndC25jXmVdhZqj21ayPbPQOLIh2PKsbIcrBsXR
IhdTfxZnYlikVg7HQpenQk8E3YciOcElSRc6i2GNPp1aMuV0UavEXTl5v0AH8Wcj579txVn895/b
iv+a+T9nP3cU5z/4746i+wfUyTk5Ski412+lYxJUG6y2mUwpZ4rb/3UUhfMHijKb1yyvdhMZG2/9
v0b+5GYhmJyNe7wieUn+DU34x9ODZPLCa52YFj7en+3Ot6cHui6xmKLR3ksP+FjqTE9uDBKB/7f9
5OX+2ZU+dGEc2hR+TpDBvuWXUsEA8TVv6VefcLl/fRWHaS5tUvR4H04QpdQ8H+svCoZ+BrWk8d2U
IuAFC9t9cj8fD0TzN+fS96PPg7YP9cX7kwLsI6McOiYrVpKeM294MDPtk6baLBF811D68xouPTWk
Iog7PtwNUxwrbDI2VE2rXixgC8uMAoJUXfibMBhajCftuRGG/mlwMDiDZrpPRXw5tsUEx8xy1k6E
Hl6QNISRJn8dIXiIEbWZCIsTIq2T5kXPHCTW5Afs8rjZOrqCuWU067bUAXd61rlX9A99XLR09Lqd
Ygb6SX+WpvnPd2i7jkdjHWrZx65m0vacWDph70GifKub7r6sp70/13l1iErageZWt+Luza/08mdj
9I/v7W2jbv5eAb4SNasbqDzFvIredIWDxoBzEDJ2oTrcyShbhrPK3yb0QB7tjEi2sPvSV/Ypc8kg
rcK/vUZZM5hGibCkJ2nKD78EqJpm02Ud5h+PUAZpHzTjrPLsT64iTf3dd8tZFn21wzFWIJqRkgb1
+7ukTgdTxvx+PzDoXGnKxMok4xvPIugKqV/JCS+fjl7poy+TvLCCODyT1MkLnVyATY4+msldPltD
aZumhWT0KLZASU601GCjdjj8gDlSi9loYAg4xbbg6evU4l3TeJTReeblZ46KjrkxPlsD6UMx1mEV
kiJV9NZr5PFv4TxrJUvlnlxlxrvzHLb1lLj1C8vYpQxprVgn9qTs4Z3OA9yyRbsxy/ca80iyzEFj
1Bv45j5h9NsQSKSv/MZfjCK5yxgPe9SlinFxU01nIePjoJctc0lkimgjzpp5xpy5xTaU+i3Hhns1
T6GJe+K8pd1EtfI3wHqCrcW42g7LHNhOe8GkJ1wmwk+Xcp5uU5Y8ACdnGNuoF1I4hnWk+SGoBTpf
cMfmAfk8K4cNPi4NI3no5jk6xpJdozLj4M0zdnBT6arW0SEkTcNynGfxKrCfrX6Y210InZx5Yi8Z
3efzDL/PhvMoL4yT5TSHcHRfQWev0Oscut7MDgDNzjWdVm84CwP61rgXs1TACboQtwRAr1ra54aE
J+GjLJAcT9p02kM+fxxydZ5pUbVLZvGBb43RskKPUOIzW0C0flRuTEpQ1k3HjJZeKvSDaYmvciIn
apY3BMF456J3CIxuF076nYUOwpgFEd04K4jQSHQAhujxV8YKrhoHnTlP0DEzzjKk/hlyxWxgPsnO
alkv3LfSrNelTuPCBdBhRtUxyu2vHcFBDSUISL3oeewlTbMBLYzlZWgUBrkLdX69kVFJ8qpIZfF8
HSmVEX9Lq7HeDog7T/EETlcFIJ9WjKbmIyKqGTLWRDSSxmNn406Ls/w66VwUuTwyjo9e2G7Muo63
1jwHWltAol74dYAp46yFQKWDXllN9vckb7cjv7dk1M6yYHyVmTriVvqWdI25KfR+OU6UQJXX7Z0M
ZKAPmQJtbw/4Xl0ZcXTsVVGtekU4S5/oUER5hS0CRyLCboi6U5yvHWPFQP1ax5lpQFxDI/NETT5X
yOMr6gCs5iXvAfDsAZLcbiPcsV5ScMRnUtK/KCDJrMbK6e6sYDIeMSbBcayQWYdmDU/Gm/yFLI1L
ruttPX04iTCQCMD6m470HzJiAIy4mn9pFbCgK4eZUiHkM1Yg6yLrRbKpZPm9c/xOLXA0QTOptSfS
tDTeP4F1qIbizozqeC3TOFlIiS3JiVN7STjQS9x1j4pJ0XMXyHSr4cm4oAUxrUfhnyMfOR/C6azo
+FmUurhUVhkdrchHJBNhGfbTWYHg9xziU28N8PApqemx5JNHIwhl36bwc5r9PLelzEp47z1gnnSg
kolqAEMD8NkFvXy07Bq63L7vLnNmD1rRwhDD+bKbInFFoXsAnQSA2sD7PlqTs28g5RtOcJmRWUDs
4SNA5J5jNj/1mjvF9CrUgb6avhIqfaHg9Ze9Ng5Lr+KE7kKWvTXyugaHYr9qwKUIZyjlukqzM32G
FtWNdTUh4F21pqCJMB5zssBa0JvXU1buhQ2ZmnqMxNTJJYAScb+ld+fY4btV5OgUlMlwDgza2ca9
/D5zFVA0has6gL0KjHqhK8ZAIHFCuZx6tRwwnxaTse+MbWjGexWuzSk7oAt71vzpcUzytTKfA3VU
cbd1OhJuXSs+c+Z92J5uBZ0PnATbzjniPXgEh3rSRkAOaJyJRFSwE6C12DzvHtLcQEpqT1qaL7Sl
lph3TUNtEy1cExWSo7atMey18hVw2gWkgBikTGFmpD9ix0pOYqi+ZzoZjGZPBHkrN2OBY0u323Uw
b5yWTAE4ua9DCAVYsx8cLARkBNEn0bVybbj1Q8UG6aTN8zgGL4X/PBV8uKlFvq6PN6l+ZtrelVvX
9xO57XYI41SMG1LYj3pRHIj7u8CyhYXw3o/s+zYxyGILnWVS2vRF8wdQWmeEchFUWGzqirZw7DPp
aNongiP5vep9sx3x1RsBeWRBKretp32xU+1bW1W7GD4G4vnllD4owIl5dEMXcscrRpbW3kdhtKhM
b0mbfWN2t8EMZy+cdZ/SPo/EcJT6eAbXYg+dEjmeeCGn1F0J6cBrpfWisdi2gbQUxgJmDrGhrqKW
j+c23V5qMtvbDa0DY4L+EIjilKXIVPHa9aCDdUjtkYeVugBx7sr21iolEiOB3McHpLwyTXmEEa42
jesdCBuxNsiGrxwHClzcGQLAUWUBCMetEA3FAZ1ZcIpTlV9VRUtQRB+yrxn2i4bVmcAr0gghjsFf
Cr2T8jECdIrjrWOc22H8WvTNI4bvfReX2cIU/OwHEX6NXFYxTsJbyy4cKFPaxmlRf46YOM3eZI5A
J35Bg+t19L07uwkekS0LWPLhV7ufzttgOk1mft33dQCLAXt8DevBgOzBBy/ue7oguPmYUJcyY2ZX
bBhpp8uqUj1HqaJbVHoleG2U6dbQnWeTN78ZWLt0tA+WFtzZdqyvarfCtzHx4mhinCJmfuI8uPBg
vprfKuOV5KpFU9rbqvQvyo5Zp349lvV6zMdlKvVVa3VMJb7mtnUTwsLlLzoMTrGt6zsv+era35ja
TQao3i7ML6bBeknchDFIuDVDzOhheB913zUtpHGdbHO/Wjn6qqnBPJGg5jGf8zrmLK+pfZNPI4jW
ZosayswuIrNZD0HwKIrnHhe745abxGNz1fnPhi8QRgXfRiM8j6po49CkCbLp0JJRRprAgrAMzPJs
WexJwY2v7vPgEAkLdvVwDZp1XYSCGVm5VsAPYo8unqWfTIwT+As3pfQ2leJoZPDZovELEYiIRK3q
ORBmv8pnAgQJeq9eVTxzDMF8ORFa5jG0gT4WG0uLTQkZJcvKk4IyRQbrKMgucdwStSER5MW6vR36
SpGNEIQXohfYesRVPXYsiMKNUWaPw56kkju3GPCPptcwd/eF57aLrpqPUWa0dVpraXT+9yCJNlGe
X2XNcArJEcSYjBQbBzcD9Mg/EE/NOShiSgQA/XunVdZFYkbtGvmLgoBmyk1rZubSQ4B8iCKm1KF8
yAV5eMaISk7TAUslrrnKgesuPa27J3222fheRAiv4pMDFaaDVUTMk9WjN+pIpL3W+85RxqT0YxjC
GUIx5ldiL8dIAu4Lz6UkZhSVAInPUJph9K6CmGdmeoTi+DQa+34+L3ndCJ9GnMKpmD/7gGq0VAdz
pAqq+cmzkYPaHRznViutaMnJJ1uP0rvBJvfgBvEprfU7ZCUvXU3QLqI/q2chVJZcc6C7LgR3CeFP
fxWJTiKvGgbYYGnDYchN/xTJ/LcP5VD5/+c+1GWo/ufpVyyq+Y/9uwvl/WGBI8Ddi7gNSwNF51/G
E0dSCgODsv4Vc/IvB6Mw/yAyBSAW1aOpO7gY/+pCGX8gRDMcj94p1lQirf5OF+rngpywAokCci5X
pSP0D82UfKqFGwg17HULWHXGLuj0oHTcr1Vm3+ZW99AMGCNqr3ucnCBZgTx7ePOF/aIlQKvtfR9i
/gBEf2EvoduC9u19rZyg/a2sfhr2ZGAuwcAsKzzzafkNjt7fHKTJ+Urosa3ZZDPbbN5fKRqCLMHO
Muwn5HfMSL3bvM0+ucbPd4NBgi68yXEPKZb8MMVqqpj/MsXDfojvkDku7Fl/UjBazZpP+je/uhKL
aTYz0d1E4/j+bkrLsVFTuf2ezMD1aHjPzNz3dd8cG6365BH91HCb20MuNyOJroBb9qGdUeZKwOv3
+j0szYNq7TMzrz+5G6AbP60DrFdA2RhF6rZA1fn+fjitu3kXtu3erUR/HhJq2un9niSC13pOOwW0
PO6cOQG1olymM0IqaljbJ4LFLkiiwR/AG4+T9fCCwidfw15fcZkYvToZq1UD6sIrRnfZzQmsQ9qU
AIbtDbgKch3QwjXsi+vaBk1UcAVI4glBbKS6alCnKMyGy3KcSTyCBJgsaU9OYuKhCORrPUfDyojA
ZbJis9S0tg7pscQxmws6POmCca2x0TImLCRFngnIAt918mcpB8Glz5G0bQv+Mv0RUyt6JnsBAM6a
DFvGpLdtqAjxJZ/Am1Nuw+aasv1R6UTP8vkf3Z4GBrm4qgyGrad59BKniQieOT5XmwjSHafoiLKD
GaBplcuEfspCG5lW+iVS9Wnq0aJEqyxwQsZmYQEQo0CVMp6lPkAS3TeZrbkJ0CezGLErp+VWs4ec
MiYN4BDhUSN/88G3bZotM2DezBwS0wZrG+JygaTTVAvTqDYW79elW8oCdZbY4Ei5qa3sqDc4oBip
xGuGnEtHxfEdh82nlITFsNNuBAkYE90Xc5M7trnqhZFgwYdBcG92hPvUkhJo2UeO9YX4NXvXJ3F9
oRfNeWRP2orzkNw6KV7T2KEXYKqHoJoANnnwVMOERkQUbXG9PGi5e50iBlz2XdLeJqHenEOj0B5F
RKSD0w41aLTJXVKak28h8Uv1k/4Feit1TRvfG1MANoGpr9nGL14eUG4NGEeLzrkc3eoqlD7feNjM
GGlBQocO3DYn4QAMiH9K+/wLwWVk1ruUSoHG3DqehThRz2g1AHxFYuhBBtm3Cpd0k9GUqVzzuexY
mDVOc1Fy4CM0494s3Z3fGV9q0osgJosnvcXhVHI6SxpxwYz00tNmZkLu0qVJ4kPhDoL5GCV60VUg
HKpLFaKPccrhZKrsHHU/OZftLjZNtbErkq2oQIY7NRJrn/flWvOYjLsd40XW55lbWisZVFDiKlzY
zhhiNIFda6qE5RTb9wDjgNrZE4PWUb3UqXY/eoj9aC4w5QVBGILaDSP0ljQbwr7bkELOYdNNtiJg
NI+j8c4Q9TGyrZdKTcfcyW4BaMNpEenWCxCAMGbLFvRV70Fig38LSdCuJ3WSPqTrmOaYaKBYBMPO
7CFwKlf7PtqAzAFK5GOLW7s4ayWPssk5pQqFJWgIFflRpGaspWjr5UDC9UqvyYfnvFSsMljWtRtv
Ok9zCGIKbvC0g8sr/K0Vaohx+m4fT0xxkqY4KhcKcpcU9UJ29CMGSWciZZjYZ+mhEIIYiQmpgk0a
wEsj0+SrdCp56THjBKPFDHTS6ov5DUNDBWh1aCrsXpNNspRH51dzdLLtDVhmgYZaDBdZbYYWgC6N
WnZAt6V6iKy46pkcECRMxAH5VpFUHHxLmPhGOq18HZt1FdJc1mQpLvIWuI9maU9yBCge1MlF0NvO
hpDrpziiiAx9+qJ+5SwnbQb3+ZD8rYzum8jgtQ10seAZzjytpF2WunUVIWC9T2h0LsoB7Jnvtfka
c1OMh8pgDK3Rj5Tsz3Nk8QGUL2qBIXyE2ZLAso9J8CGjhAbF2B2HIbnTOyYSjRbeDU57gKO1mXpP
njJpnJyS8i4o6ss0JOGwjn0828aIajSpr9nAYxSMbbrK1fQc9JiCvKQeOBW7wdZAXLaQ7qz/i/v2
Qnlg0lQzrWqV3sZNuuOt+i22rHhVd7q5sPuwo4CiJCtmRrf02PbyHqd6GAC/Hfwrr+cbsMnVWDo5
AB/6Q2vXHvRdk3jnEnk67biGuC7fdrdtI+6MCTM+grBrtqRmSWq8jk+/HxdVlrkrpA8IGGK6dkjN
N26IigKn/CZQnbGMZuod/ybYZqLn3Gx31eh0Syzxr6jCLp0em/3ow5seZq2G0Nd93050poMTbAoq
EOuk4w3C96k/k6Rhr/O2bZd2TcZDLrKTjBEtED0hc2tbGFm4nlADZNjElm1XEQ0yarP9zvHR6irn
a4b/lL64LjZJL9QRPgqPzBMZK4gf+NRU3YKAmMum4z0gyvFJq41badTnmQV7oKlJ4Ewc/gjpLBtk
oHcuqc8Y7qOQqiSjnPUIos5mpY4Xu0+aBxFQYS5cEaJMbofoeySnBbLA9DIromwhg7xa5jbFasmY
cUoLZNQ1gskM1bPMHqRDonNCIsCyaLSnyc2YN6FEXtRm9gSu/g7LXc44DyYV0VXaOjFNIANOg6ab
uE63PPDDHuENVO2yCIrvQWA+hmV65kc+ykBD/xrorODeUvdw9OawaiPdNTqshrIiJzueEGSmnrtn
/117Kr3otPDUEbWNLADZtzIp/pFQ6AnGQquD3KkyQJN9gNd4tBNEO2X8TC05rjPDxFwJ6nDfI4Re
lGYAXpmMnnWSow4iEW7fFN2+LW3YocxXuqbZ5QYvo7JpXh0/2SYeWMZAxd/MNCQ/xp/OSvSs7JlT
tRa63tCH1MJdPNU0l5ArblCK1Sszb63ZGDzstI7bism3GkzxYBJ2dKVpEKw0b7oK0YQTDMtO32ek
nLczXiMi57r1n60Y1nN/jGVyrTvkjiRgp/osvEgyA416d00LC9Wfs3L67FikabhKx9BbN5kEMu9Y
X9lxIGknkr6t1nn8EIp83WbmJ4f1+dz6bhgp8L5weubcOZ85P0J+NLfMJj2Swz4asguH0jrK3Mdy
+G9p/CfdZy5u/nNpfPxlxvNff/Lf1bENR2FOB3UcYB80e/+qjs25btYpm3/oMOYC59/Vsf7HbN6j
SKA8xuQ187X/pdEA8DPPW8kFn4fLc8H3d6rjj4WPi+NnJgMCILJo3v4ont9Mq9MsjozMQUxrB8mX
VMs2UqXHN1/KL8rfj2vwxyWgEfGZBTYm+aHsaWo9saOk6nY+5uNaufSfjYKYXywa/+RCDtMx1+Wb
tj5cKO37xujyqNtF9XjLngKnV16XQFb/yXV4khAzTAJuPjrltC6GkKynCJDrvt/40O9xxDskj5lf
f39Dv3w4EDNsIN88IeNDqa3AKVYkW3c7XqvrSo/vSq+6+f0lfuqO/Hg6dGeQ6rBKeUbvi9ISfwki
D56OmeWXld3cUdBgFJhedRPGUx3Jb0zLn+mQhES2eXCXqJN+/xE+lvl8AhBkniERK+Gh+iiL1RMD
mL2Sajdo6RJK3GHIrsokv0nHT2xun11o1ou8WeuGWQe1XgXICWfTmlQBuAt3b8JGIziyWv/+rn6x
6l2IInDEwWe5zo9mwJuLSb2CiI3ffmcSSA4+ODXtZV79Xabe/NXNvEz2AexxxoeHpyXMIpLcJGKG
Gxqyk4iJV2zKxSxl/ye3839XMmc9yJvbwXdSohnwwA4EQ81IY3ic+i5f1FV69fsLzU2dt2+sH6uB
7RJ5lY5x4aMW3AZmUYdFz5qnzpJKW5cdYOsZvJ1kSzv/rCnzq6v96DChoKWlPD/FN7flZX7mqlJ1
O01550YQMJWy1KNulHf/4K7eXGdemm+ug+Q5KqoQBgKoxoWHrKO3tp3UF5Y1z+s/Wee/XHpAbSAB
zY7Ej/3GuKq7NFcdN2VX51Rhj43XrnNZfxIB8fNlJNNynIpsg9YcG/D+nvp6KEskFt2uMNRq0B6V
EWOvsT9ZePOP8v16AE879035GdFJnj3Tb7+5yTC83kVFMZ/4VkJP19iWFpZz8sESCEQqUfqJ1fLn
Bfj+gvOm/OZR6W1kVVXEWwT4qrUBdUFToo5fYwvGaSG0i3ZEIPz71fHzPj+z/Gz6pkgvsXp/uMfC
bYTdCl/tohk9pNcebPLI+eSt9fNF+Jsl73mUn7yEP/ofUh/UQqXPX2QhXwuGgKKhtPv9jfy8w87X
8H50+6WF8PT9d2dNhgaCPux2sVhhTbsykhdY0WclKp//34U+bOVTYFlA0PJuV5uvGgPqNK4oO28K
8/n31/l5jbP2GBl4AoACjMYPG6wT2w3xfPxuoa/vC4JAFwR9PpDE9MkK+PV1ONeZAn6znEmPbxed
39Wesoht2nEOQNZBLIW39bXgk93uF4+Hu/nrKh92oSovPKMp+Nb0qAcn/qWChoEbZh1Q/v2D781m
DuGiEnSZ8Ly/n9r0Yg4KnFziopkWRR7f1br9nNZq/fvr/Pxj5flwEaJo5joHRNm7761NTR/JFXtQ
N57XzncHySAASHRxF4Fm/O1z7OzzdljgNsJOrvf+Ws6QFIVtj80uQLsEQUrY/CO50ALf//urAeAm
ky+HqQRr78Oqs9OWTNw+bciVSF+5kYdUiO+t4b78/sv7xY7w9jLGh3c6feQqcREB7waypJBNM6iN
Ytv9+0vh3VU+PKJkKF1rzKJmp9ucHpkTCNShfT1tf38zv1jbXIbho0tFxGTow9MpdLCVk+AypUA2
x6RnWBSefY5E5aqk5P79xeYH8P6l5L272Icf0qgN0TRCxt5Vdrbsq2hRWckuCJ/jpt5WKl+bmJCC
z1ADv7xDBpkwWBHVC/FhcxWj7YGwNJsdoqdmEUQmiQJAByY9PqIXMT5Zg59d7cMOqxxdQzhj8Niq
r2Hl4Yx7AmHKhN/7ZCufH8xP3yX0EYpPDn1QTN7/rEw2iq6KaenYmgm3wESPjqDBND85FFGe/f5C
PwyCb17s/KrzoTbZy50eAI/0GFUt+CXnROUBKCigy+lijnw2LUIXcCocsdl/98S4h8b/jKn3YPSV
hQzG+V4S8rYIJ99aTKq5INXoLkeQsh618rEtiluEUqARcGXDx30NTdRsUUE7ymgcXAOB95W+t7FB
XgmeL4PFOsf/0TFvIJ03QExDHIGlQ2I7+sZiK/Wa6s+ZxbqOxcQtv4sxaW9VrxCmyPJM6cbR0+u7
tEfO1frBV4THZ6DjiEu2we724zQgmxAbQ5XPoUGyZwmsYlmMGZIWP0flom08lV86idEuiRdPFo1i
Pm2F11lJwnE3OA+oysoVqhKsq3boHgqtuBG4hfiypvboTDRO034gTyhmQpk01RdjaDqUOt3aVLq1
mzS7XhHGC84xDe+atiVz3nCnQ2ZHjM7I6+ZvsU7pkLhfHEn8JImAqHn8st+aczoTWlUMXrHxDdzB
dykyEq3TwVgo9iul+VdSzhayIoqxLJpUCjVeBIB+dlu9eOG49gcUvqk9w7YydelH5d5O1SX2ybtO
y3YIaja2HW6C0T95alw7Zs5kxxrFQa8adUcWdL1nwog6FmL5tTURbk7ITk02a5Smq8BJgVTUbgi2
rijPW5DjMVLLWB76OcGV5LigWHk+wcfB/7J3HktyW2vWfZWOfw4FzMEBMPgnmUhb3psJgqwqwntz
ADx9L1BXLbJYtxjqnt6hJFJIgzz4zN5rh6bG2LuyklWOZtryxxagrRsOCATzHjhhq1nXM/vbAzhX
cRZSXzYQa5joGtObslLvYqrQUYZuZ8qL0pBnlqZmcT9Uhn5hqQpJuhaTaBWxWliXo+uitJHOG9aL
+JB2DMARqoLo70mVFrTgJDHYqJPyQVYPumV5Oc6ypuFQnqyrDHvpRoc+SFiTnLdxGdk7mZAGXM21
+yWG5kGaZSUPSc+eLQiEvsld1MfSzAJ0vqnYh0xWo1VPht7WGpPqeo4dWAyIJ3dVwg4uTKNNVyhk
nOSNQ1kmKNwM1xOy6xLuBXiQYWfP5bcgh64vnbRZBYPGGjYcbhFrVqTEVicExPiEV/qpbVwgcWZl
PTujfck0Jn1MG3jGTpSczECL8ecoEqKS/ugBofYTAIrroovqzdCW7dFRUfHqGO1TZfU38NKuO/6w
rKb5imDqY1165HoFuOeld5cW7l5p9mVpDifCAtlsc9un6sEa4ydO4q3ZeCeYsF4LR38urPhrPwTX
uc06UXnqNl7+oWOd1WiEyfZNDaXBeDbFfEIoAvlb3VWukQY70psSAKPtZryvRGah45WwNsLBjfzS
6G/SvnwMySp23fkMrtf4SP514etRSyha77TXbR0bkAVQ+LO6S697tiQnwgApzF023Zje6A70TJPj
j7K1j6ENzXATRYN1WbdR9FgzcD+MeRFta/LLFSVhNx9rzQz3Sq+ueeGGcWZF091chJs6V2+ayYFQ
ZeFWi1A0Mz080RFhwxgG0ta6l4PhnjC9PIfzzTFYdYPvuONDRBzGESHObVkzd8mRp5gTxIRJup2f
ZDk0N9S0V4J0hWktbZq9zZRG9qbsu/mG6QeMGqe0tooR9zbnp0bORZ0+sOa0d13RQKbMS9LO9tjh
rHv8tCQc1Z46GwlzR+1J0kNok/lA4BDxD0MDFmAX6ksshFnbFNtNQ1pEYDDAT+P5YY4j+yT7HipB
4HG8cpakieR76MTnVcSvrS1VxN9Pvvez14BAhHmwUGh67vRsqZntqqy+pAGnnGz1a9UOGIcAev7m
gSs+vq5HT4M/kKbmXSExKGmGJAr1+7rwriZnoXGj38kHJ4EOCpjAGGc/xr61krl1PmfVprbMw2Td
m33pF3F6gKawnYtsG6bqyjPcFQlzO3todnqhUuJWEO6KF2/WnpegdmME2tp6V82YP1tsWq1JEbgO
NmZJ8QQZHvcEVvIAGliLsvPCwmudTt2XJJx2Aw6GCNJ677D/dg3rYMAMHb+HdqXwQtFWfP51fFjx
0H//9bG8q3gGomCCzAmafZ+OKzFa+8AqSWKHg+5FvymuPq55/r7Uu5pnslpbTaPd7olKeVUhvJai
fTF0lryfv6UPSx5vYa6xlaBjWV7HDyXPSEET1TMlo6QWkPxsh/hJsMfykFl31fybq334rn642ruq
OMBnPET63O6b6srL7iBbtITbff6OPuxZfrjGu3vXy6dGqBzcYyXdzYCHS5nubyrFD++DHy7x7j5g
MRdPPCjbPQIc9pDDPK0GFDMFTIV11aMY+N+8I+lgk8W1J99vE/okGCwV0LgEdvSod+pgNb/zen7w
xUi2TAQ0cagtS6WfbwPORBDDE19Mah56ZDm6ce6QwfCP38dPFzF/vkjeG0Fuafpymg2+CqcT5Qab
/9sl3k0Vwq4yqmKmJ4mc+iwgYj4M67PPL/G7j2q5/374xQykC0M75hIkTCOwsrBmCEWoYPa7H8v3
0cS7vofPy8KZrdPTiffbqsTrl/1BT/eNhYvcl3Eiyj3sbxYKVyOCSzsjQrPwtAsRTdirkt6351Hb
qw4VuwtpNuojdsvuQetMiNEZysio/FpmmOLalkhQcKy/mX988NP78QXb78YFZkxvg6MLmsVY+pXd
33mN/M0+4+NP/38+E/vdjYqGp55iMpH3c5aXa9GVGJDHverJHP38a/7gYPzpvby7WWsUdqnsaDor
WsEBOQ2VDoZGIlPz2B/RgXx+uQ/flyVYtTLNcTk8fr6r9LafRKyn7b6rPd8lpj2X0YWozcfPL/PB
WAIPgrnsMTA5OO/R8rqqMjsuZLMPuvIpbr/kuJAbC2mSiwGsh70O0G9Of/PePjguf7yo9+62gNiS
K9ny3rT8eRa4a6bKvUZ48G1O/6nNH9Uxl/JMaKfw89l+//wx9kNdtl3N2KV3FMHAoQIykyWvnWt/
+/yDXI74979NCAjLWcmGQ7Ji/+kUSAJ4Y8GkF/tU1845ZB7rTDygUxIrI6xx1xTpYw6r7Teu6neI
Isdd3h97Dqb0Llpkhlk/X9aUTZ02Gue0roJT02xwUHbiyktE5NvWePCkOlsSykKzvBmlNm4+f9Mf
3KSgXx1p6ijI4cq+O12bFpcTKLuCLYS8qwMysIz+orbaw+eX+eV+MdGkuCYQMp0D7hcGbNSFBvFl
jGzNfFq5o0uP8oIXMy3+8WCJC6EXRgZvIAkAefHzp1kOY+21BNTuGyYtBsDDqSHYzXv9/O388qkt
V2HLyx1pQuJ4PxXOg9DT5o61it3UPvLgU6NrsZD+rmL86FNz8FBQyFGw88H9/Gb0uplqwuSHvVdm
N1pgE3LjNkcVBjro8/5/8RVxUPFkoiDhlnx3sTF2ZzBsTO8zyERAs1aWfTW0L9FQ/ubs+PDD8wTd
IGP8hWP87l1VQA/bwu33gaL5aBPt2atMb92lreZ//jX98vDia3KpfqCLge803h8dZqjVFsJt1vEp
U0wolA/aYP/jCe1yEdoH9qJ4L9h8/Px2lNe1tgRwvzfreFNR+86NXMmu9rP4NwfURx/cj1d69/xC
8GWO7HnYF3Wo29mBUCDgdCUgafP55/adEv7TUfj9PWFmIE2Pn+17iUEQOHo+YgsggFwgpuwjbdeD
lV9FBW7gsi4vWcLC5JVyWCW6cz4M0Vmi4fSya7hHZcVc7fMX9MvR/PPreS9EkKHVE2nb0NIQkRIk
RuN3fBprvSovBk+fNrXjHjOdp/nnl/3g98dBgoYLSh0GjkWP9WNd2OX6HMns+2FyFVWRnzqHEdYE
zNz/23WW1/FD/ek5gA0RPaKzGC/r5CFTb06fr9Cofn6ZX+ofE+mYzoCVRRair/cFiRcuad7fL+OR
qTDbNxbBEWh3TwvAOXZf/aau++DX99Pl3t2ulUZit1styqwcgEbw5jq/OYU/uCu4AKc9YimUbO+N
T23sBEzWrX7fiNSj3lkE7k5d7oMUNOZkPRSL9rrySEj+/HP86Lb4+7oQtH/+uoakrhXDK9qF7t7t
0+1Yu95KS1IysgH9fn6tDz9EA1kMQi0L+sq75xmBDvYQk1JCUUIqWALaDmK7XH9+kT9Pwnc/eNtA
UYQijA/UfL+K9jqcNbKkj5NAwFeuNt3kY76PSW/g5+wdMtXq+7wjc1oDKRiYybESwBpzJ5uQWoO7
6SsD8hmJFeFoaauuoOgUBWxYAjdiX2juBfvaeBMU0bxtLPbQQaLrmE2nzG+T4bmUebFrQQ5uJMNz
c2VH4wPDXYF1KSnWVdHGmy6biiuw63BMNaLewciz/u2c+Dyo4/QlTcPRT4NIW2lRj2quEDFbhKzw
NdvKTgFlXReVjX1hGLZqYgDVV0rCiDeee60XK60U0aFPa/ueImiJ6yn0re4YYut0rbvBiVAdAubg
fpWZpEmAKmkjrz4bzLnbepCCfR1LMQKO1mL1UthsI1rGuEVMPJMxFthSunqxFZFFN001CYOigpw6
ob127JtAOMHKA1C50adUP5eypKUjZmbGPIjvejwy/P3CnsL0CQ+2yJgTXziI4fVCdF97bRscp6lU
NyjAO8LgLfdIArOHFaAd75ICeCT6aQLcWFslh6qH9sRahy0Yha7vwGdVMzduN0/YkNz+wcrmGzD9
W0dBjKhA0669mDScdIEEKM/046r5MkbG74BNH55KlISUUYRYUg/8/GtyBx3YJG9lj0/qIo0KLEOa
ddl65BjG2UuT2s+f3+zmUsi8v9dtRqAu+selFX9XcM+58BqDofd+sDWJAQsvB404oVE6Om9NXZtz
Q/qWK67HPjhoor4LZ33ftT3bp15c2QyI1lWNtSNuB4wmnvMtoxZT0eD4+YzVvsgSpqkJvJq2fvv8
pf+aJMs0x+EQX9Q2bE3fD3GTJI9SA3LuXlYwMfLEZnnq8sKGSWWbwWPPVg7iGSgh8e4O6Bsvu5I2
mJHKcvI/+5b/OKMlz6l/L/9enNG3Ufkrn2/5a39rv+n62astvD1s0NzRfzmjxR/MrF0ckCj1dLRS
/6P9JvEDs7BAYGBZuFGXBNe/tN8kfniIQmhK+ZuoZblh/wGfj7Tfd/c/3eYidqOcYQJFa7E8Vn+o
NpqmAIgwAiGbNBYjpnK3SCiylabJ18QYiaHrDoFTvGEbvCoL68loKwCyZcrwPQ+2eiIPfTDeyxhk
ZVztY8e5JsN19vsi+VqZ5alq7Je8D+5TO+g2E9E8+0SH3xG6KgHEH8ygcupXY8TGFYEx0SMeKTGm
tFGwMXchaX2zvLT/mtsYLOsAuEMEkGerQaM/q1nVnhTc05fhRMi6zrbixK7s+YCVSbtLDDd6HIUH
gq3t4xtbht0BovS0ypwW+4im41nCKKpigtkpFDw3Ns/GqrO2g7VM/kMmy7KYXLVqx7bcYNf56gbN
WVJM+S7OCavrElxzdZkcXbO6igN1OShEToHTIVidLHVtAc0CUxKyw8dyGG1TLEengxmA3KzCM360
2IZ0dM6t3unHehjzS5hLam0La0e6G+bdsBlXXoJHBcNMjSbCti+6PCjBiNoJNAm4rgGn5NZ1h5DB
lbZ3MY9sPUHGE3wjeGmmjWEtr6+ENbj7pLLibW4bd1ml91se0fYKs3MJJdvg2Q1Jehdp4T22oG2T
q4MU6V3bxC+Nih7MKkDU3stNMGXdwYlYDY5qYEnZjtWud0iIc6R2TcpnvB76LDjzSBIEC74NbZBX
tgbiOIlvrMDe2Hmor5IxBqSbGddY8KYdoLp1qXk81pu1HZkPEqfUutMw5DviIcERs5nRnPtYjFO/
K84JVOpW1eKAYgy/azwmP5lox7VZICrKAmyqKH5OReLipkMSEHIUrlmUElVWkdUQFeRLDcnlCIC8
D4D1Nu0pFKE1eeuPjrLOQC9BSWuWEAMZ1n7qkhTcSvuhs6lASPw9M7IwWPd6QVhCWkCpL0ADda3v
KPPZHuYbOckHUqXigz3S9MVNcynxSmJEyu8EQ/G1I9JnrSK/Kk2tt4SFvlPlz8FcIfHDOGTq+c5T
kC5iKLQ0Nz4Grk1qxqfBzL9w5BezmTadIivAyTHWzaA8lKWz5G0UQNbJxVGlZzuAbtnWBiO8dbK4
9rE9lKscZe5G6MW1CI2v7Idu0Du/GbODarZXJ30auMiU4O+SZLfKC+8UHUePjTl/7OX4bUgRXEN3
LDD6Z1dRD2JmoJAisE8/7ZwwvRRWct4kRs1nXJ8o9jEPgsFUbEbxZmpITlDDQMlUSNxuLBrBE3kr
22huulhx1EzODIl3IkdjVF8KcizyErfu4DFhUxXJfV16PQ6h7TdFTsCWSLvtULIXqYIhOtEqx4Ft
BmbdUADDZeXUW/IhzoDzWCtuSV4MTk5w9ti69TFb9x6ckcbVUS/kst2xoM/vlAXYRMwl+K7QYDrq
cHOnThSdCrt5cVV6aJg8r1xe/XpUMKUiIo9ZdNonsRfhG+9EfZnr2JQz15jWSOOBJkehuUeaEa7S
kSF8ZRAUopPpEI3WVxIsuo2qUBLghDjkgFF3+GcvdE+9mWZZnkyFRylpeU+BC3nKqutbh9Wd75bZ
RViJ04pJ+Lqpu4tijNsV0C7fwB/vJxy0K9E691nWvk4xD39wdReawA+pT8i/C1G/lm6pr4VKAryM
4ObLFp/+3PV+iOt9nZmR2GH/LiEOBCQY1EW8G70aglCudjVxdno0XBdWubHbUVybuAaRb2BnCM2a
2LohvtBTwHV2jyfTsCDn49KUGJjno4j6a6Hl5kZbTBZuaW/dHsqbdCRmRbOhoQVH4AtMJetAxOUW
pNbXNjQmfiDpozCi4s+u5j8VygL8/fcVyr4nlexDeMvy9/4qUeQfoFYQ8FOlSGCzP5Qo9h8Iaxfa
h+7p4Eypnv9lT1tCyXRGg67E/bQgOigc/mVPo0RhobWU1FjdTCAk7j8pUcT3+dKPJTrTRzaXUixV
ysLoeFei6MA0E3Nwk2Nqm7hlkaG5oX2ZG7mJ27saeMIyX4N4am3SKjjVq4DGq1sBDNjU3WT4QcwW
gnpgF8T1aQJ/wJPZtiz7t6mAPT/Z1AkcwVVZfHGykvwg/SkAXtbzglZGMxf7oDFAjpAHhPWJxHdg
cpiLhzA+ZNFwrlXyPIr1q2GYmXzhx24LRc5pg32cefMpUSkI53qNwBtOhvY2mHmN8xluv84v+TFi
OdURNmTXTodn2HR5WGopObzwzPGvO3vQ+j6MV1BcYQGYxNo5vAiido56P60JCdoEHMftmK55FG81
29iMLs1jXvjzgIyR6LBdnnVvPM1dQGztk9b3+iqFkR/bYNU7Lz4b2hHneHVRG9EtO40HIhcvBnoE
6pdz3D1kqAsAhd6crIosPUUNeptZzt7Ob6vIXYeV589axXMz3ahJuyowIhcOX0NUXnWZ2BQ6dJAC
br8wdF8m4UGiNpcpOaj9rR43vlCavi6I9nHD5gl+vz949d6Olb1uTLzCTktkDOiQfS3wncMKC4Nx
m0X5VWfPt9P4BGCdMJ1i59DIS5DEc5Jvc134k6cdncQ6Eml1QYl9nHIiofpJ32XTSZiRYZ/FNPjq
NLetlylnuyLTQ65lj+Dw9tEIrdThfgCSrUilVNuZPEknnzZzWxzU1NyIEdagK44uoa7aPDxMaXvf
x95XJx+uKzIPpoB43MDdDXN9gJSDV30a2R5PzaacDsoYdgVktZyJXl9O226admwLQUaAYMn1W3hE
l25+r0f5zuI4Hrv8dRw6v3bJrW8HX7O+GpW3HYcG2eq4rx1B3O2talwKNzAMlQaLPVS7xMrPm+yt
RVka5+OxNZpzfZYnlIf4r+GaCSivE4pJHpKrZg4YiFO8DqLmCCd/qmcfqoJ7Me85MXZpGzFeJSF0
nrmjE6Sirzxq8gBDe2PuMqe7NIPWRw24F7l47TS569PyvIOsSHVGFQBLlbyAJ28gRiy1uR762lGC
2XMQcvItr0OjWKPe2sSNxrdSfB2G9LXhEToS/gK2uqQP0NdlX/iDW514zaE1tI0En+G5wZo57SXy
yNOxIM6AR2tuyRtTL6p1ECe3gCn4wSbJYcpDEofs9UiIWZtrONawbOrpEZkjsu0gI7HJW4eT5oP3
xr70rUVy58QWGNnR762Gptojvti6NLxbQSozCRc3vezPpBp2oYurfjzVEvOIwXsVa+mun6OjXkX7
EYeS6Q6nBUiaYn5RU3EdFs9LjVP3u5TRHQogHOM3dQXju7+1x3jtmQ9tFz2JgGirLlzXYYJNY9RX
9pShvPumOU9ieCbJgXCN5XdzUaImniMowjPTIZYAVTKg8vSClTHfOykqU9fbjKmTEpoqtkPcoHMG
Ok1+lTZ8RZu5Hd0z6Dcry9yJlHliVBxRi64FSWa9zTfuvDU9UJsoDPcddl0rComrHpG6xyBwrGI4
a+3oSgBj2YJnvsTBSXyDFx6q2rmz4Jku+czWajbMO011aJ+ral+X4Q4s6tkogiMwOMsn0gCCrJiH
k7YjdzCZxZWeutcqdnfhlNzGpXFmmoTOiNjV/B7XkjfSNDYAO1bEH92wwV/e2Pylln3rl1b6NITj
RWAF5FxAfT2aIwRGYac1SWfqcu4hWiiwsSP/O5guSwrdQMz4lK3byjsnpWHT6HIvSQ9b2SOZH8rg
vpCqpyzkJ9rOT7ABT3Jj/sL6lMAjyslVk3GQ6hmzO7ezlnknQmNvGladbPEtzuAtjQmkj96/Dnr0
3MbjaxS37VpPYSlAsT4iYG18Uoya4wyfdaszsVxHSWf/ubv4T/WzGOX+ffWDGj5iQNN/KX4d0Sx/
86/6x/2D9SO2KJ2tO5MVBjF/jWicP5ZsBf4Daz3BCOd/6h/D+AO/IyMaD9cC5vllU/+v+sfQ/+AP
Y4Mj8tBghMPg7h+MaH6ZiFrsZywWiljCDItR0c8DmqTh9+eFGThVhrTrRngng2Wdp93AuUA+fNSb
/yqV/23i6K8LP/zEix4JWgQg+1/288xly6ZE6ntwB2flMhPX68uB+Phc32v6MdYPrvnCCbaZOUxp
GKDV/maX8+fW5MeaD7UzJaRcSIJw+wht+vldmwOHnxU43r5WY7/GPsSURrZAdsH/Bl+sKrbvA8bm
d4JYw0NcAg/CU6vSTck2g+cUyrA1ifPyqfKAp/ee0RBKD2uknJliqDY98VoChJyqTr+G7cIgGobq
m+ycZUcgKqoJR61dQnM497PqVEESWKcaPoCyKOrOHxuT/UEaJDCOY8Dkt4mhD3dhNVTbAF23sNLb
RAU3zMpvWhVlF07YEL3UyGM26E/MF9qtnXpsJyr6SKfsmo1Z6q9tmJev5PgI3ywhZVPEkQromtqb
CvASFV28Hy2T7q1COcSESFY8b8gX2CkXMpgxM4apO61es0yX4Nt6gnms8V6UqQu7h4AFEluyr4Vo
s3OtncHGtYWxp0duuaPIfTSLvDnAtbrWdG40qSHaleoqCK1u3cUNgeiV3R5tc56ZX+V4La2OJYHB
YacDDnirg0I9xX3XXzDMBG9GbFQa5sPO1TOT4i1hKFLvKCbTGxJApmMnyOUrUqjW83RetosNmuJ3
VhJ0UTtPaMW9+6HMG7/tZyAsEs8NUm5Aoo1sXzm1b0wjRVpUS3/MeTFm4vEAc5S2wd0/7GAoAJst
mtcJtwckWBETUkhGvKkziU8TgPtRpAE6ZqAFvMp4GOf+OSKDeECQfogllhcmOIGfBcApEKvnfHzW
N61dTA1FNm/GHlZzpwEtUjnkaSDWghCq5jJQ6oZIQwLa9YKhiUZ9lHTamxRTfz8HMRHmXWBCtdVC
YN+e+9IFgkK5bPpLSMBOgx+HgFbg9OFlTZ7gPhxSNqUNafLF01zW3b0wCVJZebOYSW2ciL4VkHHA
t8U6AZJC3ukKgzww1Ifeqs/7WXuotfm6AmvMNKVzT/U0I4FyHMUqwSKz00P9MdUM+PBKnmREtu9V
aH4Z6OVx/2RAuL3kcXAcrAfQpmChxdHyvM730HCZGpnmi8wNZ90l1URCU92sUxDfK5E4ht9Rx69q
j0LY1OqX3C4gBITMRgZzIjlKK5e4xhBAl3OS6/GGtwNOSS+fQo/NSoqmxS4CcgWq8JCF4sYoQd+b
yviKXLqEbUh9E9rJtNEge43UhndNRbq9ETvRuYiWPETbAxufNEdcXAyLQ+88t0XrR9YcH4GAYcbR
qaVLiHZlQy6Tp593Rcph0AX9JiFkShZahIwC+teqzVwikXpHnsZFYp4QO8FoItKLu8qEJpQxsvaH
oCJidQ6aTT433VcB+2nTCzPewbc6VyYlsM25tQpH+0k3KnttaPD0SJPyh0TwBwySY6t5qveaxSqV
jD+mZLP1Ngj9Kjayzocut+juGY2EYLoKi0h7+GXEjEZnbhwX3I7EaDRV3e57PXqN5FRejKJ5zdKW
IatDK9ZITL1RaQR3pgh3XU4UVRYlT1U+YvMYacNCJOMrs2WIGLJQ5NVadzGGmrUwtX1v5/qz4dL9
7HsCx4BEu7DY2wbefif1JRP1MSqkh69tvMAVtyXCe2FaFcKXU/utq9jourHL11i55QvT2mxrRln0
JCeRvZmqF/cZela4wo63TntszhZxXuQJi9UUzxlXd5LdxFh+mzo6NqSxe2w1oNbZTMfQpeJrnnNf
hvV0U1R8CkkBipBp+YH9Hhzq8ZK92NfQsd5CN94U03TnuYzj52z40rNmLefy0YRI2LPBELW9JZJ8
Y6QBkYMNYRvBazNb+PwnS6xEke+DJfm1kSFReGqicao0OIieM6zrviOvs8D9YJgq9jNT7sl7hDHp
jm9T0J15XXhR5FjinK5NMMB1e9E49Mp0thmnaRQC7Jim7plM79uiUHtIhC+jC/YzkLTSffzEyM3c
pI1LU2JG1/hMkXHq2Z2W8TRy5vaK7/9urMJwJVwcImgmnxspCQOhPVzH6YzmSMSk+c3EY1TxrqPF
X2Es86s26lbkqZBXNo9bwxuwvqFoTEoAzgVjXlMshTgJBk5esJuv8lfijaqVq/BxgMfUwOK3l5rT
P9cWpfFYMy2Y3OSk4HyFbReet2MGQp8dJHQv7QBz7FuaBmsXjfPKcHIeodl9aIK/diTjBdhUkV8T
00NwBAzBGofmfqyIlRsiyGKqb4GU6Vntg8tcJS69MxoEz2M4OxXappQ1bPm5ezU14SQc6ZVk69Tm
txE/2ec2CNQmsXrvkChxIhUUyEHaxyyVK03xTWHw6Mp9kxDk0PfzOm+IMBeK4YPTVYRcV2W7bUvr
mEXN0R0INuA496GwMa9s2QkUafc1w6JSR9YzT9UFWxlejkZ44NR8iVzOrcoiGcq2Mzjp0RdL0p0S
RsEopL8XWoX5CNdebzbHKMGgx1rtJO3sdJMXxe0sa374WnIOJ46fcqnvY8E0JaM2oGe4RVk279Ce
sqTjyHIloZE/1MiXf1ZZ/1X0+SXxMl37///frztxC50hEjkdMy47QfvdEj7myRYHGMgOxALLVR3L
0lfBQChLFu/NSp93UdKcB7P+rSnlkwN1Nmj6izm70HvMr4yNXedS5elVS42xmq3R22IC1FcmY5d8
zpcYk/A+04r86vOX/UHZurxsaTOvtFyJQ//nmtEowd63ES/bqR/5sg5myLlN19mayXrK8xtVu/tW
mY/NIM9swI09EZyWO/6n1foXz4wl9L9vtfbll/9a2q1fGy2Hv/dXo8U4mT2zdFl2m0gJmeT+1Wix
C2c5zSCQqDjLWxbefw+aDcNEN7+I53WaKXqwvwfNlk5TBM/ke6eCAuIfNFp0etwgPzYdDJoZNS+c
buFyxe95aT/swgWwziTAkXysiHHAR1kW6yRv7sAQMSdtTrHHXU+WE2wz+Lpbza0ZikYsT1MKqjae
XrK+O5fpCDgygvHq5OZ5K8cHw0qPTC4eBENM+OjHTMzHJO/OiHA68VLme0Z8hqONDEYGUfF0PtRU
uiS5n2UeyRHhyKg1b74yjbaJjhTdyk5n4j+TeKfieYWC/EuuAG5mWnXRJWG1J1FlXuM5fowFaxoh
IsuvhdFRfCSn5Er5ojGKlWNm23jSLD+e+lfFxpE2JFibo76rOls/t+JYgU4cvrbFBE1KFQxIgu7B
wK+2rbPu61Q5t87Yj6slvvW2IJFir+eMK6NwOM/s5hSWCRHJNu0qKbYTcNbg0tRL41kbsNjOCXzH
muh626blqPKHIKrkhphTCJF2+zImhD93GYVlFc77cWoPk4spu57NWwaLb4SnvKq4ir4JJfBt0wZ/
6QicvBDxdAS21eJuSJz1VD8LhtMr1QTNui2ym0Ly/rRaP5vGaVNFjMBaArj4IoPHKtTAm2ZpCh63
YM8W4FqntVoiobuSQoAgzG9JqNE7EI6T6+2hytX1GGu3aeveWjY1AL3seTJUT4bZk7TpFvipB7Iw
KkjFdIchgNjoPEUpYeYs69qk2kOej1jxuQc9IEmKoSexWtF1T2AqnStEYQt25lBzybibzmhghm+z
pV2VwU3PkqGZ3LOMMgOD/84mDBrT1dEWJJTdWupSwOaNKmcXIJxicn/IpXkKwfQEFfKJ0sDyVgMj
qwscRH7Tzs+y1/1chr4VHKBBX0zxcFIb1Z0gbKiO6I+1E/c+zI0XgoZxwTHVIlRuTo50Sbs2u5Qe
/733855NoE546TdvmRPX62m8aLojweKyf5FvdnEIOncVmRvd2s7zg5OcltJPmpuoW+tya3t3k/ko
w2+OOjeaXV6EfphtkhdXLxjRvc5Y1mNrY4bHFlxo2DD8Y7zZEh9D0A9GvHTe19qmCy8dOvRqPRub
kuyHSr8VwK0t3LMRQFbX8QOCS7R1012G0Q3lb1c/mPc9owtC6fwpubKTE8uw6aVxwZ8Jolnq9hwM
70gUTwKtkEdwl1402WnD5r1alk1bw3xxmpvZYnkP6OiVjB/bee4GgmPNL205n1utSy7cSR29pg0L
qzH2kZZcyeHRCCU56dkuDQgiZJQr1U4HQ2qBYXDHYpPiA6Wv9w71oO+NTC59C1FCJNNW48qkszUB
R5jfEk+7NnAqU5Ctg6GjRQNVDYiWvuZigmoR6LZv0rx2VnZuDepqcJcKdDPaJ7UyyGpl7g7UnWiR
bYv/vycaKs5uVQebeVQOAhm8Ep7mPlV2tQbeuO2Mq2I8bb17Bu7UBqvRhCzWA5xtTjxLbWtVXbQe
qdboF1J79Ody9sm9WWeJd5IjdFzFqn/QO5fB9bQxNfYCOp/HHG2STCNKs4cyAVrZYZAzEVcQ+S08
cgS8fgGSoh0lWOljz5zUnJ9JTXsyKZyT0aMqpgxL2oeaX7xu7LXukW0Qwdkse9SZZEMA97hgl7Ab
psov3PNO7Hv2yuQwxumJmp8NR22zrAExEchDNm9TaW6rPtyYzXA+9QseVmuh/t4y4MHuVsMmmUrj
OpA3nSq2ytbUWhOnce5bxn+zdx69kWNpuv4rjbtngTw0hwTu3EWQDK9QyKe0IZSSkt57/vr7MLtr
yrTB9GKAWQzQm6wuqVIh8pzve+2TOr9P40NHV13+XBntMQksns01zdaiFV7ZwYNQfKLQmJxi8qe1
u+egeF4ILU+NmtSKyEVGhUq1Vr0oZiwei/LDSg7KGhpuneba7YzmXih+06BRmB51+s+wiBtEzpoe
aTMb7QJQMpOsk4VeHdZuSHDjIBVXKOIs1bNSdKRmLDuQwxdExC7imF1qtDMJUMMlz5DgRlXrbMj5
vw1b6cWa86Rb1Xci7B+rWDdJg5/9UQaPc1hekmox+NHywJvbbDxXYjSIZdC2fTt9pGEbUQPNJxUa
fbUpqiK7xBEV4ag6uFtqXeVM7dfFjnO1Rb5bTaTn2P1w04tSOaCqR7pkBcbOzOgkMPoYlWXA+8Ch
6bMVoBfRTeY2WMVULw+q2j+MQXJDPMk2YqqfVZonq1Umlq2CMbFKx+QqIptXORlbfeJpKMy0otmJ
VXKWoj0rVWvZRKscLV2FaZZI0322itVyQr4m1Gt0kp9zNfzurLK2RMp7XS/o9ETeqQ7PC6d6pijO
tkARN63d6swXrypaOQfNnKM3B2q0eBuMz0IlxiKo5LY2YeHMVd/ApPANJ9S8QaL2vS8rVFN6Tdj5
qovIVoXEPOgdq2ae7AkdMbeLHpzNVVERKs29icQCoZblip+qi5/6i1WJEU7RbbRqM/pVpcEhxNaz
Kjci0Edrstcjfpus2g6cnB9iVXs0q+4DnRFlmY2l70Z1pXxWfUg5WS65LgQ9rNoR1ngKU6PyU1t1
JWQpgD4iNZnbWmxyGMEQRBYXf8KYjy4F9IyvR6nSIllZhdo8YMYZDfYt7jPa1yaocCwc/D6d12VV
vuirBkaT/Xc1kI1XN/qRUNL00ofw4yn48GYUgUnYdzR7dI99nyPg77wum20rlVtHZ9o3o+ahTKt0
A3It/DnpLPQ/jQmBE9wyeD5qVvromLF5O2thxCksx29VAxS1LGHkU/0xXXuNXbQ3uRVGFmbykjP1
iNP8U8XSc4w6ol5mEp0yJNeukAo3cBydQSz29KQQFQ2QRP8e3DhsujBnCadkiyMbrFfkgAxKOyub
KenXBI/xq+qa6Upe87rM4UhLradYHa/2wGUp1yDvGPhnTQfSOocsfOdb4HBiTCP7HqktD3qlq7vE
VmimCxvDr6tUuJHZv8Rt4iPvqYC+nXeqLHvfHFXhWzWEr1VpL6WZrwwemjihDU9KRQBDG4jPPmJK
MqUS7/kAWmD2RKf2T3xoTIao/6fRLYF6/FyxaW3Xu2k7lmPlypmVdVFuR60UvhnP2l3Lrr9TSf/b
kTZPPNUYKceJcZWMqpAwlqalNISp8saojPyQ9U54y6ejYKWMvuOkFNxICQKG0vSzNnijvA3qTgyP
0nGmnWXSX7KkzpvdkQmqGPlTUdmUbRaxT3QtKeOGQ7a41e2riqVOHbn0YQtoS7SiDAgDSr4KkT/a
cOlqSNuAvjjW1lI4bhTqNoigmGDDp3KGrE+Yht7CjuCSJqMTLYPvdHrd5B4jaoW6d0hOW13Iw5Ec
u2bwDsyQbRfDENw3owrIhKaBaAHenWmpt2qn/1jAyA7LMD+pZDZtM2JAN2FnDV5XGteib4KHYGlB
NdLkSeuD7izC4o70mWkPovJWpljP7bwtt2pcFZ69LAzlkf0dSd/eQe12HnBwbNSWZ4UGMU9DcqaI
8VXOlJ2lU/kQ6EgkUyXkjLabEBGlVtFKPK7qEqI26MlwnvKML5Zro7uDe/i7mkXFiYZUQtindS7J
dK5pou83bduiM0gY3opIAKrQYfiMTDO4afLkCXj5wEOdXc1oeSeFJqUF2uj/5q77b6Axb9Cnlm35
o/u/6zf/KKu5icOo+39//GP71z+HX6X33r3/4Q/UAzBd3/VfzXz/BebNl/6VQFv/zf/q//mXr5/f
5XGuvv7j/7x/5nHhIfNDO9v9gzUZYu9frNfv8V8guIvwH3/hr/u19Qv5vIQo29heTci73/Zr6xdN
8A8Qm1PFji/w9/s1Tl8SoBxJkKsJ2fj7/ZpVXSW0m2vLQnRu/Tv7NWaKv9+vcaaTiKyRnriypn8E
aDCVIYphuTpODZ88PMBOr1Iu3TkXe3p4rpHRRtRVwq0pWjJ6HOHHqgd5yyqSXouiuOQN5z8Ro8Bz
gz17NazpS5hmnD/NnJOihmwbtdZX3tLYM4EFbyOFIchSDOtNw0q39il5vZVFK8+fuqM0a9dRo1Os
GJqPbuszV82r1ptvVG3i4ZlGUG/F+miSGLlimtVos6NjTMk1Nqj2jbbi+cacgtdC15Ga5YX0jBTG
Z5oa9M/L1QqD+96AssimbmKLqboL1h3osUkwt82g8SXDH2CV+KIh786Qab+nXh7Ht4O+zNEovApp
UNLGKdlO9EczNuWrdFN/gNXZUynB2lpWpFgHgLp9Y31I8qRsjhc3quVn1SDukQPTbZs2fibybtMZ
IMk6fiOQTSsvlw0dFUR3IXH2SK9CfjLIHWHSKJbYVDeL4bjsm986gHlKhxJkGtSop81lmmuk09Oe
nj76OqB8SMzkDwG1ezMLEXYhLNJbppsfocVCaMfLZ501oKbNg6VnT7rG8VLKt3YOX3TRvzK00QZa
5d/Zho5jhDhKz8xuZziL3JRU827qxLbcabKujBgUPgTtU2gahQ8KTHifql/n2LDv0sZBbtyjIFcy
m/LncjgCPAIyqDqq1nEuvaarP+ex5rFaNS/4tUvubOobazX1wsA4RnC4mzFK6Fo2k6+2RkLYET3s
K0S9b+Ko+5hbe/JpF0aAN5fDB8EbmMVUJMhVXjeboob1HGtR4kNtqeFsGLkjJ3uM7Op71jq3+UzL
RzQZFy2qbgGdsy3amjMPhcWCPjpuOdjxuQXZNRUqvvTJfKnbiR3Gih1SvixEJnXlUfpWAFR35IRM
3Y/BUKgNs9gDYGVCqVz0Oj0ZZX3XOXa9JaIO+eFAjltMt0z+rFXTVg80P7WGm6Yc3yElrhSST5vY
0K+9sOkcyh3VbSQ/oD5Dn+WNobq9JWCri/6o5f0RKQCkHxr87UisYTpPn3MDXUT4uYRGIo1JpejO
U8lH3IpFMuppd5A2jS8j5TtKxm86Wmw3mcyvYmnnXR/QUtYGyZvZKJ9OtXzMmfk8QkFsl5pgIgD4
j0CRNJO1p7Ib/FZVH5tW+5ZYWr2bJgifoFLtEz8G959ipx79oA+pzRUsjDH0lzmyoFRw4Zf1EF+n
vM2O6FVzt8uzdyJw6SGfTGdf8Sb7ZHClSIGk85oayWOqKbmPU+JcF4t6X9Lat+mlspYOL9TcNJ2+
ieqE+axmRJCEWtFEnSZbrv1Dz5XvsVu/LXEbQj2XAPu9XZ8GVX+CK0xpNGpgKVZOu8F/Uktmi3x0
KsrTWtTdY+BNs/JeaD2f+6iiCyoEVZkjVS7m9Mqwfhrq6G5Q64fQScFDKNVRUeTRc+NRquT1mdF5
8WpnMUaJZA4C0uck3sWoAZ1y2rHTIxuYnAsDNMwjksKRcQjwkiRbwCCivtRHKeNnYY1fYatRa1/w
FPD40LGk0uw5IXS06O/doG79CPvqYa5UVnbimDyDURwy3rhLnJnmzYiE87CjITuq2FcBU6kmLzre
EXvG1oCQs6dXdGLl9OkDM928zG+ZzF6l1p2aPLIQcKb7xUjvyaM4UxWF81MjAkaNQDy6d5Zv2MZV
kUob7shazgaJq2MVaQLbOXY+XHAAhWz23Rc24eXE5rBy0L1DCLH1iW4n/1/E/6+Iv80F/s9Hkl38
/pfze/z3A8n6Zb8OJPYva9YNpR+A9JiJfwf4S4pPgPqx1BNzjF7qPwcSzfgF+Tgx6KjHUaPjA/3P
gUQTvxBeTmzIb3Upv45lf+O1mOj+qc6J7Iw/DSTYdok7YfDBSakZpLz8cSAxcmHReVV1h8nslE0x
IDLEXz57Ys7qYxxS4IXUZa1LMik0pN8o7Lazwl7dmfFTS71SvPYs6THEYUH1Erk8pot7g/Dponox
qWeaqWnSg4aU6NW31OgTmtKmdokrzWk3Sq4RNU91RrVQHmGI7tYOqGQ2Nddcgtds7YcqhmFe249b
LkWcEvYskPDa+hMyzG1m0TCldjXE9No6ZYvmsuqzI1N97X72UgX5VbfWG6C3QujJpHjFExq6thr0
J7l2W+UlWHVC3VWy9l5ZPyuwSNiRN6T48a0pyKoETVnDRJM01Vl2Ylxx1J+ttVOr7GjXKn72bC3i
XVubt0R8o65NXJqIztPazSUHYpdLiET+4sGXpMDLocgrodALpczg5lR8tUn2nq+dXzFtc5vSrIXL
H7dqAfoZUxEmUlh/bL/NJlZD2+M0xNEj6RQLg751HWrGhN2y8FI8lq8NZNqq5dfliMkkVC6paqr7
qVEif9ZYOSdjcc0e0W9ErZnZZaq3BCGOAtKii7X7bBTkpxqYd33AVxqTiTAHNbVIu8z3g1o8DpSo
ISpicIjpVbPWhjVt7Vqr1ta1SiNetBnAK/DsmlgUpnCX0Li5iaismA2Qg56k7a1m4bqD4udUJQ4z
34bZcIxKcUmZ0f1Y67ujEaYDv1Ij3RbzlFLQF+DCTpxjTuYrEXQhhWskNq4/6eyNKUJUqeIVn6t8
sxTtFn5tAZnR3xaSyvd1l9ZuxGMNr+XQ0MB2mCEGayfzLpGwoW3d72WfHKwl+lysoD+EoZ5e2yRO
EdmO8xFV0cx1TMZqS//jMYhIgoG+W+suta+ZTdQjJtnecs8Kv8na8CaGlnG1hXVz0IZTTNQ82Y8x
SD+j+qqlbW7XaM49vfavEVk2X1NuIxtx8tEjpyGEzF+pGUN7GzIaPkcFdpZxjSDVlibtSpMhvYdm
5ypyuhkYO5mzC5QJGlM1CZQoExz8eZM6DSAoJphqbt/nzfK4xKQnp+3cu23TPYqsfyrtat44Bf84
sxgR8opmVAQmp47xFdSMlqymaMknbVe3W1a0XtcXjm/YyhH5KI2bBKF4hqPSQzto+7ianhzZ1dtR
TXZCli9W3auXpTcfZpmdwhgOxdS5lbFRoIuY+43ejdVukgwRCCIWj+cPBLynXhyBD5YvwSyuhHJC
bpMrnmbkptva6KmNLCNuN4wOUFsUmlXgdmbLxxcRIktsQHQbSnEpY9gXJPDbEWsoVhd5MX6q+zOG
7FhenGT8aoL2YTB0GjsCBIghm4mXztDxpTPfoKjTdvbIvO44AdEIKM0vTURvfFS0R6nVi9eKUB5w
/wg3CTQb/WORwbx1y1myiB1U0ND9YDiGPzVLfEsbBJBnUp37UXuGPT5l+UD4tfMYmz8Sa75n3jiz
Qm+6ZIhPmNU0HD0wGlYN4jeXoU0qdWB4ph0RStytSlPHvrUlobCxdArUPtQydpq9Fpza8UuSZRe+
5n2h5pw4BL0+pD1MTdPWiztGzWucjJM7ziEylRgpXmRmtjfEw6MtC5zzaz1k2d7kJgxWjjaNd3Si
iV4DAylU9jBRdI8jVwnXhIUVRe3JfCgbnsfxR9GIN3wZB7EwEY8gg01nfjD2cOTb+C0ouY7dYI53
7aLuujGk+y4ZD9EqW6e3YJOFC8E5JIeDwubfCgzCbrn0O5LCnuGCBa5CNk+qiY1tMAuk8Flxk07x
naZkJwK1L3SJUEmKk+awwK6heVl/myoafzJ4F7t7VMJ63wBo4p9oz0YnHqQOpmihX8sJD6+dQr0J
iuUW/3V2ivLmHbXlhJB9vFeElZwHx15clQThsS1elnZsNkkOJJzOQ+maFfsorb7AUjyj93FlTH47
OcThx6FxSnIGM7R03SP5tc2ZM15sKHEJ/Eaq+LUne19HAitNWEJw59XdxFtfkYS5GTTRerkD2lvM
t1le8di1Kp+SWrnRYAZ+Ce/j5oRz1kN5X5Rx5js1jMA0jG+EV2BvMWmNHDDWZA42U6ufgeyIR7LB
kePMZb0xYP0ag63GNHZ2rn8zSEUeIKccOlo3RtDNZ4I8SLgAEuM24OqxK8zBLDmj22d4JpXJNh/j
AQW/aVcvUT86+yW1OTGE8ISu8/JKyL9Rrxa/my2gNiRKXlEjPBO0rAaasanrxdkN5PRt66hv/CKT
cguQx6wc5y8zDZebpJJfZo8YVckbTGUYjUhvzgK/qrNLqHJkmUG0V3t0fXGXHecuYSG2W3HC2vCg
tnm06YbC8dJQEOmhqD17QZjvy3TtGB6MYSMsloM4Uo9J2cmNTmPjrido9ywlaRc8qo+zbQ3nXqaf
kTo155juSpRO8UtUsHumPflZ9A3Um7I1z32rNmS0hOKHNq/Sg6oibiUTMvtAKjEQeJ6hjp2z1KBY
NwyQWpvRbO7bTDWYsxKFl79RO3Xyx5QtyxXa1NMcXelERlcBEvd+vK3DtOIaLDjX9C+90cCF+1ZH
ZNoj5EyVu7wqdd8OildeEtVHTodhI6b9lyX6NaUTwpX2cNcE9cExqsqbO16wQVj8nPb8CKnCuVG/
DTlOwQJlLVno8cWpjZH3376GlnPXtPZtW6MvK2vzKZ8IMW/xQuV5dj818dEGlfDGMlddre7Ai1q+
BcZ4GrxXKCMdF/z5ldPtMxVooB/UF9pjHD/UCUTWfzYHdxmC9VYNtgVajwNjHrZ1ZmCfGCo03GV9
nMb4PYuWAzXXnavL6EsUwWdSDZdKZB9JoJ6mPPwyF+fJWlMr42r4nizOMxTBso9xyo82Aq0yGyYg
rLz0zIajDRP6c+AE27LS7y3zwFnpie4ciGHfoRbexLVgnZbjDpHZ0VBUi/yabKvJhdtCC6TXt9dI
J3GEkPWNkTdnQgKV5dTmlBXgc7ugZgn3VsRjVmbKcAjz7lVXIX5H1fZ0q7hp2hn/pc68a3M4NpeY
XGc+uiHHKsZ9m6dMWcqL4OKWpBRv5FQ1HsTxvrE5QiPnmfnII5oVknspnzujGtwu1GlYIxsV4CRh
E3VmKqGl3XpKYZ6dCLdPZQ6vU5Q6np4EP2BVoisB/JggPTMiNsWJmEemkl+6E5KiYxQQA71VvJhO
+wJQh9AFhngMBHRwMb87Wvtc2eP9AP+JWDD12gk731jZwSYdrBWNWBhIw1MPgw66ws2okbvsJGq+
b3GguAF7NVg7kxl/7wrpurimJrlVc4H2vUCiPWdiAruJj9XYJm8YAy5xaQXXhMuVecWK3LyH+ZrM
ZBek7YM6AFYmNoDM2PNqVEO7Za3RkB4ioegjWt5VEeq+GbH46kUL+hZP9LOq7ZMy5IYrzO5mANk5
aqmBsUn7ALq9rVpqRZJiiEmRXbJwzwmNsLdW5IHw+osui2wfs4HbmNsNbX7UbfVW5PGV0OSdU+OJ
DwTqADMbryrIsldPay36clMqaO5HxTpYCU5Zva5+/Nw//y164LHM+d8fYf6fO+FvHMDuq7y851/t
n/+lPzAF/5OogRWS/+d7uAcrgMnpvfoHmzhf+Osmbv7ys96TliSNYC8HQ82v0jvzF400GccQttRU
gqB/28TJmpFCyrWYEaM3atDfNnH1F003wPB5dm0A6X8rhYZ9/0+LONZyB6+4gfEIthTXzx8X8Qql
d6XpyrLPKtqPF7kcKQntpF/krQTprcEEdWF5sRjEWcEMuilmQYIMlQ+p26rttA2YSjCjQDsWi1If
bRQ0bu4wkI7p5LO/nIOGjvnA7t866O8D1oeC2m8hXa7Ji6h0YsaSMHWVXmdN6rNjr4bmERW6Acuu
Z7tFJ/NDZnngZlXHu1SIC/3Pe32oYg/7yTetsctjSFzrM+9gA+1g6HeizGgOX5wCNZaxixuWFAAS
/OBjvOakdKfRjK17imIukl0ROwkt34o9FDY3W9CFO6daIf44dbDTYqNAA4d14yViCfJbAUC7tTW+
sdsiYTk21Tjsq952HntT6UmNxviDQmYuhI0uocCrZXRKdIijXKFcTNFwLvYo5kodv0CLAwdi6LEX
SrklsuElXtTbWsyaL8PxrREzs3cTKIcWHTYuYdvD7MCqVpfaWacDiabJcAvCu6MriNYXBC4jirSu
Ho/lHO21AU0SLzsCNxaVkH5AVh5fFd1NJ1Z7sHVSxohUtDb4MQVsN/V8Tk0W5GVp0NLFwb3jkDGR
NYfcSQK/x+SPtwGZR2AX34qy1WO/7EDAi8Ist+AU6TUc0CJBjyVPTltHeDwgJvSpnPwJ9eJT3+ej
P5AjMhNo2mdc5T2fipVi5ETeouv2h0B3DgiD5dfBV39KYzO7JEjzAfgzfTOlFAIFa1V4H8PZcmT2
bhAB/6ZTlgIgwJZubBs4fnDMG7jS+C6gmZrzTotPaV9FhwUZ/7VeFHnB19A9KKVYbaaN6s15yu91
0tQz0W6xVzRL91g69UBuD0VZRYlSPFOAA0YCuA9zaT7ISmyD6IYuejeNgvhK2NF8M4LZX5Jwfbor
gRO8lWhj4kkomyBBGpTK5qODMtiZNeKLpp58aSdPsy3f7Rg5egIN6mZt/VIaJles4PoyivReqMSb
ESxkK8sVHioG5pfvQUD1eYH5cMOcj/M1cczdYhopJuTmG5rdfpsgkHxBGANMHttDhk2hZDtA8lPG
j6HIdJxnselWGUtkyMPKVILH6TUkz/avwvB/61r4p3zwH9jhf3x5/I+9FxyO0X9+L/w0v5JQVn78
/cWwfuWvFwNA7Jr+wdVO+YC9Wlx/vRisXwxNsymwtaUBIsvX/E2TDQ4rHBZQhxxKSGVyzX67GLRf
dFUDJQUeNFZbrPbvcMZSrl6D32uyAcsMoFnComkx1SztTzdDkafE6TKU7W3e/8ZJT+qgPCd24S/h
clun1TUuDYhgE8tftasMkmnIkEjr6jhoPTkMGOMwXbSMzS7/EirAfM9VdJ6m4j6b46NKkw83y/rU
BndjYt1Uw0DPSQxzUaMSsS1kmCWvuOy+xaH20DbakYvqDa4PB277mmv9fRkE72lj+RnzJ9Bke9MF
4xEVADGZAYqb6TkjrxEQmmad9lDX9mWsiy0Nmav5Ry82ylKcKfDZ4we5MRXiQabxIhhYudto7Vm+
unoqsHLi0+yVfqOgtoqSiMx67GvKfB3Z7xYSEPCrpxeUIPdE8n4tqvZVyTUaShZvTTZ87+gIiBV8
WqXqcZ6a6KYFgFnvy0puyHBEK1yLnZPY71h3LtoiWB9leyWYYs9n4uZovglqkzekkIO00PkkOyJj
QVWnMP9QqKnq9eyEkHU/daPvdMx/aUawWGQ+VYZ5hpWl4Srp6YdqKeVqW5ibEkGhlpSrRQkFbVAu
n2SVkNtiTDWnpToL6xTrFO/Uw9hzay0XuEJxMkb90gfY96LGfO7TUSVHIQw5/MfwpMyfWk/s50hi
qZ7Vnd/TA/7Iaj/u0gH9e7yq+TUNyLZaMoC52boLVXXwBqEgomtwOoVLLq/FTGyVNXFzl6TMeVLH
CipbZzhqUYcWsjBviMpFTGjl1456JTIOsmvNceerhEh4PEUtOLrj1hMsAkUoe4YYrwhstt4e3VRu
Yydt5EEr07chtg+cgIgt0XT3JoGq+VWV6qHhAoeANR874h/aCsGQXp/HRX0nzPMxUW2/TlDsxjxF
myrTvxvIN1erb+EVU8H9VsL8gj+7hfa0EI06Dcilnkm7OULXA9nkTOyl4XSeHJWXcC4V1OuYAwBE
ToQ8s6JLDZ7OQEPbZNNW1aJoE0UZoVTkaqlyjYmy7X0WOCeeU851kjQcEi2Wut4lCp80AJtU+yPx
VfiagqcyiPwA1VDFNRlmk9/hoJjC5dpIncDoMv4spzJCkm3TSmCSYQHO1UE4TKP6zUBGbFI7p4B7
mb3tdqVNpkl7MJ0RFLWmoAwdMsuhWR/qaLiDtbnRNAdENAYaMDgjJHJ3SrAfxrX4JgiKe8fojnaA
zGkZ+h11u4RnJaj0TRCICYMkUtpmgovsCU0zhnCjO9lemvkhTuGWs6TZW1ZsbOy6OQSrlI8cRCQR
eKMJCSrnayTr14RsGrcadXI3JzXxi0ZryeargRQC557OoWM2gQ2mckY3l6r3NVZL8sGnIq/2U1zf
qchisUHOR4xo3mDFp4oHAP5KR8HRvYjW3EWyOeA3RYZJ2IcRylPr8HerZ3FIDWLvtOBWaOUtJPuF
ApitpuJxqkOImYQZWFf1mzKiOLnT68dwbI6xsG7pVX4YqZpTKKwsx+JaMvYEVnErovaQ1N19oAYg
o2l/iEKiW8qy+Ew6Boc0TO+cKnxO1fhAceNnbslTEGlbK4iOwTDcQRrEO9uI74lz3y/FR2Ic9Tg5
E8dGfGAe7slUvBst5BZLj4cmijS4gDpH90I+3AjaAz9hHLJs+d4U5Us659cqqn4kffeK1/aCeuVJ
gbDaaLZz1TqTCav3a1U7Zk29z9XyiHzXq9PlfhDdR6NnN8DdJ/CBW5Qeh1XYwlJ/M9Tkl48LxovE
3pdZcjdMuCPpRYyZ81DqGvX4jD8a1BtXa2jBnznpdJ9ofKIk5D0Gq9DfmIq72g5/hPr8EUl5QRdK
FZ1mP5sJn6yISCSAlZ6Q/rvgfa9C5l884fiiNQceq9fem44jaaCMd6sKPox0oONkWGx4D7tfbSsR
JHaNGDhezNUINNnHqIjeVMQZO7XP0PJYuAKTgFQWarUemiIi2qYxXqMKP0821msICYkixC+7S6+c
EH8GD0VNKE0iDB5TfoW2c5N1y0UlwMoX1oQlOYG7FArNaeg4mO355dT6IUr5XiLNbgcpBvIlrbd6
kCeNz3bltr4tWnmXIDLYBLN1jceI1IIChDt51ycNcwsRzSC/WCXv5whptrbwE4U1uT6N0x6DrCVB
vSzvwtohfqjWPbzih2nK8PfYZ+Iw7E2/6qGLJnoMM/VQWxxKS3rPNnWANduTlHIKLdjUhlHSER3K
bCdFCCq/oaB/tItuO6RwWSn7TqnGR6OOGeRz+32o6mM3KVuJmKzfdSaZzLFePnWZ8tFZ7FvDrIGg
UmpeCeOh6QgS4KMJ/QJP2VUPy9yPsmJExRF/J6RZccGPDmUiDiHfxE35mydd/W1Cd0uhocCMTvhz
PcbqAzROVp1MqlI2uSauvMY7RKom+ZTz2lirH1q5j5PC46ddKo2YgW6nZNWn6PXbxUJ90vTNDa5Z
UL4IX2ahf4F+G1t7Wb1XToVmqwE6i/Qru9W+SJJPKgcvQkWIDhQnSrxjP0gr3zv9KFHLFNtmAWxK
agYFOGzPFAM2psK1i2rcMLSc0eV9oqv0ceYdp164i1kTvCkwfxMxafPfcBVU5Jt8GPdYnI8cdfdG
LT5mWe9IPQCTSkxujybxRbp0+8VK2l1odoi0jZshbA+EhkLizfs06D/sZHkrlSZyCWN5UEz8wiUC
GHxg6Q1yRtjHIOTrRsgQGXD04JCQenJYzPYlTTtscwBqgmL4Xt4r3Az492/jIDRJeYIY0OwY7ZbG
k83Z41oa6bQEhk2TfEyG8jAZvd+0RHlpfB6RwzwkuK3Dgp06BaIcApLgojOILJxH5IbGcNVks5u1
BHtRqZNkkGQOxwSYNz8f779q7SqUA24755ZrmeroTiYaKalHa6Nn0N6lgzJuaeJCR8PVpg/yPRzJ
xjJQDSL9Sn0HOdktyaf6hYDY7x2ysIPsBafTQtTaQ9YPh8GoSFXHQ75NlPxsLMu4jW0z3bUh0egi
sRR8OTU5YyztbjPzc3W5DiahFzdVQJaHVialH9lLcTs2vJ4ZnPqNnGhPb4kr39ZDX9/WdfBlMDDS
USQxRuSYFqtba3A+YgMSrlBr1c06uBUHl0AfI/JH+haycxaj/EwM/VRm1WNpG8EOP2cNhbEu7MlA
hveqVzKzDJF+aAM/1xOWNBNFd12REdtlgCxNPfOeZdqxzCv6I/m5RQjIMywMd1olXjqqEXzGRDD+
QWu2SSYGaCHZP0aNzHaFlqDf7urkOFr1l86A40ddle0ZGgGTVKYpCPRlb8/DZ9g1Pzgcbsc8uLM7
IgFFH19rtXqohjF048HeO0N9xDB3Y62e96z6hhe025SR/S0Mhve2qj/zyXoZsVI2mYI5c9aYaU2e
e7T9d2EPMqGmqVed846Sm8QPosDapixcniC55lBmGGGiqkNRQtQLXRnjXR3ML07ACEU2O1WKhql4
EkrUd7Lg3YjKwzC1vt2WqVs1xq63MBcF4T6uBz+T8cFZNPwqjMw96n0H3WLWOfvZaP7WJ/i/y/SK
Of6LZfr94y+Xf2hvXr/u11XaYvelOYnCIYlsSRAC/usqDfqqsijDDyOL/v0qTY4m3l3UTiogOdFT
f8zRJJYKFz6l2CtkS0D4n9RN/0rtRGjVn1ZpC4T3525uYKKWSJ7+CLJmU0itQx/mR7ULvE5ctUBc
qy7yRV9t6ZxyHdSJWcgEL/tr3nyFmX62g+nQo160uYq8yPwh2nnfGwZFyhnmxMRDw3WqBUa/3LgP
wpLgIWs7k8wRj3SJKMzAWn8uC3Lu2FurXkBvDReE+lg5vhsIKRvcQZGOPLlsDih+aGqucRBPmB4j
dLRa/9QpH+TzuyVhdqJoPIVUnLyPb0JBIElQUt5q80pWIKtLNEck9WCmShT13lS0c9xot0TTPIL4
ndMAIa7afFctJYeWmBRKzMPzsMo+/z9759XbRrJt4b8i3Pc2OoeHe4DDLIlKlGTLfmnQlqYDO7Bz
+PXnK0m0TIlyOCRw/XCJAQYzkqqa1VW7dlh7rUwAQFt6hCL61bnimhlUM9mMTMKyhgd06MQCG+qg
mAljz6dMI4wF6Hit2XBNhUhdW+BdXCoZJtZ60Cr5sNaak8KncGLJwGYEX0Qn2QZCvsUQ0olTq+7w
7l3WRC2wHkbrUwJb3XpZyCrFxT3kJIPEjVEigLPI0sF3r9t1iYA3EbtM4VBSj0vLuTfTbOoYJmKr
ZkNOlQJzrdIhDZFuuCInXDvnMiIAhaFdyQZ9fibvIrSRhSi5YYwQcUBgtdA+SXhkehKibV6vp3mJ
QgRc5rZHYBsTTQ3gGKKyJJ2alBALYnvwH1O5My2c+54KN2/NymU6R+HP0p1boJXUy4vb3Cpnfi0o
FaHQWa0RVl9DNmkn3l0WQFwEUfgyQYbcTVDlTrvioi3ce7tSJ0g3TaD1EGWiZe7eEYV9hLRpVPMF
QJgGF5LvTgtjjT/ha5+QiQCIHaunPf9OAiCeSshz+C6hpwOl0sCho4u49JKXfFKwUEFsp8DAKIqH
7jRx0hLQOzsr8qbgmKDhRr1I87QzeN5nrRqdreJ4KEnoTLb90K8w4WZjUZO1JoVcT5TORKNePq4V
mK5yvPyVRR+r7iHjUYF/aHNzuOrKeaB6KLZRlHcdg65uOnK8fJHDNhMGukITvjYOEuh90mZscvOF
JF9z8ttl1QxrJHZRQW9sIAfV5zCTUMaFhMODZVsQoLfwQ9FnndcTiBaGFYxfeu1cpKB+taqc5KU8
qrLgxqaOTw/WhYf/EVb9OCQfoPl3WIY5ekljyarPklih7mjfyE02NENplAK41nxSHln6oEET4/Sr
u4KzptT1VKOjmoaFeVPC+0XXEzQHxq1ZAnyAKdcuFIhlymlVZXwRiGYcUDBwtcT5ldvTcJbB8kpH
2kBy2mO40D+quX/bOisiTGeq2tKwDSwA04gqwVcm0c+rkfb3rRQPLoPz7K5RvtXl0rPcE9VTwCtD
WmoV5J5DMJIqDk9krhb0D6tOdyz55d3KpbbQAkJLo39SDfn4pIWlh9JsShyPAzDUvLPcbxdeyGaC
LzNnf1I28PGrTIjkYyW/d9JiXK4ijOJ1TB+T+6D2ouECl8O2g0Wp219WRNapDqTHXdcXRar6oxwk
YtpK7cBHGMs1oBCVcvtL47YQenv13ExsAObBIsmyfFRjN7p2XCmfraQDlWdcypo3ky0hK0/HVnJv
5fd2b82dCJ/FdUYI2YG6h74X6rs7MrajjtfjttlIcmdAXAYx4WUUENUKuH9VTi29Ou4V+Z/SAUzo
rudgnD4atC+vrlcdiJn1rdlHY1ORwDQRlKHD5yDAnRnkBaRprEMVZ9GlZvGVPfwxU4cCDqLUXjCm
SlCnSnUL5SxeKDlPC2pVibSKrurTtJbGlUZw56bRDerWPSopIbkK2UHuIR15ZTzPbfOyRd3dgMM1
h8sVPQMShKcJDK8WTK+4d1Bowv2aAcis4IIt4YQNLO8EEjcY99Mh55q3AqlRA6oqg012VZSCnADh
aHhmdZcm3NC9KGDfKiGiLSCk1SCmjSO66SGqXVnlpeZM6U/FWluYnftcw/2MsrlEhAAR1UlTxiKU
uZYRe49yemgxDwNFNug5AIlfKPKJ5qJUjb7RxC5QQ6/Vi9prIGIuBtEaHN9qDhXyMmkQqLcg17ej
ObxTs3rdWePUOcnifmG1Hg0v1f+j0FlVqF2cn6LQH6sc73TGib98cc0ck6qEoakqFEFCn2XjmuG0
aYpsWbhtSC8L8s9NlUP5gIwY/2iUBFC+s6mZPzPPKPIHSDl1AWrnx8Kj+yPXzGD6rSoH9W8ejucw
dGJCSurbrpkTdVJUBbI1qxBh0zMCDsqzx1GhLXRYFeMWvTSTfs2Q/O3AWdszMDXRqb6qm0ETkGgq
LLBjuaN8grbJHHhci+hVp4tKy4uJpyozRS7o8I3zRdX04djo2usiALaSdZ8q153B14hJNei7lozk
M51hD72H0kRWY7+CVhBBxNdRHAOBLAnksGQOpTpjIa/Nc7PNZ4R4t2UZ03ZOlrFAiK9TeAhnRacZ
3BnFgOv9uJI05Kxo2/PBs7dJS8KD3BS0jxCIq+iOROgYlnZZnelK486iPj7HZ0KFHZLiJFDn6LFU
M+j2YF50aKpxu9AahwACphQbEWbKv7p158zRPyA+Wyv2wtMxaJVWNbPGVFT6w+1x5TfV5bqqS1DV
dQjOrIrGMilvKCggnQM/Hk/QH72APNIcWSrYPrMjfSX3sTkAVYanqTvzSIr7oaXG2qjvIO+LYQsU
pAv/ZGZEobkEmagUt6XVfYEGDjoCezUhcqeU4/hnq0D9qGroZrkKmBu4PdeTIq5JCyXZdQbmfgZj
5wMNLNd4BBnmLF2PmqC4CoUOie/LA5ne7lGsapOojtupR9A8MF0Wxk3QWdcvvLibJj1c22oQ/kOH
/URytYmayeeBHJ8qkbxYS8YUj27keKvLZl1+Rp3t3C5BHTQ2sLqcC6g6NeHSX0ntpId0ktyhdE8X
xEwv3HOChBGQtI+NBxeEQ4q144uEvU8AKt26cTKTgQipMJENS0iSXQexMqlYgppfNLq5CIlQvXUw
q4lYoSeZrloY1cO+HOv1+tg3vK+2CHIVEe7WIvAFwtoOs64BRt1cBZ2fEKvE5aSRvGpaKWp3LENh
ggIa4XTvZFCnow+jE8a0RX/VBiB1dRGJg7HiJFjxhELmp5JgHc7oZVO7dysRxdtdfpchtuZl9ZlN
mB/YDnBS4n5kKK41EgHUuqNJS2qgIUXgkyqA1PneCo1uloosgsrs40BkFny704cQ6dn0YXbhCVyW
4Sgqgnhaukl9I/VgUSORqIACFeYKkbxQyWKE63U7wu8JhbQIieciOU/JeUgyN8oafBaEqyREXJEa
8eyS7F2ouBMlIpWpJ2YwcctcHYRCjLUXCZambHFpyblEHYGdzn3o58ldRCNfbHzyddBvJGk6mUxr
eRKTt8l94IqhSOVgKb8hQUe+SZpidppjPWgu1mR/TD3MLrrAOIZx41IW7JC2SBHFIlnUirQRArHJ
hV854E6DxB0GZJdIduWThBTiJBWpJzBkOI0iHbXS2gDtk+bEAOYHtGIWruJ2YIjElSanc0OTiokF
h8MAvPYx+kfZNeEAy+JXFBhWMj3pIh0GE2F2YYoUmV7QASaSZpatA43UJ9SBSVmKxFopUmyJZWVg
TOyznKI3ymySAUO5JU+g7la+VV6Ak6PkOAi9q+UD086tU8MJgaoCd4RhOWkCiLpzdxGuqtuwkImV
/OxbjpZCCpqOgs36FDoTkVcEAZe6xpkcVF8hs7qCueokM91FVnSXsu0fVy3EvCWs6mmToWPnmjhh
6o0iuecW7ClV5BDeQsbTaABgClv0IjfqvDdkfewXMXFB0HxqzeQyXyXgJvuEgLPRAEyvvfUAZIiO
AlTDKnrpFfQuULJY4bHnx7RmdBUxPOnQAZDTYGT17B/Yc24qeXVNP4Y0rP06mtQKJIPQr6Db4oSX
sHZB+1nifOu99lWS2s8U9r9oifmpi4o7WpIuujVpeDhwQkCLNPVpIY0Xa3gTBVKlpsOT/LVNyupM
lZG+qNG+ChUqwJUy7pzgqvXgEzJr9oNaR9lQ6njDdA+Pfcnguljn1hzosDPOmzhGBagD1BwB4V/J
Omz7ctkPA8HiRG8tUJcouVZs5cxR/AwYtaawcRIg7RUhA+wJZxWBOw2KEvJLvUHoXF6FLWyRrDPU
ixYMzpnaXsYFWbrO9oCAkb6cZW2ez/RUV0boK5JBzRR3rMDcBmN+cAvRQnwSkpS8DCMc87Y3zqkx
n9O11Q2MGh/D4Ciaqww4DTzBfWyf6LZ7oiRoLxhh3081qgGJV31ERvKr46yXIJAWKnlN6g2oIvgu
1Ln+bbIyv4Q5BUW6mhZ/jon8PwK/POcUdxImfM9ciZ8+ElHepG9YFX7rlzYpsd0DbTEwfAMZWAo+
By9ItxjhVUFxuZX8e3ykR/aHn40QLSGJqO4hd1A0UDSaAFHSnCg+DBgBzNz8WLY/qIZpqrBq/vj+
dj/0W8KJ91boD778L+gnhEv6OyvwapiXFUD1B9NkK6jX714B/GwHJ0DW/9IV0F+jqd7ZA++vAKqN
0G6QySVmePy82gP6BwOZAbYAekZPW4QV/+GU/Hdv+Xd2y9YmfvUFnjhKju/ZxI/xlvk6Ef7H66B+
ICTifgXV9PhhwK2zoH9QCHEscL5/51kwX0ecf7oCivMBThVThcxq91nQAWMbJnDrp7X+6/aATW1g
L2ugYO+AcdsypDI794DxwdLoh34Mdf/GU2DsuwLYQ/wdyG4pCT19Xp0C44OmQMpN7ecvPQWvuw7+
9BSwAqop0/pPUmXnCiA7x/6gBxvyIfH5/XX4jQPz3XkY+kF0/+hbBA/FD4ROv/yFzeX6doBncyps
pnAdtn5RkD09Df1kWMV//2vL5D6a/B9+uLkCHud5/vPnL/h26q25Nt9q8z9nwUO+zL/5hLeCver5
MUWzy//+j6hevtXCkQT7AbuQF7FBCYsneMNW9d0Y/GyKUfCQQAL9sOVbvcwgsnHv82H91gyzZXUE
78Q2DdZmBvDI+88gupCPQE1vgaa/z2AL0aB9v0N6xGs9OhMTDXlLmxHFbvo+kWDK2HciyDmYaVlt
Rtqe4ADve7hM2FFb8tcvX0AgzPddqeURe3czzvbj467uO/xouTo6f0Wp9vL82P99J3jKTb9CDXyf
gXL+3jNcIW3lvQEmvExxgO06WB4tgqUEGzJdZu9sJuMAu1W8jflytVmTrbdtHGQz0Qu+e/SDrNK3
o9PlTsOniNBq3610I0zrG8sHU73oz9h/eBRijwa7uHxEULTvsz+aVGAe3mYo8W6fYg1dNCjuaSVu
yIwnR48nYTPYDxMcYHFu8uWR+A47Rj/AvhfydFhR8X5n1cOOOQ5gJugO5bJBouHt8MLP3fsN+Nw0
5554D5vBXt6ASK0cZILd6hIHOVzL7o0NfdqfxgFMw3WaYNg2i/DDwhzgaF2n347YnruOlnEAd+vp
ernJt+zm88oc4OQ+317eLsNziCvlefxtF+L58Q9wqp6G370tzQMcK7zQ3dLd5gGOlBj8le/2tDKi
NL7veX2MNd5ZmAPs+nPPfzj69w5bIxI3ez/7Mj4a7bT2gh5u39HFNbj70Q9wUc2XhBa7DpNI6e39
5MLTxJZtRnoxZIdwZOdi1Xe6CALGuu+zn2KCAXpuBnp5dOsAm/1UXN1vXLOnw2Qd4P44ff/ytg5w
mGbCsf+86+YWrcD7rvwvZKH2dP1m+B2XvjhSrwPp5+U/wL4Xc7yDL7IOcInMcP52WhuRgt179Zfv
bUzBt7nv6Oz5nxCA7vlqf8Vqcojhz3fZSoHy2ndlRiJx8e6uFGWPfWcYYuoHO/0+5wD7Zrg8OtsO
9Z/Ok3MAc/mYFPmZJveeb/ZxfLybd2kPDjH+OwbhEXC47/jcJjf5jkBQUPbsu20GP29j2ffRGX0e
PFSb53y5Zw+RmRXPvvuapeC8mfK/T17/+71LHIr4X42+K1v/vbL7Noe/qdju+rPtAoX4jW/RwzL/
138AAAD//w==</cx:binary>
              </cx:geoCache>
            </cx:geography>
          </cx:layoutPr>
        </cx:series>
      </cx:plotAreaRegion>
    </cx:plotArea>
  </cx:chart>
  <cx:spPr>
    <a:solidFill>
      <a:schemeClr val="accent3">
        <a:lumMod val="20000"/>
        <a:lumOff val="80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_xlchart.v1.8</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phân khúc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44B1F502-565E-4B72-93D8-E184097FD9CB}">
          <cx:tx>
            <cx:txData>
              <cx:f>_xlchart.v1.7</cx:f>
              <cx:v>Giá trị</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solidFill>
      <a:schemeClr val="accent2">
        <a:lumMod val="90000"/>
      </a:schemeClr>
    </a:solid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_xlchart.v1.21</cx:f>
      </cx:strDim>
      <cx:numDim type="size">
        <cx:f>_xlchart.v1.23</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phân khúc</a:t>
          </a:r>
        </a:p>
      </cx:txPr>
    </cx:title>
    <cx:plotArea>
      <cx:plotAreaRegion>
        <cx:plotSurface>
          <cx:spPr>
            <a:ln>
              <a:noFill/>
            </a:ln>
          </cx:spPr>
        </cx:plotSurface>
        <cx:series layoutId="sunburst" uniqueId="{98ACF3F9-CA6F-481D-B69F-57C2147746D6}" formatIdx="0">
          <cx:tx>
            <cx:txData>
              <cx:f>_xlchart.v1.22</cx:f>
              <cx:v>Tỷ lệ Kênh</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_xlchart.v1.17</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nhóm SKU</a:t>
          </a:r>
        </a:p>
      </cx:txPr>
    </cx:title>
    <cx:plotArea>
      <cx:plotAreaRegion>
        <cx:plotSurface>
          <cx:spPr>
            <a:ln>
              <a:noFill/>
            </a:ln>
          </cx:spPr>
        </cx:plotSurface>
        <cx:series layoutId="sunburst" uniqueId="{83459BB3-D3D6-47DF-BDE0-3B7BCFD055A9}" formatIdx="0">
          <cx:tx>
            <cx:txData>
              <cx:f>_xlchart.v1.16</cx:f>
              <cx:v>Tỷ lệ NV</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_xlchart.v1.14</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phân khúc</a:t>
          </a:r>
        </a:p>
      </cx:txPr>
    </cx:title>
    <cx:plotArea>
      <cx:plotAreaRegion>
        <cx:plotSurface>
          <cx:spPr>
            <a:ln>
              <a:noFill/>
            </a:ln>
          </cx:spPr>
        </cx:plotSurface>
        <cx:series layoutId="sunburst" uniqueId="{11FA7273-ACC9-4A56-AE27-11BCD0BBC23D}" formatIdx="1">
          <cx:tx>
            <cx:txData>
              <cx:f>_xlchart.v1.14</cx:f>
              <cx:v>46% 54%</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size">
        <cx:f>_xlchart.v1.20</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nhóm SKU</a:t>
          </a:r>
        </a:p>
      </cx:txPr>
    </cx:title>
    <cx:plotArea>
      <cx:plotAreaRegion>
        <cx:plotSurface>
          <cx:spPr>
            <a:ln>
              <a:noFill/>
            </a:ln>
          </cx:spPr>
        </cx:plotSurface>
        <cx:series layoutId="sunburst" uniqueId="{087750AB-D410-4B03-A0A8-44E58D5F2A8C}" formatIdx="1">
          <cx:tx>
            <cx:txData>
              <cx:f>_xlchart.v1.19</cx:f>
              <cx:v>Tỷ lệ Kênh</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83227B6D-DF13-409F-B572-F25AF87ECB38}">
          <cx:dataLabels pos="inEnd">
            <cx:numFmt formatCode="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83227B6D-DF13-409F-B572-F25AF87ECB38}">
          <cx:dataLabels pos="inEnd">
            <cx:numFmt formatCode="0.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3" fmlaRange="$A$4:$A$8"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fmlaLink="$CV$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V$3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Radio" firstButton="1" fmlaLink="$BO$13"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fmlaLink="$BN$13"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fmlaLink="HDSD!$A$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Radio" checked="Checked" firstButton="1" fmlaLink="HDSD!$A$2"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Radio" checked="Checked" firstButton="1" fmlaLink="HDSD!$A$2"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Radio" checked="Checked" firstButton="1" fmlaLink="HDSD!$A$2"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Radio" checked="Checked" firstButton="1" fmlaLink="HDSD!$A$2"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HDSD!$A$2"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Radio" checked="Checked" firstButton="1" fmlaLink="HDSD!$A$2"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checked="Checked" firstButton="1" fmlaLink="HDSD!$A$2"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Radio" checked="Checked" firstButton="1" fmlaLink="HDSD!$A$2"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Radio" checked="Checked" firstButton="1" fmlaLink="HDSD!$A$2"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Radio" checked="Checked" firstButton="1" fmlaLink="HDSD!$A$2"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Radio" checked="Checked" firstButton="1" fmlaLink="HDSD!$A$2"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Radio" checked="Checked" firstButton="1" fmlaLink="HDSD!$A$2"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Radio" checked="Checked" firstButton="1" fmlaLink="HDSD!$A$2"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Radio"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Radio" checked="Checked" firstButton="1" fmlaLink="HDSD!$A$2"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Radio" lockText="1"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Radio" checked="Checked" firstButton="1" fmlaLink="HDSD!$A$2"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Radio" checked="Checked" firstButton="1" fmlaLink="HDSD!$A$2"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Radio" checked="Checked" firstButton="1" fmlaLink="HDSD!$A$2"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Radio" checked="Checked" firstButton="1" fmlaLink="HDSD!$A$2" lockText="1" noThreeD="1"/>
</file>

<file path=xl/ctrlProps/ctrlProp338.xml><?xml version="1.0" encoding="utf-8"?>
<formControlPr xmlns="http://schemas.microsoft.com/office/spreadsheetml/2009/9/main" objectType="Radio"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Radio" checked="Checked" firstButton="1" fmlaLink="HDSD!$A$2"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Radio"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Radio" checked="Checked" firstButton="1" fmlaLink="HDSD!$A$2"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Radio" checked="Checked" firstButton="1" fmlaLink="HDSD!$A$2"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Radio" lockText="1" noThreeD="1"/>
</file>

<file path=xl/ctrlProps/ctrlProp379.xml><?xml version="1.0" encoding="utf-8"?>
<formControlPr xmlns="http://schemas.microsoft.com/office/spreadsheetml/2009/9/main" objectType="GBox" noThreeD="1"/>
</file>

<file path=xl/ctrlProps/ctrlProp380.xml><?xml version="1.0" encoding="utf-8"?>
<formControlPr xmlns="http://schemas.microsoft.com/office/spreadsheetml/2009/9/main" objectType="GBox" noThreeD="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checked="Checked" firstButton="1" fmlaLink="HDSD!$A$2"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lockText="1" noThreeD="1"/>
</file>

<file path=xl/ctrlProps/ctrlProp393.xml><?xml version="1.0" encoding="utf-8"?>
<formControlPr xmlns="http://schemas.microsoft.com/office/spreadsheetml/2009/9/main" objectType="GBox"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Radio" checked="Checked" firstButton="1" fmlaLink="HDSD!$A$2"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Radio"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GBox" noThreeD="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Radio" checked="Checked" firstButton="1" fmlaLink="HDSD!$A$2"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GBox" noThreeD="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Radio" checked="Checked" firstButton="1" fmlaLink="HDSD!$A$2"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GBox"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Radio" checked="Checked" firstButton="1" fmlaLink="HDSD!$A$2"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GBox" noThreeD="1"/>
</file>

<file path=xl/ctrlProps/ctrlProp447.xml><?xml version="1.0" encoding="utf-8"?>
<formControlPr xmlns="http://schemas.microsoft.com/office/spreadsheetml/2009/9/main" objectType="GBox" noThreeD="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Radio" checked="Checked" firstButton="1" fmlaLink="HDSD!$A$2"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Radio" lockText="1" noThreeD="1"/>
</file>

<file path=xl/ctrlProps/ctrlProp458.xml><?xml version="1.0" encoding="utf-8"?>
<formControlPr xmlns="http://schemas.microsoft.com/office/spreadsheetml/2009/9/main" objectType="Radio" lockText="1" noThreeD="1"/>
</file>

<file path=xl/ctrlProps/ctrlProp459.xml><?xml version="1.0" encoding="utf-8"?>
<formControlPr xmlns="http://schemas.microsoft.com/office/spreadsheetml/2009/9/main" objectType="GBox" noThreeD="1"/>
</file>

<file path=xl/ctrlProps/ctrlProp460.xml><?xml version="1.0" encoding="utf-8"?>
<formControlPr xmlns="http://schemas.microsoft.com/office/spreadsheetml/2009/9/main" objectType="GBox" noThreeD="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Radio" checked="Checked" firstButton="1" fmlaLink="HDSD!$A$2" lockText="1" noThreeD="1"/>
</file>

<file path=xl/ctrlProps/ctrlProp478.xml><?xml version="1.0" encoding="utf-8"?>
<formControlPr xmlns="http://schemas.microsoft.com/office/spreadsheetml/2009/9/main" objectType="Radio" lockText="1" noThreeD="1"/>
</file>

<file path=xl/ctrlProps/ctrlProp479.xml><?xml version="1.0" encoding="utf-8"?>
<formControlPr xmlns="http://schemas.microsoft.com/office/spreadsheetml/2009/9/main" objectType="Radio" lockText="1" noThreeD="1"/>
</file>

<file path=xl/ctrlProps/ctrlProp480.xml><?xml version="1.0" encoding="utf-8"?>
<formControlPr xmlns="http://schemas.microsoft.com/office/spreadsheetml/2009/9/main" objectType="Radio" lockText="1" noThreeD="1"/>
</file>

<file path=xl/ctrlProps/ctrlProp481.xml><?xml version="1.0" encoding="utf-8"?>
<formControlPr xmlns="http://schemas.microsoft.com/office/spreadsheetml/2009/9/main" objectType="GBox" noThreeD="1"/>
</file>

<file path=xl/ctrlProps/ctrlProp482.xml><?xml version="1.0" encoding="utf-8"?>
<formControlPr xmlns="http://schemas.microsoft.com/office/spreadsheetml/2009/9/main" objectType="GBox" noThreeD="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Radio" checked="Checked" firstButton="1" fmlaLink="HDSD!$A$2" lockText="1" noThreeD="1"/>
</file>

<file path=xl/ctrlProps/ctrlProp492.xml><?xml version="1.0" encoding="utf-8"?>
<formControlPr xmlns="http://schemas.microsoft.com/office/spreadsheetml/2009/9/main" objectType="Radio" lockText="1" noThreeD="1"/>
</file>

<file path=xl/ctrlProps/ctrlProp493.xml><?xml version="1.0" encoding="utf-8"?>
<formControlPr xmlns="http://schemas.microsoft.com/office/spreadsheetml/2009/9/main" objectType="Radio" lockText="1" noThreeD="1"/>
</file>

<file path=xl/ctrlProps/ctrlProp494.xml><?xml version="1.0" encoding="utf-8"?>
<formControlPr xmlns="http://schemas.microsoft.com/office/spreadsheetml/2009/9/main" objectType="Radio" lockText="1" noThreeD="1"/>
</file>

<file path=xl/ctrlProps/ctrlProp495.xml><?xml version="1.0" encoding="utf-8"?>
<formControlPr xmlns="http://schemas.microsoft.com/office/spreadsheetml/2009/9/main" objectType="GBox" noThreeD="1"/>
</file>

<file path=xl/ctrlProps/ctrlProp496.xml><?xml version="1.0" encoding="utf-8"?>
<formControlPr xmlns="http://schemas.microsoft.com/office/spreadsheetml/2009/9/main" objectType="GBox" noThreeD="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Radio" checked="Checked" firstButton="1" fmlaLink="HDSD!$A$2" lockText="1" noThreeD="1"/>
</file>

<file path=xl/ctrlProps/ctrlProp517.xml><?xml version="1.0" encoding="utf-8"?>
<formControlPr xmlns="http://schemas.microsoft.com/office/spreadsheetml/2009/9/main" objectType="Radio" lockText="1" noThreeD="1"/>
</file>

<file path=xl/ctrlProps/ctrlProp518.xml><?xml version="1.0" encoding="utf-8"?>
<formControlPr xmlns="http://schemas.microsoft.com/office/spreadsheetml/2009/9/main" objectType="Radio" lockText="1" noThreeD="1"/>
</file>

<file path=xl/ctrlProps/ctrlProp519.xml><?xml version="1.0" encoding="utf-8"?>
<formControlPr xmlns="http://schemas.microsoft.com/office/spreadsheetml/2009/9/main" objectType="Radio" lockText="1" noThreeD="1"/>
</file>

<file path=xl/ctrlProps/ctrlProp520.xml><?xml version="1.0" encoding="utf-8"?>
<formControlPr xmlns="http://schemas.microsoft.com/office/spreadsheetml/2009/9/main" objectType="GBox" noThreeD="1"/>
</file>

<file path=xl/ctrlProps/ctrlProp521.xml><?xml version="1.0" encoding="utf-8"?>
<formControlPr xmlns="http://schemas.microsoft.com/office/spreadsheetml/2009/9/main" objectType="GBox" noThreeD="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Radio" checked="Checked" firstButton="1" fmlaLink="HDSD!$A$2" lockText="1" noThreeD="1"/>
</file>

<file path=xl/ctrlProps/ctrlProp530.xml><?xml version="1.0" encoding="utf-8"?>
<formControlPr xmlns="http://schemas.microsoft.com/office/spreadsheetml/2009/9/main" objectType="Radio" lockText="1" noThreeD="1"/>
</file>

<file path=xl/ctrlProps/ctrlProp531.xml><?xml version="1.0" encoding="utf-8"?>
<formControlPr xmlns="http://schemas.microsoft.com/office/spreadsheetml/2009/9/main" objectType="Radio" lockText="1" noThreeD="1"/>
</file>

<file path=xl/ctrlProps/ctrlProp532.xml><?xml version="1.0" encoding="utf-8"?>
<formControlPr xmlns="http://schemas.microsoft.com/office/spreadsheetml/2009/9/main" objectType="Radio" lockText="1" noThreeD="1"/>
</file>

<file path=xl/ctrlProps/ctrlProp533.xml><?xml version="1.0" encoding="utf-8"?>
<formControlPr xmlns="http://schemas.microsoft.com/office/spreadsheetml/2009/9/main" objectType="GBox" noThreeD="1"/>
</file>

<file path=xl/ctrlProps/ctrlProp534.xml><?xml version="1.0" encoding="utf-8"?>
<formControlPr xmlns="http://schemas.microsoft.com/office/spreadsheetml/2009/9/main" objectType="GBox" noThreeD="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Radio" checked="Checked" firstButton="1" fmlaLink="HDSD!$A$2" lockText="1" noThreeD="1"/>
</file>

<file path=xl/ctrlProps/ctrlProp544.xml><?xml version="1.0" encoding="utf-8"?>
<formControlPr xmlns="http://schemas.microsoft.com/office/spreadsheetml/2009/9/main" objectType="Radio" lockText="1" noThreeD="1"/>
</file>

<file path=xl/ctrlProps/ctrlProp545.xml><?xml version="1.0" encoding="utf-8"?>
<formControlPr xmlns="http://schemas.microsoft.com/office/spreadsheetml/2009/9/main" objectType="Radio" lockText="1" noThreeD="1"/>
</file>

<file path=xl/ctrlProps/ctrlProp546.xml><?xml version="1.0" encoding="utf-8"?>
<formControlPr xmlns="http://schemas.microsoft.com/office/spreadsheetml/2009/9/main" objectType="Radio" lockText="1" noThreeD="1"/>
</file>

<file path=xl/ctrlProps/ctrlProp547.xml><?xml version="1.0" encoding="utf-8"?>
<formControlPr xmlns="http://schemas.microsoft.com/office/spreadsheetml/2009/9/main" objectType="GBox" noThreeD="1"/>
</file>

<file path=xl/ctrlProps/ctrlProp548.xml><?xml version="1.0" encoding="utf-8"?>
<formControlPr xmlns="http://schemas.microsoft.com/office/spreadsheetml/2009/9/main" objectType="GBox" noThreeD="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Radio" checked="Checked" firstButton="1" fmlaLink="HDSD!$A$2" lockText="1" noThreeD="1"/>
</file>

<file path=xl/ctrlProps/ctrlProp557.xml><?xml version="1.0" encoding="utf-8"?>
<formControlPr xmlns="http://schemas.microsoft.com/office/spreadsheetml/2009/9/main" objectType="Radio" lockText="1" noThreeD="1"/>
</file>

<file path=xl/ctrlProps/ctrlProp558.xml><?xml version="1.0" encoding="utf-8"?>
<formControlPr xmlns="http://schemas.microsoft.com/office/spreadsheetml/2009/9/main" objectType="Radio" lockText="1" noThreeD="1"/>
</file>

<file path=xl/ctrlProps/ctrlProp559.xml><?xml version="1.0" encoding="utf-8"?>
<formControlPr xmlns="http://schemas.microsoft.com/office/spreadsheetml/2009/9/main" objectType="Radio" lockText="1" noThreeD="1"/>
</file>

<file path=xl/ctrlProps/ctrlProp560.xml><?xml version="1.0" encoding="utf-8"?>
<formControlPr xmlns="http://schemas.microsoft.com/office/spreadsheetml/2009/9/main" objectType="GBox" noThreeD="1"/>
</file>

<file path=xl/ctrlProps/ctrlProp561.xml><?xml version="1.0" encoding="utf-8"?>
<formControlPr xmlns="http://schemas.microsoft.com/office/spreadsheetml/2009/9/main" objectType="GBox" noThreeD="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Radio" checked="Checked" firstButton="1" fmlaLink="HDSD!$A$2" lockText="1" noThreeD="1"/>
</file>

<file path=xl/ctrlProps/ctrlProp570.xml><?xml version="1.0" encoding="utf-8"?>
<formControlPr xmlns="http://schemas.microsoft.com/office/spreadsheetml/2009/9/main" objectType="Radio" lockText="1" noThreeD="1"/>
</file>

<file path=xl/ctrlProps/ctrlProp571.xml><?xml version="1.0" encoding="utf-8"?>
<formControlPr xmlns="http://schemas.microsoft.com/office/spreadsheetml/2009/9/main" objectType="Radio" lockText="1" noThreeD="1"/>
</file>

<file path=xl/ctrlProps/ctrlProp572.xml><?xml version="1.0" encoding="utf-8"?>
<formControlPr xmlns="http://schemas.microsoft.com/office/spreadsheetml/2009/9/main" objectType="Radio" lockText="1" noThreeD="1"/>
</file>

<file path=xl/ctrlProps/ctrlProp573.xml><?xml version="1.0" encoding="utf-8"?>
<formControlPr xmlns="http://schemas.microsoft.com/office/spreadsheetml/2009/9/main" objectType="GBox" noThreeD="1"/>
</file>

<file path=xl/ctrlProps/ctrlProp574.xml><?xml version="1.0" encoding="utf-8"?>
<formControlPr xmlns="http://schemas.microsoft.com/office/spreadsheetml/2009/9/main" objectType="GBox" noThreeD="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Radio" checked="Checked" firstButton="1" fmlaLink="HDSD!$A$2" lockText="1" noThreeD="1"/>
</file>

<file path=xl/ctrlProps/ctrlProp583.xml><?xml version="1.0" encoding="utf-8"?>
<formControlPr xmlns="http://schemas.microsoft.com/office/spreadsheetml/2009/9/main" objectType="Radio" lockText="1" noThreeD="1"/>
</file>

<file path=xl/ctrlProps/ctrlProp584.xml><?xml version="1.0" encoding="utf-8"?>
<formControlPr xmlns="http://schemas.microsoft.com/office/spreadsheetml/2009/9/main" objectType="Radio" lockText="1" noThreeD="1"/>
</file>

<file path=xl/ctrlProps/ctrlProp585.xml><?xml version="1.0" encoding="utf-8"?>
<formControlPr xmlns="http://schemas.microsoft.com/office/spreadsheetml/2009/9/main" objectType="Radio" lockText="1" noThreeD="1"/>
</file>

<file path=xl/ctrlProps/ctrlProp586.xml><?xml version="1.0" encoding="utf-8"?>
<formControlPr xmlns="http://schemas.microsoft.com/office/spreadsheetml/2009/9/main" objectType="GBox" noThreeD="1"/>
</file>

<file path=xl/ctrlProps/ctrlProp587.xml><?xml version="1.0" encoding="utf-8"?>
<formControlPr xmlns="http://schemas.microsoft.com/office/spreadsheetml/2009/9/main" objectType="GBox" noThreeD="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Radio" checked="Checked" firstButton="1" fmlaLink="HDSD!$A$2" lockText="1" noThreeD="1"/>
</file>

<file path=xl/ctrlProps/ctrlProp598.xml><?xml version="1.0" encoding="utf-8"?>
<formControlPr xmlns="http://schemas.microsoft.com/office/spreadsheetml/2009/9/main" objectType="Radio" lockText="1" noThreeD="1"/>
</file>

<file path=xl/ctrlProps/ctrlProp599.xml><?xml version="1.0" encoding="utf-8"?>
<formControlPr xmlns="http://schemas.microsoft.com/office/spreadsheetml/2009/9/main" objectType="Radio" lockText="1" noThreeD="1"/>
</file>

<file path=xl/ctrlProps/ctrlProp600.xml><?xml version="1.0" encoding="utf-8"?>
<formControlPr xmlns="http://schemas.microsoft.com/office/spreadsheetml/2009/9/main" objectType="Radio" lockText="1" noThreeD="1"/>
</file>

<file path=xl/ctrlProps/ctrlProp601.xml><?xml version="1.0" encoding="utf-8"?>
<formControlPr xmlns="http://schemas.microsoft.com/office/spreadsheetml/2009/9/main" objectType="GBox" noThreeD="1"/>
</file>

<file path=xl/ctrlProps/ctrlProp602.xml><?xml version="1.0" encoding="utf-8"?>
<formControlPr xmlns="http://schemas.microsoft.com/office/spreadsheetml/2009/9/main" objectType="GBox" noThreeD="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Radio" checked="Checked" firstButton="1" fmlaLink="HDSD!$A$2" lockText="1" noThreeD="1"/>
</file>

<file path=xl/ctrlProps/ctrlProp609.xml><?xml version="1.0" encoding="utf-8"?>
<formControlPr xmlns="http://schemas.microsoft.com/office/spreadsheetml/2009/9/main" objectType="Radio" lockText="1" noThreeD="1"/>
</file>

<file path=xl/ctrlProps/ctrlProp610.xml><?xml version="1.0" encoding="utf-8"?>
<formControlPr xmlns="http://schemas.microsoft.com/office/spreadsheetml/2009/9/main" objectType="Radio" lockText="1" noThreeD="1"/>
</file>

<file path=xl/ctrlProps/ctrlProp611.xml><?xml version="1.0" encoding="utf-8"?>
<formControlPr xmlns="http://schemas.microsoft.com/office/spreadsheetml/2009/9/main" objectType="Radio" lockText="1" noThreeD="1"/>
</file>

<file path=xl/ctrlProps/ctrlProp612.xml><?xml version="1.0" encoding="utf-8"?>
<formControlPr xmlns="http://schemas.microsoft.com/office/spreadsheetml/2009/9/main" objectType="GBox" noThreeD="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Radio" checked="Checked" firstButton="1" fmlaLink="HDSD!$A$2" lockText="1" noThreeD="1"/>
</file>

<file path=xl/ctrlProps/ctrlProp622.xml><?xml version="1.0" encoding="utf-8"?>
<formControlPr xmlns="http://schemas.microsoft.com/office/spreadsheetml/2009/9/main" objectType="Radio" lockText="1" noThreeD="1"/>
</file>

<file path=xl/ctrlProps/ctrlProp623.xml><?xml version="1.0" encoding="utf-8"?>
<formControlPr xmlns="http://schemas.microsoft.com/office/spreadsheetml/2009/9/main" objectType="Radio" lockText="1" noThreeD="1"/>
</file>

<file path=xl/ctrlProps/ctrlProp624.xml><?xml version="1.0" encoding="utf-8"?>
<formControlPr xmlns="http://schemas.microsoft.com/office/spreadsheetml/2009/9/main" objectType="Radio"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Radio" checked="Checked" firstButton="1" fmlaLink="HDSD!$A$2" lockText="1" noThreeD="1"/>
</file>

<file path=xl/ctrlProps/ctrlProp635.xml><?xml version="1.0" encoding="utf-8"?>
<formControlPr xmlns="http://schemas.microsoft.com/office/spreadsheetml/2009/9/main" objectType="Radio" lockText="1" noThreeD="1"/>
</file>

<file path=xl/ctrlProps/ctrlProp636.xml><?xml version="1.0" encoding="utf-8"?>
<formControlPr xmlns="http://schemas.microsoft.com/office/spreadsheetml/2009/9/main" objectType="Radio" lockText="1" noThreeD="1"/>
</file>

<file path=xl/ctrlProps/ctrlProp637.xml><?xml version="1.0" encoding="utf-8"?>
<formControlPr xmlns="http://schemas.microsoft.com/office/spreadsheetml/2009/9/main" objectType="Radio" lockText="1"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GBox" noThreeD="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hyperlink" Target="#Sheet_NopNS!A1"/><Relationship Id="rId18" Type="http://schemas.openxmlformats.org/officeDocument/2006/relationships/hyperlink" Target="#Sheet_ThuChiKD!A1"/><Relationship Id="rId26" Type="http://schemas.openxmlformats.org/officeDocument/2006/relationships/hyperlink" Target="#Sheet_CauTruc!A1"/><Relationship Id="rId39" Type="http://schemas.openxmlformats.org/officeDocument/2006/relationships/hyperlink" Target="#Sheet_HoaHong!A1"/><Relationship Id="rId21" Type="http://schemas.openxmlformats.org/officeDocument/2006/relationships/hyperlink" Target="#Sheet_ChamCong!A1"/><Relationship Id="rId34" Type="http://schemas.openxmlformats.org/officeDocument/2006/relationships/hyperlink" Target="#Sheet_BaoCaoTaiChinh!A1"/><Relationship Id="rId42" Type="http://schemas.openxmlformats.org/officeDocument/2006/relationships/hyperlink" Target="#Dashboard_ChuongTrinh!A1"/><Relationship Id="rId7" Type="http://schemas.openxmlformats.org/officeDocument/2006/relationships/hyperlink" Target="#Sheet_DiemDatHang!A1"/><Relationship Id="rId2" Type="http://schemas.openxmlformats.org/officeDocument/2006/relationships/hyperlink" Target="#Sheet_DonMua!A1"/><Relationship Id="rId16" Type="http://schemas.openxmlformats.org/officeDocument/2006/relationships/hyperlink" Target="#Sheet_VayNo!A1"/><Relationship Id="rId29" Type="http://schemas.openxmlformats.org/officeDocument/2006/relationships/hyperlink" Target="#Sheet_DuPhongPhaiThu!A1"/><Relationship Id="rId1" Type="http://schemas.openxmlformats.org/officeDocument/2006/relationships/hyperlink" Target="#Sheet_Main!A1"/><Relationship Id="rId6" Type="http://schemas.openxmlformats.org/officeDocument/2006/relationships/hyperlink" Target="#Sheet_DoiTac!A1"/><Relationship Id="rId11" Type="http://schemas.openxmlformats.org/officeDocument/2006/relationships/hyperlink" Target="#Sheet_LaiVay!A1"/><Relationship Id="rId24" Type="http://schemas.openxmlformats.org/officeDocument/2006/relationships/hyperlink" Target="#Sheet_KhauHao!A1"/><Relationship Id="rId32" Type="http://schemas.openxmlformats.org/officeDocument/2006/relationships/hyperlink" Target="#Dashboard_BCQT!A1"/><Relationship Id="rId37" Type="http://schemas.openxmlformats.org/officeDocument/2006/relationships/hyperlink" Target="#Sheet_Kenh!A1"/><Relationship Id="rId40" Type="http://schemas.openxmlformats.org/officeDocument/2006/relationships/hyperlink" Target="#Dashboard_ThiTruong!A1"/><Relationship Id="rId45" Type="http://schemas.openxmlformats.org/officeDocument/2006/relationships/hyperlink" Target="#Code!A1"/><Relationship Id="rId5" Type="http://schemas.openxmlformats.org/officeDocument/2006/relationships/hyperlink" Target="#Sheet_SKU!A1"/><Relationship Id="rId15" Type="http://schemas.openxmlformats.org/officeDocument/2006/relationships/hyperlink" Target="#Sheet_CoDong!A1"/><Relationship Id="rId23" Type="http://schemas.openxmlformats.org/officeDocument/2006/relationships/hyperlink" Target="#Sheet_ChiPhiNV!A1"/><Relationship Id="rId28" Type="http://schemas.openxmlformats.org/officeDocument/2006/relationships/hyperlink" Target="#Sheet_VanDon!A1"/><Relationship Id="rId36" Type="http://schemas.openxmlformats.org/officeDocument/2006/relationships/hyperlink" Target="#Sheet_KhachHang!A1"/><Relationship Id="rId10" Type="http://schemas.openxmlformats.org/officeDocument/2006/relationships/hyperlink" Target="#Sheet_TonKho!A1"/><Relationship Id="rId19" Type="http://schemas.openxmlformats.org/officeDocument/2006/relationships/hyperlink" Target="#Sheet_ThuChiTC!A1"/><Relationship Id="rId31" Type="http://schemas.openxmlformats.org/officeDocument/2006/relationships/hyperlink" Target="#Sheet_PhaiTra!A1"/><Relationship Id="rId44" Type="http://schemas.openxmlformats.org/officeDocument/2006/relationships/hyperlink" Target="#Sheet_KHThanThiet!A1"/><Relationship Id="rId4" Type="http://schemas.openxmlformats.org/officeDocument/2006/relationships/hyperlink" Target="#Sheet_NguyenLieu!A1"/><Relationship Id="rId9" Type="http://schemas.openxmlformats.org/officeDocument/2006/relationships/hyperlink" Target="#Sheet_DuPhongTonKho!A1"/><Relationship Id="rId14" Type="http://schemas.openxmlformats.org/officeDocument/2006/relationships/hyperlink" Target="#Sheet_LaiKhac!A1"/><Relationship Id="rId22" Type="http://schemas.openxmlformats.org/officeDocument/2006/relationships/hyperlink" Target="#Sheet_KPIBanHang!A1"/><Relationship Id="rId27" Type="http://schemas.openxmlformats.org/officeDocument/2006/relationships/hyperlink" Target="#Sheet_TSCD!A1"/><Relationship Id="rId30" Type="http://schemas.openxmlformats.org/officeDocument/2006/relationships/hyperlink" Target="#Sheet_PhaiThu!A1"/><Relationship Id="rId35" Type="http://schemas.openxmlformats.org/officeDocument/2006/relationships/hyperlink" Target="#Sheet_DonBan!A1"/><Relationship Id="rId43" Type="http://schemas.openxmlformats.org/officeDocument/2006/relationships/hyperlink" Target="#Dashboard_KPI!A1"/><Relationship Id="rId8" Type="http://schemas.openxmlformats.org/officeDocument/2006/relationships/hyperlink" Target="#Sheet_KHTieuThu!A1"/><Relationship Id="rId3" Type="http://schemas.openxmlformats.org/officeDocument/2006/relationships/hyperlink" Target="#Sheet_Kho!A1"/><Relationship Id="rId12" Type="http://schemas.openxmlformats.org/officeDocument/2006/relationships/hyperlink" Target="#Sheet_PhaiThuDauTu!A1"/><Relationship Id="rId17" Type="http://schemas.openxmlformats.org/officeDocument/2006/relationships/hyperlink" Target="#Sheet_DauTu!A1"/><Relationship Id="rId25" Type="http://schemas.openxmlformats.org/officeDocument/2006/relationships/hyperlink" Target="#Sheet_ChiPhiKD!A1"/><Relationship Id="rId33" Type="http://schemas.openxmlformats.org/officeDocument/2006/relationships/hyperlink" Target="#Sheet_BaoCaoQuanTri!A1"/><Relationship Id="rId38" Type="http://schemas.openxmlformats.org/officeDocument/2006/relationships/hyperlink" Target="#Sheet_ChuongTrinh!A1"/><Relationship Id="rId46" Type="http://schemas.openxmlformats.org/officeDocument/2006/relationships/hyperlink" Target="#Sheet_NguonHang!A1"/><Relationship Id="rId20" Type="http://schemas.openxmlformats.org/officeDocument/2006/relationships/hyperlink" Target="#Sheet_TaiKhoan!A1"/><Relationship Id="rId41" Type="http://schemas.openxmlformats.org/officeDocument/2006/relationships/hyperlink" Target="#Dashboard_SanPham!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M&#7909;c l&#7909;c'!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M&#7909;c l&#7909;c'!A1"/><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2.xml"/><Relationship Id="rId5" Type="http://schemas.microsoft.com/office/2014/relationships/chartEx" Target="../charts/chartEx1.xml"/><Relationship Id="rId10"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1.xml"/><Relationship Id="rId7" Type="http://schemas.openxmlformats.org/officeDocument/2006/relationships/hyperlink" Target="#'M&#7909;c l&#7909;c'!A1"/><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4.xml"/><Relationship Id="rId5" Type="http://schemas.microsoft.com/office/2014/relationships/chartEx" Target="../charts/chartEx3.xml"/><Relationship Id="rId10" Type="http://schemas.openxmlformats.org/officeDocument/2006/relationships/image" Target="../media/image1.png"/><Relationship Id="rId4" Type="http://schemas.openxmlformats.org/officeDocument/2006/relationships/chart" Target="../charts/chart12.xml"/><Relationship Id="rId9" Type="http://schemas.openxmlformats.org/officeDocument/2006/relationships/image" Target="../media/image3.svg"/></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hyperlink" Target="#'M&#7909;c l&#7909;c'!A1"/><Relationship Id="rId18" Type="http://schemas.openxmlformats.org/officeDocument/2006/relationships/image" Target="../media/image1.png"/><Relationship Id="rId3" Type="http://schemas.openxmlformats.org/officeDocument/2006/relationships/chart" Target="../charts/chart15.xml"/><Relationship Id="rId7" Type="http://schemas.openxmlformats.org/officeDocument/2006/relationships/chart" Target="../charts/chart17.xml"/><Relationship Id="rId12" Type="http://schemas.microsoft.com/office/2014/relationships/chartEx" Target="../charts/chartEx8.xml"/><Relationship Id="rId17" Type="http://schemas.openxmlformats.org/officeDocument/2006/relationships/chart" Target="../charts/chart22.xml"/><Relationship Id="rId2" Type="http://schemas.openxmlformats.org/officeDocument/2006/relationships/chart" Target="../charts/chart14.xml"/><Relationship Id="rId16" Type="http://schemas.openxmlformats.org/officeDocument/2006/relationships/chart" Target="../charts/chart21.xml"/><Relationship Id="rId1" Type="http://schemas.openxmlformats.org/officeDocument/2006/relationships/chart" Target="../charts/chart13.xml"/><Relationship Id="rId6" Type="http://schemas.microsoft.com/office/2014/relationships/chartEx" Target="../charts/chartEx6.xml"/><Relationship Id="rId11" Type="http://schemas.microsoft.com/office/2014/relationships/chartEx" Target="../charts/chartEx7.xml"/><Relationship Id="rId5" Type="http://schemas.microsoft.com/office/2014/relationships/chartEx" Target="../charts/chartEx5.xml"/><Relationship Id="rId15" Type="http://schemas.openxmlformats.org/officeDocument/2006/relationships/image" Target="../media/image3.svg"/><Relationship Id="rId10" Type="http://schemas.openxmlformats.org/officeDocument/2006/relationships/chart" Target="../charts/chart20.xml"/><Relationship Id="rId4" Type="http://schemas.openxmlformats.org/officeDocument/2006/relationships/chart" Target="../charts/chart16.xml"/><Relationship Id="rId9" Type="http://schemas.openxmlformats.org/officeDocument/2006/relationships/chart" Target="../charts/chart19.xml"/><Relationship Id="rId1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microsoft.com/office/2014/relationships/chartEx" Target="../charts/chartEx10.xml"/><Relationship Id="rId3" Type="http://schemas.openxmlformats.org/officeDocument/2006/relationships/chart" Target="../charts/chart25.xml"/><Relationship Id="rId7" Type="http://schemas.microsoft.com/office/2014/relationships/chartEx" Target="../charts/chartEx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7909;c l&#7909;c'!A1"/><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2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33.xml"/><Relationship Id="rId4" Type="http://schemas.openxmlformats.org/officeDocument/2006/relationships/chart" Target="../charts/chart32.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7.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0.xml"/><Relationship Id="rId7" Type="http://schemas.openxmlformats.org/officeDocument/2006/relationships/image" Target="../media/image3.svg"/><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image" Target="../media/image2.png"/><Relationship Id="rId5" Type="http://schemas.openxmlformats.org/officeDocument/2006/relationships/hyperlink" Target="#Contents!A1"/><Relationship Id="rId4" Type="http://schemas.openxmlformats.org/officeDocument/2006/relationships/chart" Target="../charts/chart4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46.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2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7.xml"/></Relationships>
</file>

<file path=xl/drawings/_rels/drawing2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49.xml"/><Relationship Id="rId4" Type="http://schemas.openxmlformats.org/officeDocument/2006/relationships/chart" Target="../charts/chart48.xml"/></Relationships>
</file>

<file path=xl/drawings/_rels/drawing2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ontents!A1"/><Relationship Id="rId1" Type="http://schemas.openxmlformats.org/officeDocument/2006/relationships/image" Target="../media/image5.tmp"/><Relationship Id="rId4" Type="http://schemas.openxmlformats.org/officeDocument/2006/relationships/image" Target="../media/image3.svg"/></Relationships>
</file>

<file path=xl/drawings/_rels/drawing4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50.xml"/></Relationships>
</file>

<file path=xl/drawings/_rels/drawing4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5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4876801</xdr:colOff>
      <xdr:row>3</xdr:row>
      <xdr:rowOff>104775</xdr:rowOff>
    </xdr:from>
    <xdr:to>
      <xdr:col>14</xdr:col>
      <xdr:colOff>609601</xdr:colOff>
      <xdr:row>29</xdr:row>
      <xdr:rowOff>174811</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5686426" y="1285875"/>
          <a:ext cx="8991600" cy="6013636"/>
        </a:xfrm>
        <a:prstGeom prst="roundRect">
          <a:avLst>
            <a:gd name="adj" fmla="val 4014"/>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Sheet Nghiệp</a:t>
          </a:r>
          <a:r>
            <a:rPr lang="en-US" sz="1100" b="1" baseline="0">
              <a:solidFill>
                <a:sysClr val="windowText" lastClr="000000"/>
              </a:solidFill>
            </a:rPr>
            <a:t> vụ</a:t>
          </a:r>
          <a:endParaRPr lang="vi-VN" sz="1100" b="0">
            <a:solidFill>
              <a:sysClr val="windowText" lastClr="000000"/>
            </a:solidFill>
          </a:endParaRPr>
        </a:p>
      </xdr:txBody>
    </xdr:sp>
    <xdr:clientData/>
  </xdr:twoCellAnchor>
  <xdr:twoCellAnchor>
    <xdr:from>
      <xdr:col>1</xdr:col>
      <xdr:colOff>2181225</xdr:colOff>
      <xdr:row>3</xdr:row>
      <xdr:rowOff>104775</xdr:rowOff>
    </xdr:from>
    <xdr:to>
      <xdr:col>1</xdr:col>
      <xdr:colOff>4829175</xdr:colOff>
      <xdr:row>29</xdr:row>
      <xdr:rowOff>174811</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990850" y="1285875"/>
          <a:ext cx="2647950" cy="6013636"/>
        </a:xfrm>
        <a:prstGeom prst="roundRect">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Công</a:t>
          </a:r>
          <a:r>
            <a:rPr lang="en-US" sz="1100" b="1" baseline="0">
              <a:solidFill>
                <a:sysClr val="windowText" lastClr="000000"/>
              </a:solidFill>
            </a:rPr>
            <a:t> cụ</a:t>
          </a:r>
          <a:endParaRPr lang="vi-VN" sz="1100" b="0">
            <a:solidFill>
              <a:sysClr val="windowText" lastClr="000000"/>
            </a:solidFill>
          </a:endParaRPr>
        </a:p>
      </xdr:txBody>
    </xdr:sp>
    <xdr:clientData/>
  </xdr:twoCellAnchor>
  <xdr:twoCellAnchor>
    <xdr:from>
      <xdr:col>0</xdr:col>
      <xdr:colOff>257175</xdr:colOff>
      <xdr:row>3</xdr:row>
      <xdr:rowOff>103843</xdr:rowOff>
    </xdr:from>
    <xdr:to>
      <xdr:col>1</xdr:col>
      <xdr:colOff>2095500</xdr:colOff>
      <xdr:row>29</xdr:row>
      <xdr:rowOff>183238</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57175" y="1284943"/>
          <a:ext cx="2647950" cy="6022995"/>
        </a:xfrm>
        <a:prstGeom prst="roundRect">
          <a:avLst/>
        </a:prstGeom>
        <a:no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Chức</a:t>
          </a:r>
          <a:r>
            <a:rPr lang="en-US" sz="1100" b="1" baseline="0">
              <a:solidFill>
                <a:sysClr val="windowText" lastClr="000000"/>
              </a:solidFill>
            </a:rPr>
            <a:t> năng</a:t>
          </a:r>
          <a:endParaRPr lang="vi-VN" sz="1100" b="1">
            <a:solidFill>
              <a:sysClr val="windowText" lastClr="000000"/>
            </a:solidFill>
          </a:endParaRPr>
        </a:p>
      </xdr:txBody>
    </xdr:sp>
    <xdr:clientData/>
  </xdr:twoCellAnchor>
  <xdr:twoCellAnchor>
    <xdr:from>
      <xdr:col>0</xdr:col>
      <xdr:colOff>190500</xdr:colOff>
      <xdr:row>13</xdr:row>
      <xdr:rowOff>189476</xdr:rowOff>
    </xdr:from>
    <xdr:to>
      <xdr:col>15</xdr:col>
      <xdr:colOff>0</xdr:colOff>
      <xdr:row>17</xdr:row>
      <xdr:rowOff>206147</xdr:rowOff>
    </xdr:to>
    <xdr:grpSp>
      <xdr:nvGrpSpPr>
        <xdr:cNvPr id="126" name="Group 125">
          <a:extLst>
            <a:ext uri="{FF2B5EF4-FFF2-40B4-BE49-F238E27FC236}">
              <a16:creationId xmlns:a16="http://schemas.microsoft.com/office/drawing/2014/main" id="{00000000-0008-0000-0300-00007E000000}"/>
            </a:ext>
          </a:extLst>
        </xdr:cNvPr>
        <xdr:cNvGrpSpPr/>
      </xdr:nvGrpSpPr>
      <xdr:grpSpPr>
        <a:xfrm>
          <a:off x="190500" y="3656576"/>
          <a:ext cx="14563725" cy="931071"/>
          <a:chOff x="5772150" y="3459953"/>
          <a:chExt cx="14563725" cy="931071"/>
        </a:xfrm>
      </xdr:grpSpPr>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5772150" y="3459953"/>
            <a:ext cx="14563725" cy="93107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3_LuuKh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5967413" y="374927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bg1"/>
                </a:solidFill>
              </a:rPr>
              <a:t>Quản lý nhập hàng &amp; lưu kho</a:t>
            </a:r>
            <a:endParaRPr lang="vi-VN" sz="1100" b="0">
              <a:solidFill>
                <a:schemeClr val="bg1"/>
              </a:solidFill>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12467687" y="3715938"/>
            <a:ext cx="6592378" cy="419100"/>
            <a:chOff x="14077951" y="3496864"/>
            <a:chExt cx="6592378" cy="419100"/>
          </a:xfrm>
        </xdr:grpSpPr>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300-000025000000}"/>
                </a:ext>
              </a:extLst>
            </xdr:cNvPr>
            <xdr:cNvSpPr/>
          </xdr:nvSpPr>
          <xdr:spPr>
            <a:xfrm>
              <a:off x="14077951"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300-000026000000}"/>
                </a:ext>
              </a:extLst>
            </xdr:cNvPr>
            <xdr:cNvSpPr/>
          </xdr:nvSpPr>
          <xdr:spPr>
            <a:xfrm>
              <a:off x="15216427"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00000000-0008-0000-0300-000028000000}"/>
                </a:ext>
              </a:extLst>
            </xdr:cNvPr>
            <xdr:cNvSpPr/>
          </xdr:nvSpPr>
          <xdr:spPr>
            <a:xfrm>
              <a:off x="16354903"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Kho</a:t>
              </a:r>
              <a:endParaRPr lang="vi-VN" sz="800" b="1">
                <a:solidFill>
                  <a:sysClr val="windowText" lastClr="000000"/>
                </a:solidFill>
              </a:endParaRPr>
            </a:p>
          </xdr:txBody>
        </xdr:sp>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00000000-0008-0000-0300-000029000000}"/>
                </a:ext>
              </a:extLst>
            </xdr:cNvPr>
            <xdr:cNvSpPr/>
          </xdr:nvSpPr>
          <xdr:spPr>
            <a:xfrm>
              <a:off x="1749337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Nguyên</a:t>
              </a:r>
              <a:r>
                <a:rPr lang="en-US" sz="800" b="1" baseline="0">
                  <a:solidFill>
                    <a:sysClr val="windowText" lastClr="000000"/>
                  </a:solidFill>
                </a:rPr>
                <a:t> liệu</a:t>
              </a:r>
              <a:endParaRPr lang="en-US" sz="800" b="1">
                <a:solidFill>
                  <a:sysClr val="windowText" lastClr="000000"/>
                </a:solidFill>
              </a:endParaRPr>
            </a:p>
          </xdr:txBody>
        </xdr:sp>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00000000-0008-0000-0300-00002A000000}"/>
                </a:ext>
              </a:extLst>
            </xdr:cNvPr>
            <xdr:cNvSpPr/>
          </xdr:nvSpPr>
          <xdr:spPr>
            <a:xfrm>
              <a:off x="18631855"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0000000-0008-0000-0300-00002B000000}"/>
                </a:ext>
              </a:extLst>
            </xdr:cNvPr>
            <xdr:cNvSpPr/>
          </xdr:nvSpPr>
          <xdr:spPr>
            <a:xfrm>
              <a:off x="1977032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8643938" y="3482576"/>
            <a:ext cx="1662375" cy="885825"/>
            <a:chOff x="9329738" y="3477814"/>
            <a:chExt cx="1662375" cy="885825"/>
          </a:xfrm>
        </xdr:grpSpPr>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00000000-0008-0000-0300-00002E000000}"/>
                </a:ext>
              </a:extLst>
            </xdr:cNvPr>
            <xdr:cNvSpPr/>
          </xdr:nvSpPr>
          <xdr:spPr>
            <a:xfrm>
              <a:off x="9329738"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Điểm đặt hàng</a:t>
              </a:r>
              <a:endParaRPr lang="vi-VN" sz="800" b="1">
                <a:solidFill>
                  <a:sysClr val="windowText" lastClr="000000"/>
                </a:solidFill>
              </a:endParaRP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00000000-0008-0000-0300-00002F000000}"/>
                </a:ext>
              </a:extLst>
            </xdr:cNvPr>
            <xdr:cNvSpPr/>
          </xdr:nvSpPr>
          <xdr:spPr>
            <a:xfrm>
              <a:off x="10196513"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a:t>
              </a:r>
              <a:r>
                <a:rPr lang="en-US" sz="800" b="1" baseline="0">
                  <a:solidFill>
                    <a:sysClr val="windowText" lastClr="000000"/>
                  </a:solidFill>
                </a:rPr>
                <a:t>iêu thụ nguyên liệu</a:t>
              </a:r>
              <a:endParaRPr lang="vi-VN" sz="800" b="1">
                <a:solidFill>
                  <a:sysClr val="windowText" lastClr="000000"/>
                </a:solidFill>
              </a:endParaRP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00000000-0008-0000-0300-000030000000}"/>
                </a:ext>
              </a:extLst>
            </xdr:cNvPr>
            <xdr:cNvSpPr/>
          </xdr:nvSpPr>
          <xdr:spPr>
            <a:xfrm>
              <a:off x="9329738"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tồn kho</a:t>
              </a:r>
              <a:endParaRPr lang="vi-VN" sz="800" b="1">
                <a:solidFill>
                  <a:sysClr val="windowText" lastClr="000000"/>
                </a:solidFill>
              </a:endParaRPr>
            </a:p>
          </xdr:txBody>
        </xdr:sp>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0000000-0008-0000-0300-000031000000}"/>
                </a:ext>
              </a:extLst>
            </xdr:cNvPr>
            <xdr:cNvSpPr/>
          </xdr:nvSpPr>
          <xdr:spPr>
            <a:xfrm>
              <a:off x="10196513"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Quản</a:t>
              </a:r>
              <a:r>
                <a:rPr lang="en-US" sz="800" b="1" baseline="0">
                  <a:solidFill>
                    <a:sysClr val="windowText" lastClr="000000"/>
                  </a:solidFill>
                </a:rPr>
                <a:t> lý tồn kho</a:t>
              </a:r>
              <a:endParaRPr lang="vi-VN" sz="800" b="1">
                <a:solidFill>
                  <a:sysClr val="windowText" lastClr="000000"/>
                </a:solidFill>
              </a:endParaRPr>
            </a:p>
          </xdr:txBody>
        </xdr:sp>
      </xdr:grpSp>
    </xdr:grpSp>
    <xdr:clientData/>
  </xdr:twoCellAnchor>
  <xdr:twoCellAnchor>
    <xdr:from>
      <xdr:col>0</xdr:col>
      <xdr:colOff>190500</xdr:colOff>
      <xdr:row>25</xdr:row>
      <xdr:rowOff>33164</xdr:rowOff>
    </xdr:from>
    <xdr:to>
      <xdr:col>15</xdr:col>
      <xdr:colOff>0</xdr:colOff>
      <xdr:row>29</xdr:row>
      <xdr:rowOff>85165</xdr:rowOff>
    </xdr:to>
    <xdr:grpSp>
      <xdr:nvGrpSpPr>
        <xdr:cNvPr id="140" name="Group 139">
          <a:extLst>
            <a:ext uri="{FF2B5EF4-FFF2-40B4-BE49-F238E27FC236}">
              <a16:creationId xmlns:a16="http://schemas.microsoft.com/office/drawing/2014/main" id="{00000000-0008-0000-0300-00008C000000}"/>
            </a:ext>
          </a:extLst>
        </xdr:cNvPr>
        <xdr:cNvGrpSpPr/>
      </xdr:nvGrpSpPr>
      <xdr:grpSpPr>
        <a:xfrm>
          <a:off x="190500" y="6243464"/>
          <a:ext cx="14563725" cy="966401"/>
          <a:chOff x="5767107" y="5965558"/>
          <a:chExt cx="14516661" cy="948472"/>
        </a:xfrm>
      </xdr:grpSpPr>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67107" y="5965558"/>
            <a:ext cx="14516661" cy="948472"/>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6_TaiChinhKhac"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961739" y="6266597"/>
            <a:ext cx="2383049" cy="34639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Hoạt</a:t>
            </a:r>
            <a:r>
              <a:rPr lang="en-US" sz="1100" b="1" baseline="0">
                <a:solidFill>
                  <a:schemeClr val="bg1"/>
                </a:solidFill>
              </a:rPr>
              <a:t> động tài chính, thuế &amp; khác</a:t>
            </a:r>
            <a:endParaRPr lang="vi-VN" sz="1100" b="0">
              <a:solidFill>
                <a:schemeClr val="bg1"/>
              </a:solidFill>
            </a:endParaRPr>
          </a:p>
        </xdr:txBody>
      </xdr:sp>
      <xdr:grpSp>
        <xdr:nvGrpSpPr>
          <xdr:cNvPr id="139" name="Group 138">
            <a:extLst>
              <a:ext uri="{FF2B5EF4-FFF2-40B4-BE49-F238E27FC236}">
                <a16:creationId xmlns:a16="http://schemas.microsoft.com/office/drawing/2014/main" id="{00000000-0008-0000-0300-00008B000000}"/>
              </a:ext>
            </a:extLst>
          </xdr:cNvPr>
          <xdr:cNvGrpSpPr/>
        </xdr:nvGrpSpPr>
        <xdr:grpSpPr>
          <a:xfrm>
            <a:off x="8656798" y="6006102"/>
            <a:ext cx="2382637" cy="867384"/>
            <a:chOff x="8656798" y="6005841"/>
            <a:chExt cx="2382637" cy="867384"/>
          </a:xfrm>
        </xdr:grpSpPr>
        <xdr:sp macro="" textlink="">
          <xdr:nvSpPr>
            <xdr:cNvPr id="85" name="Rectangle: Rounded Corners 84">
              <a:hlinkClick xmlns:r="http://schemas.openxmlformats.org/officeDocument/2006/relationships" r:id="rId11"/>
              <a:extLst>
                <a:ext uri="{FF2B5EF4-FFF2-40B4-BE49-F238E27FC236}">
                  <a16:creationId xmlns:a16="http://schemas.microsoft.com/office/drawing/2014/main" id="{00000000-0008-0000-0300-000055000000}"/>
                </a:ext>
              </a:extLst>
            </xdr:cNvPr>
            <xdr:cNvSpPr/>
          </xdr:nvSpPr>
          <xdr:spPr>
            <a:xfrm>
              <a:off x="8656798" y="6021032"/>
              <a:ext cx="1120318" cy="408342"/>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Lịch</a:t>
              </a:r>
              <a:r>
                <a:rPr lang="en-US" sz="800" b="1" baseline="0">
                  <a:solidFill>
                    <a:sysClr val="windowText" lastClr="000000"/>
                  </a:solidFill>
                </a:rPr>
                <a:t> trả gốc &amp; lãi vay</a:t>
              </a:r>
              <a:endParaRPr lang="vi-VN" sz="800" b="1">
                <a:solidFill>
                  <a:sysClr val="windowText" lastClr="000000"/>
                </a:solidFill>
              </a:endParaRPr>
            </a:p>
          </xdr:txBody>
        </xdr:sp>
        <xdr:sp macro="" textlink="">
          <xdr:nvSpPr>
            <xdr:cNvPr id="95" name="Rectangle: Rounded Corners 94">
              <a:hlinkClick xmlns:r="http://schemas.openxmlformats.org/officeDocument/2006/relationships" r:id="rId12"/>
              <a:extLst>
                <a:ext uri="{FF2B5EF4-FFF2-40B4-BE49-F238E27FC236}">
                  <a16:creationId xmlns:a16="http://schemas.microsoft.com/office/drawing/2014/main" id="{00000000-0008-0000-0300-00005F000000}"/>
                </a:ext>
              </a:extLst>
            </xdr:cNvPr>
            <xdr:cNvSpPr/>
          </xdr:nvSpPr>
          <xdr:spPr>
            <a:xfrm>
              <a:off x="9919117" y="6005841"/>
              <a:ext cx="1120318" cy="41192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Lịch</a:t>
              </a:r>
              <a:r>
                <a:rPr lang="en-US" sz="800" b="1" baseline="0">
                  <a:solidFill>
                    <a:sysClr val="windowText" lastClr="000000"/>
                  </a:solidFill>
                </a:rPr>
                <a:t> nhận gốc &amp; lãi đầu tư tài chính</a:t>
              </a:r>
              <a:endParaRPr lang="vi-VN" sz="800" b="1">
                <a:solidFill>
                  <a:sysClr val="windowText" lastClr="000000"/>
                </a:solidFill>
              </a:endParaRPr>
            </a:p>
          </xdr:txBody>
        </xdr:sp>
        <xdr:sp macro="" textlink="">
          <xdr:nvSpPr>
            <xdr:cNvPr id="101" name="Rectangle: Rounded Corners 100">
              <a:hlinkClick xmlns:r="http://schemas.openxmlformats.org/officeDocument/2006/relationships" r:id="rId13"/>
              <a:extLst>
                <a:ext uri="{FF2B5EF4-FFF2-40B4-BE49-F238E27FC236}">
                  <a16:creationId xmlns:a16="http://schemas.microsoft.com/office/drawing/2014/main" id="{00000000-0008-0000-0300-000065000000}"/>
                </a:ext>
              </a:extLst>
            </xdr:cNvPr>
            <xdr:cNvSpPr/>
          </xdr:nvSpPr>
          <xdr:spPr>
            <a:xfrm>
              <a:off x="9317945" y="6464884"/>
              <a:ext cx="1120318" cy="40834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Tính</a:t>
              </a:r>
              <a:r>
                <a:rPr lang="en-US" sz="800" b="1" baseline="0">
                  <a:solidFill>
                    <a:sysClr val="windowText" lastClr="000000"/>
                  </a:solidFill>
                </a:rPr>
                <a:t> thuế &amp; phải nộp NSNN tự động</a:t>
              </a:r>
              <a:endParaRPr lang="vi-VN" sz="800" b="1">
                <a:solidFill>
                  <a:sysClr val="windowText" lastClr="000000"/>
                </a:solidFill>
              </a:endParaRPr>
            </a:p>
          </xdr:txBody>
        </xdr:sp>
      </xdr:grpSp>
      <xdr:grpSp>
        <xdr:nvGrpSpPr>
          <xdr:cNvPr id="138" name="Group 137">
            <a:extLst>
              <a:ext uri="{FF2B5EF4-FFF2-40B4-BE49-F238E27FC236}">
                <a16:creationId xmlns:a16="http://schemas.microsoft.com/office/drawing/2014/main" id="{00000000-0008-0000-0300-00008A000000}"/>
              </a:ext>
            </a:extLst>
          </xdr:cNvPr>
          <xdr:cNvGrpSpPr/>
        </xdr:nvGrpSpPr>
        <xdr:grpSpPr>
          <a:xfrm>
            <a:off x="11926438" y="6233830"/>
            <a:ext cx="7599797" cy="411929"/>
            <a:chOff x="11352936" y="6173931"/>
            <a:chExt cx="7599797" cy="411929"/>
          </a:xfrm>
        </xdr:grpSpPr>
        <xdr:sp macro="" textlink="">
          <xdr:nvSpPr>
            <xdr:cNvPr id="87" name="Rectangle: Rounded Corners 86">
              <a:hlinkClick xmlns:r="http://schemas.openxmlformats.org/officeDocument/2006/relationships" r:id="rId14"/>
              <a:extLst>
                <a:ext uri="{FF2B5EF4-FFF2-40B4-BE49-F238E27FC236}">
                  <a16:creationId xmlns:a16="http://schemas.microsoft.com/office/drawing/2014/main" id="{00000000-0008-0000-0300-000057000000}"/>
                </a:ext>
              </a:extLst>
            </xdr:cNvPr>
            <xdr:cNvSpPr/>
          </xdr:nvSpPr>
          <xdr:spPr>
            <a:xfrm>
              <a:off x="11352936"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Lãi khác</a:t>
              </a:r>
              <a:endParaRPr lang="vi-VN" sz="800" b="1">
                <a:solidFill>
                  <a:sysClr val="windowText" lastClr="000000"/>
                </a:solidFill>
              </a:endParaRPr>
            </a:p>
          </xdr:txBody>
        </xdr:sp>
        <xdr:sp macro="" textlink="">
          <xdr:nvSpPr>
            <xdr:cNvPr id="88" name="Rectangle: Rounded Corners 87">
              <a:hlinkClick xmlns:r="http://schemas.openxmlformats.org/officeDocument/2006/relationships" r:id="rId15"/>
              <a:extLst>
                <a:ext uri="{FF2B5EF4-FFF2-40B4-BE49-F238E27FC236}">
                  <a16:creationId xmlns:a16="http://schemas.microsoft.com/office/drawing/2014/main" id="{00000000-0008-0000-0300-000058000000}"/>
                </a:ext>
              </a:extLst>
            </xdr:cNvPr>
            <xdr:cNvSpPr/>
          </xdr:nvSpPr>
          <xdr:spPr>
            <a:xfrm>
              <a:off x="12470053"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Cổ</a:t>
              </a:r>
              <a:r>
                <a:rPr lang="en-US" sz="800" b="1" baseline="0">
                  <a:solidFill>
                    <a:sysClr val="windowText" lastClr="000000"/>
                  </a:solidFill>
                </a:rPr>
                <a:t> đông</a:t>
              </a:r>
              <a:endParaRPr lang="vi-VN" sz="800" b="1">
                <a:solidFill>
                  <a:sysClr val="windowText" lastClr="000000"/>
                </a:solidFill>
              </a:endParaRPr>
            </a:p>
          </xdr:txBody>
        </xdr:sp>
        <xdr:sp macro="" textlink="">
          <xdr:nvSpPr>
            <xdr:cNvPr id="89" name="Rectangle: Rounded Corners 88">
              <a:hlinkClick xmlns:r="http://schemas.openxmlformats.org/officeDocument/2006/relationships" r:id="rId16"/>
              <a:extLst>
                <a:ext uri="{FF2B5EF4-FFF2-40B4-BE49-F238E27FC236}">
                  <a16:creationId xmlns:a16="http://schemas.microsoft.com/office/drawing/2014/main" id="{00000000-0008-0000-0300-000059000000}"/>
                </a:ext>
              </a:extLst>
            </xdr:cNvPr>
            <xdr:cNvSpPr/>
          </xdr:nvSpPr>
          <xdr:spPr>
            <a:xfrm>
              <a:off x="13587170"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Vay nợ</a:t>
              </a:r>
              <a:endParaRPr lang="vi-VN" sz="800" b="1">
                <a:solidFill>
                  <a:sysClr val="windowText" lastClr="000000"/>
                </a:solidFill>
              </a:endParaRPr>
            </a:p>
          </xdr:txBody>
        </xdr:sp>
        <xdr:sp macro="" textlink="">
          <xdr:nvSpPr>
            <xdr:cNvPr id="99" name="Rectangle: Rounded Corners 98">
              <a:hlinkClick xmlns:r="http://schemas.openxmlformats.org/officeDocument/2006/relationships" r:id="rId17"/>
              <a:extLst>
                <a:ext uri="{FF2B5EF4-FFF2-40B4-BE49-F238E27FC236}">
                  <a16:creationId xmlns:a16="http://schemas.microsoft.com/office/drawing/2014/main" id="{00000000-0008-0000-0300-000063000000}"/>
                </a:ext>
              </a:extLst>
            </xdr:cNvPr>
            <xdr:cNvSpPr/>
          </xdr:nvSpPr>
          <xdr:spPr>
            <a:xfrm>
              <a:off x="14704287" y="6173931"/>
              <a:ext cx="897092" cy="411928"/>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Đầu</a:t>
              </a:r>
              <a:r>
                <a:rPr lang="en-US" sz="800" b="1" baseline="0">
                  <a:solidFill>
                    <a:sysClr val="windowText" lastClr="000000"/>
                  </a:solidFill>
                </a:rPr>
                <a:t> tư</a:t>
              </a:r>
              <a:endParaRPr lang="vi-VN" sz="800" b="1">
                <a:solidFill>
                  <a:sysClr val="windowText" lastClr="000000"/>
                </a:solidFill>
              </a:endParaRPr>
            </a:p>
          </xdr:txBody>
        </xdr:sp>
        <xdr:sp macro="" textlink="">
          <xdr:nvSpPr>
            <xdr:cNvPr id="135" name="Rectangle: Rounded Corners 134">
              <a:hlinkClick xmlns:r="http://schemas.openxmlformats.org/officeDocument/2006/relationships" r:id="rId18"/>
              <a:extLst>
                <a:ext uri="{FF2B5EF4-FFF2-40B4-BE49-F238E27FC236}">
                  <a16:creationId xmlns:a16="http://schemas.microsoft.com/office/drawing/2014/main" id="{00000000-0008-0000-0300-000087000000}"/>
                </a:ext>
              </a:extLst>
            </xdr:cNvPr>
            <xdr:cNvSpPr/>
          </xdr:nvSpPr>
          <xdr:spPr>
            <a:xfrm>
              <a:off x="15821405"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36" name="Rectangle: Rounded Corners 135">
              <a:hlinkClick xmlns:r="http://schemas.openxmlformats.org/officeDocument/2006/relationships" r:id="rId19"/>
              <a:extLst>
                <a:ext uri="{FF2B5EF4-FFF2-40B4-BE49-F238E27FC236}">
                  <a16:creationId xmlns:a16="http://schemas.microsoft.com/office/drawing/2014/main" id="{00000000-0008-0000-0300-000088000000}"/>
                </a:ext>
              </a:extLst>
            </xdr:cNvPr>
            <xdr:cNvSpPr/>
          </xdr:nvSpPr>
          <xdr:spPr>
            <a:xfrm>
              <a:off x="16938523"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37" name="Rectangle: Rounded Corners 136">
              <a:hlinkClick xmlns:r="http://schemas.openxmlformats.org/officeDocument/2006/relationships" r:id="rId20"/>
              <a:extLst>
                <a:ext uri="{FF2B5EF4-FFF2-40B4-BE49-F238E27FC236}">
                  <a16:creationId xmlns:a16="http://schemas.microsoft.com/office/drawing/2014/main" id="{00000000-0008-0000-0300-000089000000}"/>
                </a:ext>
              </a:extLst>
            </xdr:cNvPr>
            <xdr:cNvSpPr/>
          </xdr:nvSpPr>
          <xdr:spPr>
            <a:xfrm>
              <a:off x="18055641"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clientData/>
  </xdr:twoCellAnchor>
  <xdr:twoCellAnchor>
    <xdr:from>
      <xdr:col>0</xdr:col>
      <xdr:colOff>190500</xdr:colOff>
      <xdr:row>18</xdr:row>
      <xdr:rowOff>34185</xdr:rowOff>
    </xdr:from>
    <xdr:to>
      <xdr:col>15</xdr:col>
      <xdr:colOff>0</xdr:colOff>
      <xdr:row>22</xdr:row>
      <xdr:rowOff>81811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90500" y="4644285"/>
          <a:ext cx="14563725" cy="962026"/>
          <a:chOff x="6267450" y="4453785"/>
          <a:chExt cx="14563725" cy="962026"/>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267450" y="4453785"/>
            <a:ext cx="14563725" cy="96202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4_ChiPhiKD"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6462713" y="475858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chi phí kinh doanh</a:t>
            </a:r>
            <a:endParaRPr lang="vi-VN" sz="1100" b="0">
              <a:solidFill>
                <a:schemeClr val="bg1"/>
              </a:solidFill>
            </a:endParaRPr>
          </a:p>
        </xdr:txBody>
      </xdr:sp>
      <xdr:grpSp>
        <xdr:nvGrpSpPr>
          <xdr:cNvPr id="121" name="Group 120">
            <a:extLst>
              <a:ext uri="{FF2B5EF4-FFF2-40B4-BE49-F238E27FC236}">
                <a16:creationId xmlns:a16="http://schemas.microsoft.com/office/drawing/2014/main" id="{00000000-0008-0000-0300-000079000000}"/>
              </a:ext>
            </a:extLst>
          </xdr:cNvPr>
          <xdr:cNvGrpSpPr/>
        </xdr:nvGrpSpPr>
        <xdr:grpSpPr>
          <a:xfrm>
            <a:off x="9215438" y="4501411"/>
            <a:ext cx="2352675" cy="866775"/>
            <a:chOff x="9401176" y="4487464"/>
            <a:chExt cx="2352675" cy="866775"/>
          </a:xfrm>
        </xdr:grpSpPr>
        <xdr:sp macro="" textlink="">
          <xdr:nvSpPr>
            <xdr:cNvPr id="61" name="Rectangle: Rounded Corners 60">
              <a:hlinkClick xmlns:r="http://schemas.openxmlformats.org/officeDocument/2006/relationships" r:id="rId21"/>
              <a:extLst>
                <a:ext uri="{FF2B5EF4-FFF2-40B4-BE49-F238E27FC236}">
                  <a16:creationId xmlns:a16="http://schemas.microsoft.com/office/drawing/2014/main" id="{00000000-0008-0000-0300-00003D000000}"/>
                </a:ext>
              </a:extLst>
            </xdr:cNvPr>
            <xdr:cNvSpPr/>
          </xdr:nvSpPr>
          <xdr:spPr>
            <a:xfrm>
              <a:off x="9401176"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hấm công &amp; chi phí nhân sự tự động</a:t>
              </a:r>
              <a:endParaRPr lang="vi-VN" sz="800" b="1">
                <a:solidFill>
                  <a:sysClr val="windowText" lastClr="000000"/>
                </a:solidFill>
              </a:endParaRPr>
            </a:p>
          </xdr:txBody>
        </xdr:sp>
        <xdr:sp macro="" textlink="">
          <xdr:nvSpPr>
            <xdr:cNvPr id="62" name="Rectangle: Rounded Corners 61">
              <a:hlinkClick xmlns:r="http://schemas.openxmlformats.org/officeDocument/2006/relationships" r:id="rId22"/>
              <a:extLst>
                <a:ext uri="{FF2B5EF4-FFF2-40B4-BE49-F238E27FC236}">
                  <a16:creationId xmlns:a16="http://schemas.microsoft.com/office/drawing/2014/main" id="{00000000-0008-0000-0300-00003E000000}"/>
                </a:ext>
              </a:extLst>
            </xdr:cNvPr>
            <xdr:cNvSpPr/>
          </xdr:nvSpPr>
          <xdr:spPr>
            <a:xfrm>
              <a:off x="10629901"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Chi phí</a:t>
              </a:r>
              <a:r>
                <a:rPr lang="en-US" sz="800" b="1" baseline="0">
                  <a:solidFill>
                    <a:sysClr val="windowText" lastClr="000000"/>
                  </a:solidFill>
                </a:rPr>
                <a:t> thưởng tự động</a:t>
              </a:r>
              <a:endParaRPr lang="vi-VN" sz="800" b="1">
                <a:solidFill>
                  <a:sysClr val="windowText" lastClr="000000"/>
                </a:solidFill>
              </a:endParaRPr>
            </a:p>
          </xdr:txBody>
        </xdr:sp>
        <xdr:sp macro="" textlink="">
          <xdr:nvSpPr>
            <xdr:cNvPr id="63" name="Rectangle: Rounded Corners 62">
              <a:hlinkClick xmlns:r="http://schemas.openxmlformats.org/officeDocument/2006/relationships" r:id="rId23"/>
              <a:extLst>
                <a:ext uri="{FF2B5EF4-FFF2-40B4-BE49-F238E27FC236}">
                  <a16:creationId xmlns:a16="http://schemas.microsoft.com/office/drawing/2014/main" id="{00000000-0008-0000-0300-00003F000000}"/>
                </a:ext>
              </a:extLst>
            </xdr:cNvPr>
            <xdr:cNvSpPr/>
          </xdr:nvSpPr>
          <xdr:spPr>
            <a:xfrm>
              <a:off x="9401176"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Phải</a:t>
              </a:r>
              <a:r>
                <a:rPr lang="en-US" sz="800" b="1" baseline="0">
                  <a:solidFill>
                    <a:sysClr val="windowText" lastClr="000000"/>
                  </a:solidFill>
                </a:rPr>
                <a:t> trả nhân sự, thuế &amp; bảo hiểm</a:t>
              </a:r>
              <a:endParaRPr lang="vi-VN" sz="800" b="1">
                <a:solidFill>
                  <a:sysClr val="windowText" lastClr="000000"/>
                </a:solidFill>
              </a:endParaRPr>
            </a:p>
          </xdr:txBody>
        </xdr:sp>
        <xdr:sp macro="" textlink="">
          <xdr:nvSpPr>
            <xdr:cNvPr id="64" name="Rectangle: Rounded Corners 63">
              <a:hlinkClick xmlns:r="http://schemas.openxmlformats.org/officeDocument/2006/relationships" r:id="rId24"/>
              <a:extLst>
                <a:ext uri="{FF2B5EF4-FFF2-40B4-BE49-F238E27FC236}">
                  <a16:creationId xmlns:a16="http://schemas.microsoft.com/office/drawing/2014/main" id="{00000000-0008-0000-0300-000040000000}"/>
                </a:ext>
              </a:extLst>
            </xdr:cNvPr>
            <xdr:cNvSpPr/>
          </xdr:nvSpPr>
          <xdr:spPr>
            <a:xfrm>
              <a:off x="10629901"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hi phí khấu hao tự động</a:t>
              </a:r>
              <a:endParaRPr lang="vi-VN" sz="800" b="1">
                <a:solidFill>
                  <a:sysClr val="windowText" lastClr="000000"/>
                </a:solidFill>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12420515" y="4732216"/>
            <a:ext cx="7881234" cy="419100"/>
            <a:chOff x="12420515" y="4732216"/>
            <a:chExt cx="7881234" cy="419100"/>
          </a:xfrm>
        </xdr:grpSpPr>
        <xdr:sp macro="" textlink="">
          <xdr:nvSpPr>
            <xdr:cNvPr id="71" name="Rectangle: Rounded Corners 70">
              <a:hlinkClick xmlns:r="http://schemas.openxmlformats.org/officeDocument/2006/relationships" r:id="rId25"/>
              <a:extLst>
                <a:ext uri="{FF2B5EF4-FFF2-40B4-BE49-F238E27FC236}">
                  <a16:creationId xmlns:a16="http://schemas.microsoft.com/office/drawing/2014/main" id="{00000000-0008-0000-0300-000047000000}"/>
                </a:ext>
              </a:extLst>
            </xdr:cNvPr>
            <xdr:cNvSpPr/>
          </xdr:nvSpPr>
          <xdr:spPr>
            <a:xfrm>
              <a:off x="12420515"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Chi phí</a:t>
              </a:r>
              <a:r>
                <a:rPr lang="en-US" sz="800" b="1" baseline="0">
                  <a:solidFill>
                    <a:sysClr val="windowText" lastClr="000000"/>
                  </a:solidFill>
                </a:rPr>
                <a:t> Kinh doanh</a:t>
              </a:r>
              <a:endParaRPr lang="vi-VN" sz="800" b="1">
                <a:solidFill>
                  <a:sysClr val="windowText" lastClr="000000"/>
                </a:solidFill>
              </a:endParaRPr>
            </a:p>
          </xdr:txBody>
        </xdr:sp>
        <xdr:sp macro="" textlink="">
          <xdr:nvSpPr>
            <xdr:cNvPr id="73" name="Rectangle: Rounded Corners 72">
              <a:hlinkClick xmlns:r="http://schemas.openxmlformats.org/officeDocument/2006/relationships" r:id="rId1"/>
              <a:extLst>
                <a:ext uri="{FF2B5EF4-FFF2-40B4-BE49-F238E27FC236}">
                  <a16:creationId xmlns:a16="http://schemas.microsoft.com/office/drawing/2014/main" id="{00000000-0008-0000-0300-000049000000}"/>
                </a:ext>
              </a:extLst>
            </xdr:cNvPr>
            <xdr:cNvSpPr/>
          </xdr:nvSpPr>
          <xdr:spPr>
            <a:xfrm>
              <a:off x="13584054"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Main</a:t>
              </a:r>
            </a:p>
          </xdr:txBody>
        </xdr:sp>
        <xdr:sp macro="" textlink="">
          <xdr:nvSpPr>
            <xdr:cNvPr id="79" name="Rectangle: Rounded Corners 78">
              <a:hlinkClick xmlns:r="http://schemas.openxmlformats.org/officeDocument/2006/relationships" r:id="rId26"/>
              <a:extLst>
                <a:ext uri="{FF2B5EF4-FFF2-40B4-BE49-F238E27FC236}">
                  <a16:creationId xmlns:a16="http://schemas.microsoft.com/office/drawing/2014/main" id="{00000000-0008-0000-0300-00004F000000}"/>
                </a:ext>
              </a:extLst>
            </xdr:cNvPr>
            <xdr:cNvSpPr/>
          </xdr:nvSpPr>
          <xdr:spPr>
            <a:xfrm>
              <a:off x="18238210"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Cấu</a:t>
              </a:r>
              <a:r>
                <a:rPr lang="en-US" sz="800" b="1" baseline="0">
                  <a:solidFill>
                    <a:sysClr val="windowText" lastClr="000000"/>
                  </a:solidFill>
                </a:rPr>
                <a:t> trúc</a:t>
              </a:r>
              <a:endParaRPr lang="vi-VN" sz="800" b="1">
                <a:solidFill>
                  <a:sysClr val="windowText" lastClr="000000"/>
                </a:solidFill>
              </a:endParaRPr>
            </a:p>
          </xdr:txBody>
        </xdr:sp>
        <xdr:sp macro="" textlink="">
          <xdr:nvSpPr>
            <xdr:cNvPr id="80" name="Rectangle: Rounded Corners 79">
              <a:hlinkClick xmlns:r="http://schemas.openxmlformats.org/officeDocument/2006/relationships" r:id="rId6"/>
              <a:extLst>
                <a:ext uri="{FF2B5EF4-FFF2-40B4-BE49-F238E27FC236}">
                  <a16:creationId xmlns:a16="http://schemas.microsoft.com/office/drawing/2014/main" id="{00000000-0008-0000-0300-000050000000}"/>
                </a:ext>
              </a:extLst>
            </xdr:cNvPr>
            <xdr:cNvSpPr/>
          </xdr:nvSpPr>
          <xdr:spPr>
            <a:xfrm>
              <a:off x="17074671"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sp macro="" textlink="">
          <xdr:nvSpPr>
            <xdr:cNvPr id="81" name="Rectangle: Rounded Corners 80">
              <a:hlinkClick xmlns:r="http://schemas.openxmlformats.org/officeDocument/2006/relationships" r:id="rId27"/>
              <a:extLst>
                <a:ext uri="{FF2B5EF4-FFF2-40B4-BE49-F238E27FC236}">
                  <a16:creationId xmlns:a16="http://schemas.microsoft.com/office/drawing/2014/main" id="{00000000-0008-0000-0300-000051000000}"/>
                </a:ext>
              </a:extLst>
            </xdr:cNvPr>
            <xdr:cNvSpPr/>
          </xdr:nvSpPr>
          <xdr:spPr>
            <a:xfrm>
              <a:off x="19401749"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sản cố định</a:t>
              </a:r>
              <a:endParaRPr lang="vi-VN" sz="800" b="1">
                <a:solidFill>
                  <a:sysClr val="windowText" lastClr="000000"/>
                </a:solidFill>
              </a:endParaRPr>
            </a:p>
          </xdr:txBody>
        </xdr:sp>
        <xdr:sp macro="" textlink="">
          <xdr:nvSpPr>
            <xdr:cNvPr id="143" name="Rectangle: Rounded Corners 142">
              <a:hlinkClick xmlns:r="http://schemas.openxmlformats.org/officeDocument/2006/relationships" r:id="rId28"/>
              <a:extLst>
                <a:ext uri="{FF2B5EF4-FFF2-40B4-BE49-F238E27FC236}">
                  <a16:creationId xmlns:a16="http://schemas.microsoft.com/office/drawing/2014/main" id="{00000000-0008-0000-0300-00008F000000}"/>
                </a:ext>
              </a:extLst>
            </xdr:cNvPr>
            <xdr:cNvSpPr/>
          </xdr:nvSpPr>
          <xdr:spPr>
            <a:xfrm>
              <a:off x="15911132"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145" name="Rectangle: Rounded Corners 144">
              <a:hlinkClick xmlns:r="http://schemas.openxmlformats.org/officeDocument/2006/relationships" r:id="rId2"/>
              <a:extLst>
                <a:ext uri="{FF2B5EF4-FFF2-40B4-BE49-F238E27FC236}">
                  <a16:creationId xmlns:a16="http://schemas.microsoft.com/office/drawing/2014/main" id="{00000000-0008-0000-0300-000091000000}"/>
                </a:ext>
              </a:extLst>
            </xdr:cNvPr>
            <xdr:cNvSpPr/>
          </xdr:nvSpPr>
          <xdr:spPr>
            <a:xfrm>
              <a:off x="14747593"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grpSp>
    </xdr:grpSp>
    <xdr:clientData/>
  </xdr:twoCellAnchor>
  <xdr:twoCellAnchor>
    <xdr:from>
      <xdr:col>0</xdr:col>
      <xdr:colOff>190500</xdr:colOff>
      <xdr:row>22</xdr:row>
      <xdr:rowOff>138449</xdr:rowOff>
    </xdr:from>
    <xdr:to>
      <xdr:col>15</xdr:col>
      <xdr:colOff>0</xdr:colOff>
      <xdr:row>24</xdr:row>
      <xdr:rowOff>205125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90500" y="5662949"/>
          <a:ext cx="14563725" cy="523876"/>
          <a:chOff x="6267450" y="5472449"/>
          <a:chExt cx="14563725" cy="523876"/>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267450" y="5472449"/>
            <a:ext cx="14563725" cy="52387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5_GiaoDich"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6462713" y="5556627"/>
            <a:ext cx="2390775" cy="355521"/>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giao dịch &amp; nợ thương mại</a:t>
            </a:r>
            <a:endParaRPr lang="vi-VN" sz="1100" b="0">
              <a:solidFill>
                <a:schemeClr val="bg1"/>
              </a:solidFill>
            </a:endParaRP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14670258" y="5522996"/>
            <a:ext cx="3177836" cy="422781"/>
            <a:chOff x="14087476" y="2905125"/>
            <a:chExt cx="3177836" cy="419100"/>
          </a:xfrm>
        </xdr:grpSpPr>
        <xdr:sp macro="" textlink="">
          <xdr:nvSpPr>
            <xdr:cNvPr id="108" name="Rectangle: Rounded Corners 107">
              <a:hlinkClick xmlns:r="http://schemas.openxmlformats.org/officeDocument/2006/relationships" r:id="rId18"/>
              <a:extLst>
                <a:ext uri="{FF2B5EF4-FFF2-40B4-BE49-F238E27FC236}">
                  <a16:creationId xmlns:a16="http://schemas.microsoft.com/office/drawing/2014/main" id="{00000000-0008-0000-0300-00006C000000}"/>
                </a:ext>
              </a:extLst>
            </xdr:cNvPr>
            <xdr:cNvSpPr/>
          </xdr:nvSpPr>
          <xdr:spPr>
            <a:xfrm>
              <a:off x="14087476"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09" name="Rectangle: Rounded Corners 108">
              <a:hlinkClick xmlns:r="http://schemas.openxmlformats.org/officeDocument/2006/relationships" r:id="rId19"/>
              <a:extLst>
                <a:ext uri="{FF2B5EF4-FFF2-40B4-BE49-F238E27FC236}">
                  <a16:creationId xmlns:a16="http://schemas.microsoft.com/office/drawing/2014/main" id="{00000000-0008-0000-0300-00006D000000}"/>
                </a:ext>
              </a:extLst>
            </xdr:cNvPr>
            <xdr:cNvSpPr/>
          </xdr:nvSpPr>
          <xdr:spPr>
            <a:xfrm>
              <a:off x="15226394"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10" name="Rectangle: Rounded Corners 109">
              <a:hlinkClick xmlns:r="http://schemas.openxmlformats.org/officeDocument/2006/relationships" r:id="rId20"/>
              <a:extLst>
                <a:ext uri="{FF2B5EF4-FFF2-40B4-BE49-F238E27FC236}">
                  <a16:creationId xmlns:a16="http://schemas.microsoft.com/office/drawing/2014/main" id="{00000000-0008-0000-0300-00006E000000}"/>
                </a:ext>
              </a:extLst>
            </xdr:cNvPr>
            <xdr:cNvSpPr/>
          </xdr:nvSpPr>
          <xdr:spPr>
            <a:xfrm>
              <a:off x="16365312"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nvGrpSpPr>
          <xdr:cNvPr id="26" name="Group 25">
            <a:extLst>
              <a:ext uri="{FF2B5EF4-FFF2-40B4-BE49-F238E27FC236}">
                <a16:creationId xmlns:a16="http://schemas.microsoft.com/office/drawing/2014/main" id="{00000000-0008-0000-0300-00001A000000}"/>
              </a:ext>
            </a:extLst>
          </xdr:cNvPr>
          <xdr:cNvGrpSpPr/>
        </xdr:nvGrpSpPr>
        <xdr:grpSpPr>
          <a:xfrm>
            <a:off x="9120188" y="5518192"/>
            <a:ext cx="2557462" cy="422781"/>
            <a:chOff x="9120188" y="5518192"/>
            <a:chExt cx="2557462" cy="422781"/>
          </a:xfrm>
        </xdr:grpSpPr>
        <xdr:sp macro="" textlink="">
          <xdr:nvSpPr>
            <xdr:cNvPr id="105" name="Rectangle: Rounded Corners 104">
              <a:hlinkClick xmlns:r="http://schemas.openxmlformats.org/officeDocument/2006/relationships" r:id="rId29"/>
              <a:extLst>
                <a:ext uri="{FF2B5EF4-FFF2-40B4-BE49-F238E27FC236}">
                  <a16:creationId xmlns:a16="http://schemas.microsoft.com/office/drawing/2014/main" id="{00000000-0008-0000-0300-000069000000}"/>
                </a:ext>
              </a:extLst>
            </xdr:cNvPr>
            <xdr:cNvSpPr/>
          </xdr:nvSpPr>
          <xdr:spPr>
            <a:xfrm>
              <a:off x="9120188" y="5518192"/>
              <a:ext cx="1123950"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giảm giá phải thu khó đòi</a:t>
              </a:r>
              <a:endParaRPr lang="vi-VN" sz="800" b="1">
                <a:solidFill>
                  <a:sysClr val="windowText" lastClr="000000"/>
                </a:solidFill>
              </a:endParaRPr>
            </a:p>
          </xdr:txBody>
        </xdr:sp>
        <xdr:sp macro="" textlink="">
          <xdr:nvSpPr>
            <xdr:cNvPr id="106" name="Rectangle: Rounded Corners 105">
              <a:hlinkClick xmlns:r="http://schemas.openxmlformats.org/officeDocument/2006/relationships" r:id="rId30"/>
              <a:extLst>
                <a:ext uri="{FF2B5EF4-FFF2-40B4-BE49-F238E27FC236}">
                  <a16:creationId xmlns:a16="http://schemas.microsoft.com/office/drawing/2014/main" id="{00000000-0008-0000-0300-00006A000000}"/>
                </a:ext>
              </a:extLst>
            </xdr:cNvPr>
            <xdr:cNvSpPr/>
          </xdr:nvSpPr>
          <xdr:spPr>
            <a:xfrm>
              <a:off x="10289382"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thu</a:t>
              </a:r>
              <a:endParaRPr lang="vi-VN" sz="800" b="1">
                <a:solidFill>
                  <a:sysClr val="windowText" lastClr="000000"/>
                </a:solidFill>
              </a:endParaRPr>
            </a:p>
          </xdr:txBody>
        </xdr:sp>
        <xdr:sp macro="" textlink="">
          <xdr:nvSpPr>
            <xdr:cNvPr id="96" name="Rectangle: Rounded Corners 95">
              <a:hlinkClick xmlns:r="http://schemas.openxmlformats.org/officeDocument/2006/relationships" r:id="rId31"/>
              <a:extLst>
                <a:ext uri="{FF2B5EF4-FFF2-40B4-BE49-F238E27FC236}">
                  <a16:creationId xmlns:a16="http://schemas.microsoft.com/office/drawing/2014/main" id="{00000000-0008-0000-0300-000060000000}"/>
                </a:ext>
              </a:extLst>
            </xdr:cNvPr>
            <xdr:cNvSpPr/>
          </xdr:nvSpPr>
          <xdr:spPr>
            <a:xfrm>
              <a:off x="11006138"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trả</a:t>
              </a:r>
              <a:endParaRPr lang="vi-VN" sz="800" b="1">
                <a:solidFill>
                  <a:sysClr val="windowText" lastClr="000000"/>
                </a:solidFill>
              </a:endParaRPr>
            </a:p>
          </xdr:txBody>
        </xdr:sp>
      </xdr:grpSp>
    </xdr:grpSp>
    <xdr:clientData/>
  </xdr:twoCellAnchor>
  <xdr:twoCellAnchor>
    <xdr:from>
      <xdr:col>0</xdr:col>
      <xdr:colOff>190500</xdr:colOff>
      <xdr:row>4</xdr:row>
      <xdr:rowOff>228599</xdr:rowOff>
    </xdr:from>
    <xdr:to>
      <xdr:col>15</xdr:col>
      <xdr:colOff>0</xdr:colOff>
      <xdr:row>9</xdr:row>
      <xdr:rowOff>57150</xdr:rowOff>
    </xdr:to>
    <xdr:grpSp>
      <xdr:nvGrpSpPr>
        <xdr:cNvPr id="50" name="Group 49">
          <a:extLst>
            <a:ext uri="{FF2B5EF4-FFF2-40B4-BE49-F238E27FC236}">
              <a16:creationId xmlns:a16="http://schemas.microsoft.com/office/drawing/2014/main" id="{00000000-0008-0000-0300-000032000000}"/>
            </a:ext>
          </a:extLst>
        </xdr:cNvPr>
        <xdr:cNvGrpSpPr/>
      </xdr:nvGrpSpPr>
      <xdr:grpSpPr>
        <a:xfrm>
          <a:off x="190500" y="1638299"/>
          <a:ext cx="14563725" cy="971551"/>
          <a:chOff x="6267450" y="1447799"/>
          <a:chExt cx="14563725" cy="971551"/>
        </a:xfrm>
      </xdr:grpSpPr>
      <xdr:sp macro="[0]!ThisWorkbook.UnhideSheets_01_QuanTri"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267450" y="1447799"/>
            <a:ext cx="14563725" cy="97155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1_QuanTri"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6462713" y="1490661"/>
            <a:ext cx="2390775" cy="90011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Quản</a:t>
            </a:r>
            <a:r>
              <a:rPr lang="en-US" sz="1100" b="1" baseline="0">
                <a:solidFill>
                  <a:schemeClr val="bg1"/>
                </a:solidFill>
              </a:rPr>
              <a:t> trị tổng thể</a:t>
            </a:r>
          </a:p>
          <a:p>
            <a:pPr algn="ctr"/>
            <a:r>
              <a:rPr lang="en-US" sz="1100" b="1" baseline="0">
                <a:solidFill>
                  <a:schemeClr val="bg1"/>
                </a:solidFill>
              </a:rPr>
              <a:t>&amp; Hiệu quả đầu tư kinh doanh</a:t>
            </a:r>
            <a:endParaRPr lang="vi-VN" sz="1100" b="0">
              <a:solidFill>
                <a:schemeClr val="bg1"/>
              </a:solidFill>
            </a:endParaRPr>
          </a:p>
        </xdr:txBody>
      </xdr:sp>
      <xdr:grpSp>
        <xdr:nvGrpSpPr>
          <xdr:cNvPr id="45" name="Group 44">
            <a:extLst>
              <a:ext uri="{FF2B5EF4-FFF2-40B4-BE49-F238E27FC236}">
                <a16:creationId xmlns:a16="http://schemas.microsoft.com/office/drawing/2014/main" id="{00000000-0008-0000-0300-00002D000000}"/>
              </a:ext>
            </a:extLst>
          </xdr:cNvPr>
          <xdr:cNvGrpSpPr/>
        </xdr:nvGrpSpPr>
        <xdr:grpSpPr>
          <a:xfrm>
            <a:off x="9196388" y="1504948"/>
            <a:ext cx="2380500" cy="884325"/>
            <a:chOff x="9196388" y="1504948"/>
            <a:chExt cx="2380500" cy="884325"/>
          </a:xfrm>
        </xdr:grpSpPr>
        <xdr:sp macro="[0]!ThisWorkbook.UnhideSheets_01_QuanTri" textlink="">
          <xdr:nvSpPr>
            <xdr:cNvPr id="9" name="Rectangle: Rounded Corners 8">
              <a:hlinkClick xmlns:r="http://schemas.openxmlformats.org/officeDocument/2006/relationships" r:id="rId32"/>
              <a:extLst>
                <a:ext uri="{FF2B5EF4-FFF2-40B4-BE49-F238E27FC236}">
                  <a16:creationId xmlns:a16="http://schemas.microsoft.com/office/drawing/2014/main" id="{00000000-0008-0000-0300-000009000000}"/>
                </a:ext>
              </a:extLst>
            </xdr:cNvPr>
            <xdr:cNvSpPr/>
          </xdr:nvSpPr>
          <xdr:spPr>
            <a:xfrm>
              <a:off x="91963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Dashboard </a:t>
              </a:r>
              <a:r>
                <a:rPr lang="en-US" sz="800" b="1" baseline="0">
                  <a:solidFill>
                    <a:sysClr val="windowText" lastClr="000000"/>
                  </a:solidFill>
                </a:rPr>
                <a:t>Quản trị</a:t>
              </a:r>
              <a:endParaRPr lang="vi-VN" sz="800" b="0">
                <a:solidFill>
                  <a:sysClr val="windowText" lastClr="000000"/>
                </a:solidFill>
              </a:endParaRPr>
            </a:p>
          </xdr:txBody>
        </xdr:sp>
        <xdr:sp macro="[0]!ThisWorkbook.UnhideSheets_01_QuanTri" textlink="">
          <xdr:nvSpPr>
            <xdr:cNvPr id="10" name="Rectangle: Rounded Corners 9">
              <a:hlinkClick xmlns:r="http://schemas.openxmlformats.org/officeDocument/2006/relationships" r:id="rId33"/>
              <a:extLst>
                <a:ext uri="{FF2B5EF4-FFF2-40B4-BE49-F238E27FC236}">
                  <a16:creationId xmlns:a16="http://schemas.microsoft.com/office/drawing/2014/main" id="{00000000-0008-0000-0300-00000A000000}"/>
                </a:ext>
              </a:extLst>
            </xdr:cNvPr>
            <xdr:cNvSpPr/>
          </xdr:nvSpPr>
          <xdr:spPr>
            <a:xfrm>
              <a:off x="104536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Quản trị - BCQT</a:t>
              </a:r>
              <a:endParaRPr lang="vi-VN" sz="800" b="0">
                <a:solidFill>
                  <a:sysClr val="windowText" lastClr="000000"/>
                </a:solidFill>
              </a:endParaRPr>
            </a:p>
          </xdr:txBody>
        </xdr:sp>
        <xdr:sp macro="[0]!ThisWorkbook.UnhideSheets_01_QuanTri" textlink="">
          <xdr:nvSpPr>
            <xdr:cNvPr id="11" name="Rectangle: Rounded Corners 10">
              <a:hlinkClick xmlns:r="http://schemas.openxmlformats.org/officeDocument/2006/relationships" r:id="rId34"/>
              <a:extLst>
                <a:ext uri="{FF2B5EF4-FFF2-40B4-BE49-F238E27FC236}">
                  <a16:creationId xmlns:a16="http://schemas.microsoft.com/office/drawing/2014/main" id="{00000000-0008-0000-0300-00000B000000}"/>
                </a:ext>
              </a:extLst>
            </xdr:cNvPr>
            <xdr:cNvSpPr/>
          </xdr:nvSpPr>
          <xdr:spPr>
            <a:xfrm>
              <a:off x="104536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Tài chính - BCTC</a:t>
              </a:r>
              <a:endParaRPr lang="vi-VN" sz="800" b="0">
                <a:solidFill>
                  <a:sysClr val="windowText" lastClr="000000"/>
                </a:solidFill>
              </a:endParaRPr>
            </a:p>
          </xdr:txBody>
        </xdr:sp>
        <xdr:sp macro="[0]!ThisWorkbook.UnhideSheets_01_QuanTri" textlink="">
          <xdr:nvSpPr>
            <xdr:cNvPr id="94" name="Rectangle: Rounded Corners 93">
              <a:hlinkClick xmlns:r="http://schemas.openxmlformats.org/officeDocument/2006/relationships" r:id="rId32"/>
              <a:extLst>
                <a:ext uri="{FF2B5EF4-FFF2-40B4-BE49-F238E27FC236}">
                  <a16:creationId xmlns:a16="http://schemas.microsoft.com/office/drawing/2014/main" id="{00000000-0008-0000-0300-00005E000000}"/>
                </a:ext>
              </a:extLst>
            </xdr:cNvPr>
            <xdr:cNvSpPr/>
          </xdr:nvSpPr>
          <xdr:spPr>
            <a:xfrm>
              <a:off x="91963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kế hoạch kinh doanh</a:t>
              </a:r>
              <a:endParaRPr lang="vi-VN" sz="800" b="0">
                <a:solidFill>
                  <a:sysClr val="windowText" lastClr="000000"/>
                </a:solidFill>
              </a:endParaRPr>
            </a:p>
          </xdr:txBody>
        </xdr:sp>
      </xdr:grpSp>
    </xdr:grpSp>
    <xdr:clientData/>
  </xdr:twoCellAnchor>
  <xdr:twoCellAnchor>
    <xdr:from>
      <xdr:col>0</xdr:col>
      <xdr:colOff>190500</xdr:colOff>
      <xdr:row>9</xdr:row>
      <xdr:rowOff>123825</xdr:rowOff>
    </xdr:from>
    <xdr:to>
      <xdr:col>15</xdr:col>
      <xdr:colOff>0</xdr:colOff>
      <xdr:row>13</xdr:row>
      <xdr:rowOff>132838</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190500" y="2676525"/>
          <a:ext cx="14563725" cy="923413"/>
          <a:chOff x="6267450" y="2486025"/>
          <a:chExt cx="14563725" cy="923413"/>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267450" y="2486025"/>
            <a:ext cx="14563725" cy="923413"/>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2_BanHang"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6462713" y="2771519"/>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Ghi nhận</a:t>
            </a:r>
            <a:r>
              <a:rPr lang="en-US" sz="1100" b="1" baseline="0">
                <a:solidFill>
                  <a:schemeClr val="bg1"/>
                </a:solidFill>
              </a:rPr>
              <a:t> &amp; Quản lý bán hàng</a:t>
            </a:r>
            <a:endParaRPr lang="vi-VN" sz="1100" b="0">
              <a:solidFill>
                <a:schemeClr val="bg1"/>
              </a:solidFill>
            </a:endParaRPr>
          </a:p>
        </xdr:txBody>
      </xdr:sp>
      <xdr:grpSp>
        <xdr:nvGrpSpPr>
          <xdr:cNvPr id="33" name="Group 32">
            <a:extLst>
              <a:ext uri="{FF2B5EF4-FFF2-40B4-BE49-F238E27FC236}">
                <a16:creationId xmlns:a16="http://schemas.microsoft.com/office/drawing/2014/main" id="{00000000-0008-0000-0300-000021000000}"/>
              </a:ext>
            </a:extLst>
          </xdr:cNvPr>
          <xdr:cNvGrpSpPr/>
        </xdr:nvGrpSpPr>
        <xdr:grpSpPr>
          <a:xfrm>
            <a:off x="12384939" y="2738181"/>
            <a:ext cx="7919925" cy="419100"/>
            <a:chOff x="12384939" y="2766500"/>
            <a:chExt cx="7919925" cy="4191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238493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24" name="Rectangle: Rounded Corners 23">
              <a:hlinkClick xmlns:r="http://schemas.openxmlformats.org/officeDocument/2006/relationships" r:id="rId35"/>
              <a:extLst>
                <a:ext uri="{FF2B5EF4-FFF2-40B4-BE49-F238E27FC236}">
                  <a16:creationId xmlns:a16="http://schemas.microsoft.com/office/drawing/2014/main" id="{00000000-0008-0000-0300-000018000000}"/>
                </a:ext>
              </a:extLst>
            </xdr:cNvPr>
            <xdr:cNvSpPr/>
          </xdr:nvSpPr>
          <xdr:spPr>
            <a:xfrm>
              <a:off x="1338778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bán</a:t>
              </a:r>
              <a:endParaRPr lang="vi-VN" sz="800" b="1">
                <a:solidFill>
                  <a:sysClr val="windowText" lastClr="000000"/>
                </a:solidFill>
              </a:endParaRPr>
            </a:p>
          </xdr:txBody>
        </xdr:sp>
        <xdr:sp macro="" textlink="">
          <xdr:nvSpPr>
            <xdr:cNvPr id="25" name="Rectangle: Rounded Corners 24">
              <a:hlinkClick xmlns:r="http://schemas.openxmlformats.org/officeDocument/2006/relationships" r:id="rId28"/>
              <a:extLst>
                <a:ext uri="{FF2B5EF4-FFF2-40B4-BE49-F238E27FC236}">
                  <a16:creationId xmlns:a16="http://schemas.microsoft.com/office/drawing/2014/main" id="{00000000-0008-0000-0300-000019000000}"/>
                </a:ext>
              </a:extLst>
            </xdr:cNvPr>
            <xdr:cNvSpPr/>
          </xdr:nvSpPr>
          <xdr:spPr>
            <a:xfrm>
              <a:off x="14390631"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00000000-0008-0000-0300-00001C000000}"/>
                </a:ext>
              </a:extLst>
            </xdr:cNvPr>
            <xdr:cNvSpPr/>
          </xdr:nvSpPr>
          <xdr:spPr>
            <a:xfrm>
              <a:off x="15393477"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29" name="Rectangle: Rounded Corners 28">
              <a:hlinkClick xmlns:r="http://schemas.openxmlformats.org/officeDocument/2006/relationships" r:id="rId36"/>
              <a:extLst>
                <a:ext uri="{FF2B5EF4-FFF2-40B4-BE49-F238E27FC236}">
                  <a16:creationId xmlns:a16="http://schemas.microsoft.com/office/drawing/2014/main" id="{00000000-0008-0000-0300-00001D000000}"/>
                </a:ext>
              </a:extLst>
            </xdr:cNvPr>
            <xdr:cNvSpPr/>
          </xdr:nvSpPr>
          <xdr:spPr>
            <a:xfrm>
              <a:off x="16396323"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Khách</a:t>
              </a:r>
              <a:r>
                <a:rPr lang="en-US" sz="800" b="1" baseline="0">
                  <a:solidFill>
                    <a:sysClr val="windowText" lastClr="000000"/>
                  </a:solidFill>
                </a:rPr>
                <a:t> hàng</a:t>
              </a:r>
              <a:endParaRPr lang="vi-VN" sz="800" b="1">
                <a:solidFill>
                  <a:sysClr val="windowText" lastClr="000000"/>
                </a:solidFill>
              </a:endParaRPr>
            </a:p>
          </xdr:txBody>
        </xdr:sp>
        <xdr:sp macro="" textlink="">
          <xdr:nvSpPr>
            <xdr:cNvPr id="30" name="Rectangle: Rounded Corners 29">
              <a:hlinkClick xmlns:r="http://schemas.openxmlformats.org/officeDocument/2006/relationships" r:id="rId37"/>
              <a:extLst>
                <a:ext uri="{FF2B5EF4-FFF2-40B4-BE49-F238E27FC236}">
                  <a16:creationId xmlns:a16="http://schemas.microsoft.com/office/drawing/2014/main" id="{00000000-0008-0000-0300-00001E000000}"/>
                </a:ext>
              </a:extLst>
            </xdr:cNvPr>
            <xdr:cNvSpPr/>
          </xdr:nvSpPr>
          <xdr:spPr>
            <a:xfrm>
              <a:off x="1739916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Kênh</a:t>
              </a:r>
              <a:endParaRPr lang="vi-VN" sz="800" b="1">
                <a:solidFill>
                  <a:sysClr val="windowText" lastClr="000000"/>
                </a:solidFill>
              </a:endParaRPr>
            </a:p>
          </xdr:txBody>
        </xdr:sp>
        <xdr:sp macro="" textlink="">
          <xdr:nvSpPr>
            <xdr:cNvPr id="31" name="Rectangle: Rounded Corners 30">
              <a:hlinkClick xmlns:r="http://schemas.openxmlformats.org/officeDocument/2006/relationships" r:id="rId38"/>
              <a:extLst>
                <a:ext uri="{FF2B5EF4-FFF2-40B4-BE49-F238E27FC236}">
                  <a16:creationId xmlns:a16="http://schemas.microsoft.com/office/drawing/2014/main" id="{00000000-0008-0000-0300-00001F000000}"/>
                </a:ext>
              </a:extLst>
            </xdr:cNvPr>
            <xdr:cNvSpPr/>
          </xdr:nvSpPr>
          <xdr:spPr>
            <a:xfrm>
              <a:off x="19404864"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Chương</a:t>
              </a:r>
              <a:r>
                <a:rPr lang="en-US" sz="800" b="1" baseline="0">
                  <a:solidFill>
                    <a:sysClr val="windowText" lastClr="000000"/>
                  </a:solidFill>
                </a:rPr>
                <a:t> trình</a:t>
              </a:r>
              <a:endParaRPr lang="vi-VN" sz="800" b="1">
                <a:solidFill>
                  <a:sysClr val="windowText" lastClr="000000"/>
                </a:solidFill>
              </a:endParaRPr>
            </a:p>
          </xdr:txBody>
        </xdr:sp>
        <xdr:sp macro="" textlink="">
          <xdr:nvSpPr>
            <xdr:cNvPr id="4" name="Rectangle: Rounded Corners 3">
              <a:hlinkClick xmlns:r="http://schemas.openxmlformats.org/officeDocument/2006/relationships" r:id="rId39"/>
              <a:extLst>
                <a:ext uri="{FF2B5EF4-FFF2-40B4-BE49-F238E27FC236}">
                  <a16:creationId xmlns:a16="http://schemas.microsoft.com/office/drawing/2014/main" id="{00000000-0008-0000-0300-000004000000}"/>
                </a:ext>
              </a:extLst>
            </xdr:cNvPr>
            <xdr:cNvSpPr/>
          </xdr:nvSpPr>
          <xdr:spPr>
            <a:xfrm>
              <a:off x="1840201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Hoa hồng</a:t>
              </a:r>
              <a:endParaRPr lang="vi-VN" sz="800" b="1">
                <a:solidFill>
                  <a:sysClr val="windowText" lastClr="000000"/>
                </a:solidFill>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9144010" y="2509325"/>
            <a:ext cx="2491038" cy="876300"/>
            <a:chOff x="9105910" y="2537900"/>
            <a:chExt cx="2491038" cy="876300"/>
          </a:xfrm>
        </xdr:grpSpPr>
        <xdr:sp macro="" textlink="">
          <xdr:nvSpPr>
            <xdr:cNvPr id="13" name="Rectangle: Rounded Corners 12">
              <a:hlinkClick xmlns:r="http://schemas.openxmlformats.org/officeDocument/2006/relationships" r:id="rId40"/>
              <a:extLst>
                <a:ext uri="{FF2B5EF4-FFF2-40B4-BE49-F238E27FC236}">
                  <a16:creationId xmlns:a16="http://schemas.microsoft.com/office/drawing/2014/main" id="{00000000-0008-0000-0300-00000D000000}"/>
                </a:ext>
              </a:extLst>
            </xdr:cNvPr>
            <xdr:cNvSpPr/>
          </xdr:nvSpPr>
          <xdr:spPr>
            <a:xfrm>
              <a:off x="9105910"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Thị trường</a:t>
              </a:r>
              <a:endParaRPr lang="vi-VN" sz="800" b="1">
                <a:solidFill>
                  <a:sysClr val="windowText" lastClr="000000"/>
                </a:solidFill>
              </a:endParaRPr>
            </a:p>
          </xdr:txBody>
        </xdr:sp>
        <xdr:sp macro="" textlink="">
          <xdr:nvSpPr>
            <xdr:cNvPr id="86" name="Rectangle: Rounded Corners 85">
              <a:hlinkClick xmlns:r="http://schemas.openxmlformats.org/officeDocument/2006/relationships" r:id="rId41"/>
              <a:extLst>
                <a:ext uri="{FF2B5EF4-FFF2-40B4-BE49-F238E27FC236}">
                  <a16:creationId xmlns:a16="http://schemas.microsoft.com/office/drawing/2014/main" id="{00000000-0008-0000-0300-000056000000}"/>
                </a:ext>
              </a:extLst>
            </xdr:cNvPr>
            <xdr:cNvSpPr/>
          </xdr:nvSpPr>
          <xdr:spPr>
            <a:xfrm>
              <a:off x="9108289"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Sản phẩm</a:t>
              </a:r>
              <a:endParaRPr lang="vi-VN" sz="800" b="1">
                <a:solidFill>
                  <a:sysClr val="windowText" lastClr="000000"/>
                </a:solidFill>
              </a:endParaRPr>
            </a:p>
          </xdr:txBody>
        </xdr:sp>
        <xdr:sp macro="" textlink="">
          <xdr:nvSpPr>
            <xdr:cNvPr id="90" name="Rectangle: Rounded Corners 89">
              <a:hlinkClick xmlns:r="http://schemas.openxmlformats.org/officeDocument/2006/relationships" r:id="rId42"/>
              <a:extLst>
                <a:ext uri="{FF2B5EF4-FFF2-40B4-BE49-F238E27FC236}">
                  <a16:creationId xmlns:a16="http://schemas.microsoft.com/office/drawing/2014/main" id="{00000000-0008-0000-0300-00005A000000}"/>
                </a:ext>
              </a:extLst>
            </xdr:cNvPr>
            <xdr:cNvSpPr/>
          </xdr:nvSpPr>
          <xdr:spPr>
            <a:xfrm>
              <a:off x="9954952" y="2995100"/>
              <a:ext cx="795332"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Dashboard</a:t>
              </a:r>
              <a:r>
                <a:rPr lang="en-US" sz="800" b="1" baseline="0">
                  <a:solidFill>
                    <a:sysClr val="windowText" lastClr="000000"/>
                  </a:solidFill>
                </a:rPr>
                <a:t> Chương trình</a:t>
              </a:r>
              <a:endParaRPr lang="vi-VN" sz="800" b="1">
                <a:solidFill>
                  <a:sysClr val="windowText" lastClr="000000"/>
                </a:solidFill>
              </a:endParaRPr>
            </a:p>
          </xdr:txBody>
        </xdr:sp>
        <xdr:sp macro="" textlink="">
          <xdr:nvSpPr>
            <xdr:cNvPr id="91" name="Rectangle: Rounded Corners 90">
              <a:hlinkClick xmlns:r="http://schemas.openxmlformats.org/officeDocument/2006/relationships" r:id="rId43"/>
              <a:extLst>
                <a:ext uri="{FF2B5EF4-FFF2-40B4-BE49-F238E27FC236}">
                  <a16:creationId xmlns:a16="http://schemas.microsoft.com/office/drawing/2014/main" id="{00000000-0008-0000-0300-00005B000000}"/>
                </a:ext>
              </a:extLst>
            </xdr:cNvPr>
            <xdr:cNvSpPr/>
          </xdr:nvSpPr>
          <xdr:spPr>
            <a:xfrm>
              <a:off x="9953629"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 Dashboard</a:t>
              </a:r>
              <a:r>
                <a:rPr lang="en-US" sz="800" b="1" baseline="0">
                  <a:solidFill>
                    <a:sysClr val="windowText" lastClr="000000"/>
                  </a:solidFill>
                </a:rPr>
                <a:t> </a:t>
              </a:r>
              <a:r>
                <a:rPr lang="en-US" sz="800" b="1">
                  <a:solidFill>
                    <a:sysClr val="windowText" lastClr="000000"/>
                  </a:solidFill>
                </a:rPr>
                <a:t>KPI</a:t>
              </a:r>
              <a:endParaRPr lang="vi-VN" sz="800" b="1">
                <a:solidFill>
                  <a:sysClr val="windowText" lastClr="000000"/>
                </a:solidFill>
              </a:endParaRPr>
            </a:p>
          </xdr:txBody>
        </xdr:sp>
        <xdr:sp macro="" textlink="">
          <xdr:nvSpPr>
            <xdr:cNvPr id="92" name="Rectangle: Rounded Corners 91">
              <a:hlinkClick xmlns:r="http://schemas.openxmlformats.org/officeDocument/2006/relationships" r:id="rId22"/>
              <a:extLst>
                <a:ext uri="{FF2B5EF4-FFF2-40B4-BE49-F238E27FC236}">
                  <a16:creationId xmlns:a16="http://schemas.microsoft.com/office/drawing/2014/main" id="{00000000-0008-0000-0300-00005C000000}"/>
                </a:ext>
              </a:extLst>
            </xdr:cNvPr>
            <xdr:cNvSpPr/>
          </xdr:nvSpPr>
          <xdr:spPr>
            <a:xfrm>
              <a:off x="10801348"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KPI</a:t>
              </a:r>
              <a:endParaRPr lang="vi-VN" sz="800" b="1">
                <a:solidFill>
                  <a:sysClr val="windowText" lastClr="000000"/>
                </a:solidFill>
              </a:endParaRPr>
            </a:p>
          </xdr:txBody>
        </xdr:sp>
        <xdr:sp macro="" textlink="">
          <xdr:nvSpPr>
            <xdr:cNvPr id="98" name="Rectangle: Rounded Corners 97">
              <a:hlinkClick xmlns:r="http://schemas.openxmlformats.org/officeDocument/2006/relationships" r:id="rId44"/>
              <a:extLst>
                <a:ext uri="{FF2B5EF4-FFF2-40B4-BE49-F238E27FC236}">
                  <a16:creationId xmlns:a16="http://schemas.microsoft.com/office/drawing/2014/main" id="{00000000-0008-0000-0300-000062000000}"/>
                </a:ext>
              </a:extLst>
            </xdr:cNvPr>
            <xdr:cNvSpPr/>
          </xdr:nvSpPr>
          <xdr:spPr>
            <a:xfrm>
              <a:off x="10801348"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Tích</a:t>
              </a:r>
              <a:r>
                <a:rPr lang="en-US" sz="800" b="1" baseline="0">
                  <a:solidFill>
                    <a:sysClr val="windowText" lastClr="000000"/>
                  </a:solidFill>
                </a:rPr>
                <a:t> điểm khách hàng</a:t>
              </a:r>
              <a:endParaRPr lang="vi-VN" sz="800" b="1">
                <a:solidFill>
                  <a:sysClr val="windowText" lastClr="000000"/>
                </a:solidFill>
              </a:endParaRPr>
            </a:p>
          </xdr:txBody>
        </xdr:sp>
      </xdr:grpSp>
    </xdr:grpSp>
    <xdr:clientData/>
  </xdr:twoCellAnchor>
  <xdr:twoCellAnchor>
    <xdr:from>
      <xdr:col>13</xdr:col>
      <xdr:colOff>619126</xdr:colOff>
      <xdr:row>2</xdr:row>
      <xdr:rowOff>438149</xdr:rowOff>
    </xdr:from>
    <xdr:to>
      <xdr:col>14</xdr:col>
      <xdr:colOff>581026</xdr:colOff>
      <xdr:row>4</xdr:row>
      <xdr:rowOff>142874</xdr:rowOff>
    </xdr:to>
    <xdr:sp macro="" textlink="">
      <xdr:nvSpPr>
        <xdr:cNvPr id="97" name="Rectangle: Rounded Corners 96">
          <a:hlinkClick xmlns:r="http://schemas.openxmlformats.org/officeDocument/2006/relationships" r:id="rId45"/>
          <a:extLst>
            <a:ext uri="{FF2B5EF4-FFF2-40B4-BE49-F238E27FC236}">
              <a16:creationId xmlns:a16="http://schemas.microsoft.com/office/drawing/2014/main" id="{00000000-0008-0000-0300-000061000000}"/>
            </a:ext>
          </a:extLst>
        </xdr:cNvPr>
        <xdr:cNvSpPr/>
      </xdr:nvSpPr>
      <xdr:spPr>
        <a:xfrm>
          <a:off x="14001751" y="1142999"/>
          <a:ext cx="647700" cy="409575"/>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In Mã</a:t>
          </a:r>
          <a:r>
            <a:rPr lang="en-US" sz="800" b="1" baseline="0">
              <a:solidFill>
                <a:sysClr val="windowText" lastClr="000000"/>
              </a:solidFill>
            </a:rPr>
            <a:t> vạch -&gt;</a:t>
          </a:r>
          <a:endParaRPr lang="vi-VN" sz="8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6</xdr:row>
          <xdr:rowOff>133350</xdr:rowOff>
        </xdr:from>
        <xdr:to>
          <xdr:col>9</xdr:col>
          <xdr:colOff>447675</xdr:colOff>
          <xdr:row>7</xdr:row>
          <xdr:rowOff>171450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3962400</xdr:colOff>
      <xdr:row>13</xdr:row>
      <xdr:rowOff>208526</xdr:rowOff>
    </xdr:from>
    <xdr:to>
      <xdr:col>1</xdr:col>
      <xdr:colOff>4758000</xdr:colOff>
      <xdr:row>15</xdr:row>
      <xdr:rowOff>170426</xdr:rowOff>
    </xdr:to>
    <xdr:sp macro="" textlink="">
      <xdr:nvSpPr>
        <xdr:cNvPr id="6" name="Rectangle: Rounded Corners 5">
          <a:hlinkClick xmlns:r="http://schemas.openxmlformats.org/officeDocument/2006/relationships" r:id="rId46"/>
          <a:extLst>
            <a:ext uri="{FF2B5EF4-FFF2-40B4-BE49-F238E27FC236}">
              <a16:creationId xmlns:a16="http://schemas.microsoft.com/office/drawing/2014/main" id="{00000000-0008-0000-0300-000006000000}"/>
            </a:ext>
          </a:extLst>
        </xdr:cNvPr>
        <xdr:cNvSpPr/>
      </xdr:nvSpPr>
      <xdr:spPr>
        <a:xfrm>
          <a:off x="4772025" y="3675626"/>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So</a:t>
          </a:r>
          <a:r>
            <a:rPr lang="en-US" sz="800" b="1" baseline="0">
              <a:solidFill>
                <a:sysClr val="windowText" lastClr="000000"/>
              </a:solidFill>
            </a:rPr>
            <a:t> sánh nguồn hàng</a:t>
          </a:r>
          <a:endParaRPr lang="vi-VN" sz="8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171450</xdr:colOff>
      <xdr:row>2</xdr:row>
      <xdr:rowOff>198120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59</xdr:col>
          <xdr:colOff>38100</xdr:colOff>
          <xdr:row>1</xdr:row>
          <xdr:rowOff>76200</xdr:rowOff>
        </xdr:from>
        <xdr:to>
          <xdr:col>59</xdr:col>
          <xdr:colOff>552450</xdr:colOff>
          <xdr:row>2</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Light"/>
                  <a:cs typeface="Segoe UI Light"/>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0</xdr:row>
          <xdr:rowOff>190500</xdr:rowOff>
        </xdr:from>
        <xdr:to>
          <xdr:col>6</xdr:col>
          <xdr:colOff>295275</xdr:colOff>
          <xdr:row>2</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58</xdr:col>
      <xdr:colOff>168089</xdr:colOff>
      <xdr:row>3</xdr:row>
      <xdr:rowOff>190499</xdr:rowOff>
    </xdr:from>
    <xdr:to>
      <xdr:col>63</xdr:col>
      <xdr:colOff>145676</xdr:colOff>
      <xdr:row>13</xdr:row>
      <xdr:rowOff>64499</xdr:rowOff>
    </xdr:to>
    <xdr:sp macro="" textlink="">
      <xdr:nvSpPr>
        <xdr:cNvPr id="150" name="Rectangle: Rounded Corners 149">
          <a:extLst>
            <a:ext uri="{FF2B5EF4-FFF2-40B4-BE49-F238E27FC236}">
              <a16:creationId xmlns:a16="http://schemas.microsoft.com/office/drawing/2014/main" id="{00000000-0008-0000-0500-000096000000}"/>
            </a:ext>
          </a:extLst>
        </xdr:cNvPr>
        <xdr:cNvSpPr/>
      </xdr:nvSpPr>
      <xdr:spPr>
        <a:xfrm>
          <a:off x="616324" y="862852"/>
          <a:ext cx="3003176" cy="2115176"/>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solidFill>
                <a:schemeClr val="accent5"/>
              </a:solidFill>
            </a:rPr>
            <a:t>BÁO</a:t>
          </a:r>
          <a:r>
            <a:rPr lang="en-US" sz="4400" b="1" baseline="0">
              <a:solidFill>
                <a:schemeClr val="accent5"/>
              </a:solidFill>
            </a:rPr>
            <a:t> CÁO QUẢN TRỊ</a:t>
          </a:r>
          <a:endParaRPr lang="en-US" sz="4400" b="1">
            <a:solidFill>
              <a:schemeClr val="accent5"/>
            </a:solidFill>
          </a:endParaRPr>
        </a:p>
      </xdr:txBody>
    </xdr:sp>
    <xdr:clientData/>
  </xdr:twoCellAnchor>
  <xdr:twoCellAnchor>
    <xdr:from>
      <xdr:col>64</xdr:col>
      <xdr:colOff>9525</xdr:colOff>
      <xdr:row>3</xdr:row>
      <xdr:rowOff>180974</xdr:rowOff>
    </xdr:from>
    <xdr:to>
      <xdr:col>82</xdr:col>
      <xdr:colOff>190500</xdr:colOff>
      <xdr:row>13</xdr:row>
      <xdr:rowOff>54974</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166907" y="853327"/>
          <a:ext cx="12518652" cy="211517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438150</xdr:colOff>
      <xdr:row>4</xdr:row>
      <xdr:rowOff>212911</xdr:rowOff>
    </xdr:from>
    <xdr:to>
      <xdr:col>66</xdr:col>
      <xdr:colOff>180750</xdr:colOff>
      <xdr:row>12</xdr:row>
      <xdr:rowOff>39824</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3911974" y="1109382"/>
          <a:ext cx="1793276" cy="1619854"/>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80</xdr:col>
      <xdr:colOff>83820</xdr:colOff>
      <xdr:row>4</xdr:row>
      <xdr:rowOff>190500</xdr:rowOff>
    </xdr:from>
    <xdr:to>
      <xdr:col>82</xdr:col>
      <xdr:colOff>512220</xdr:colOff>
      <xdr:row>12</xdr:row>
      <xdr:rowOff>39824</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5211761" y="1086971"/>
          <a:ext cx="1795518" cy="1642265"/>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63</xdr:col>
      <xdr:colOff>566040</xdr:colOff>
      <xdr:row>5</xdr:row>
      <xdr:rowOff>80123</xdr:rowOff>
    </xdr:from>
    <xdr:ext cx="1000541" cy="399405"/>
    <xdr:sp macro="" textlink="$CW$5">
      <xdr:nvSpPr>
        <xdr:cNvPr id="26" name="TextBox 25">
          <a:extLst>
            <a:ext uri="{FF2B5EF4-FFF2-40B4-BE49-F238E27FC236}">
              <a16:creationId xmlns:a16="http://schemas.microsoft.com/office/drawing/2014/main" id="{00000000-0008-0000-0500-00001A000000}"/>
            </a:ext>
          </a:extLst>
        </xdr:cNvPr>
        <xdr:cNvSpPr txBox="1"/>
      </xdr:nvSpPr>
      <xdr:spPr>
        <a:xfrm>
          <a:off x="4039864" y="1200711"/>
          <a:ext cx="1000541"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5C39FD9-4DFC-4000-AE3F-41EBCC455325}"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64</xdr:col>
      <xdr:colOff>435349</xdr:colOff>
      <xdr:row>7</xdr:row>
      <xdr:rowOff>116369</xdr:rowOff>
    </xdr:from>
    <xdr:ext cx="883753" cy="399405"/>
    <xdr:sp macro="" textlink="$CW$6">
      <xdr:nvSpPr>
        <xdr:cNvPr id="27" name="TextBox 26">
          <a:extLst>
            <a:ext uri="{FF2B5EF4-FFF2-40B4-BE49-F238E27FC236}">
              <a16:creationId xmlns:a16="http://schemas.microsoft.com/office/drawing/2014/main" id="{00000000-0008-0000-0500-00001B000000}"/>
            </a:ext>
          </a:extLst>
        </xdr:cNvPr>
        <xdr:cNvSpPr txBox="1"/>
      </xdr:nvSpPr>
      <xdr:spPr>
        <a:xfrm>
          <a:off x="64109974" y="1697519"/>
          <a:ext cx="883753"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B30E57D-1BB1-487E-A37A-A1E06FD1A95C}"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80</xdr:col>
      <xdr:colOff>493163</xdr:colOff>
      <xdr:row>5</xdr:row>
      <xdr:rowOff>183948</xdr:rowOff>
    </xdr:from>
    <xdr:ext cx="1080000" cy="501740"/>
    <xdr:sp macro="" textlink="$CX$7">
      <xdr:nvSpPr>
        <xdr:cNvPr id="28" name="TextBox 27">
          <a:extLst>
            <a:ext uri="{FF2B5EF4-FFF2-40B4-BE49-F238E27FC236}">
              <a16:creationId xmlns:a16="http://schemas.microsoft.com/office/drawing/2014/main" id="{00000000-0008-0000-0500-00001C000000}"/>
            </a:ext>
          </a:extLst>
        </xdr:cNvPr>
        <xdr:cNvSpPr txBox="1"/>
      </xdr:nvSpPr>
      <xdr:spPr>
        <a:xfrm>
          <a:off x="15621104" y="1304536"/>
          <a:ext cx="108000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C524DCE-5107-47F5-81DD-58236F9B66C3}" type="TxLink">
            <a:rPr lang="en-US" sz="2400" b="1" i="0" u="none" strike="noStrike">
              <a:solidFill>
                <a:schemeClr val="accent6">
                  <a:lumMod val="50000"/>
                </a:schemeClr>
              </a:solidFill>
              <a:latin typeface="Segoe UI Light"/>
              <a:ea typeface="+mn-ea"/>
              <a:cs typeface="Segoe UI Light"/>
            </a:rPr>
            <a:pPr marL="0" indent="0" algn="ctr"/>
            <a:t> </a:t>
          </a:fld>
          <a:endParaRPr lang="en-US" sz="2400" b="1" i="0" u="none" strike="noStrike">
            <a:solidFill>
              <a:schemeClr val="accent6">
                <a:lumMod val="50000"/>
              </a:schemeClr>
            </a:solidFill>
            <a:latin typeface="Segoe UI Light"/>
            <a:ea typeface="+mn-ea"/>
            <a:cs typeface="Segoe UI Light"/>
          </a:endParaRPr>
        </a:p>
      </xdr:txBody>
    </xdr:sp>
    <xdr:clientData/>
  </xdr:oneCellAnchor>
  <xdr:twoCellAnchor>
    <xdr:from>
      <xdr:col>83</xdr:col>
      <xdr:colOff>66675</xdr:colOff>
      <xdr:row>3</xdr:row>
      <xdr:rowOff>190499</xdr:rowOff>
    </xdr:from>
    <xdr:to>
      <xdr:col>88</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83</xdr:col>
          <xdr:colOff>263662</xdr:colOff>
          <xdr:row>1</xdr:row>
          <xdr:rowOff>171450</xdr:rowOff>
        </xdr:from>
        <xdr:to>
          <xdr:col>88</xdr:col>
          <xdr:colOff>40688</xdr:colOff>
          <xdr:row>2</xdr:row>
          <xdr:rowOff>122850</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19504162" y="395568"/>
              <a:ext cx="3194820" cy="175517"/>
              <a:chOff x="13096919" y="1047750"/>
              <a:chExt cx="3206008"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13096919" y="1047750"/>
                <a:ext cx="719994"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15582927"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65</xdr:col>
      <xdr:colOff>549088</xdr:colOff>
      <xdr:row>13</xdr:row>
      <xdr:rowOff>209085</xdr:rowOff>
    </xdr:from>
    <xdr:to>
      <xdr:col>82</xdr:col>
      <xdr:colOff>219076</xdr:colOff>
      <xdr:row>28</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63</xdr:col>
      <xdr:colOff>466725</xdr:colOff>
      <xdr:row>7</xdr:row>
      <xdr:rowOff>70597</xdr:rowOff>
    </xdr:from>
    <xdr:to>
      <xdr:col>66</xdr:col>
      <xdr:colOff>142875</xdr:colOff>
      <xdr:row>7</xdr:row>
      <xdr:rowOff>70597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H="1">
          <a:off x="3940549" y="1639421"/>
          <a:ext cx="1726826" cy="0"/>
        </a:xfrm>
        <a:prstGeom prst="line">
          <a:avLst/>
        </a:prstGeom>
        <a:ln>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63</xdr:col>
      <xdr:colOff>523875</xdr:colOff>
      <xdr:row>9</xdr:row>
      <xdr:rowOff>85725</xdr:rowOff>
    </xdr:from>
    <xdr:ext cx="427233" cy="331116"/>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523875" y="2047875"/>
          <a:ext cx="427233"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t>đạt</a:t>
          </a:r>
        </a:p>
      </xdr:txBody>
    </xdr:sp>
    <xdr:clientData/>
  </xdr:oneCellAnchor>
  <xdr:oneCellAnchor>
    <xdr:from>
      <xdr:col>64</xdr:col>
      <xdr:colOff>276225</xdr:colOff>
      <xdr:row>10</xdr:row>
      <xdr:rowOff>133350</xdr:rowOff>
    </xdr:from>
    <xdr:ext cx="1314450" cy="331116"/>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962025" y="2305050"/>
          <a:ext cx="131445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tỷ</a:t>
          </a:r>
          <a:r>
            <a:rPr lang="en-US" sz="1400" baseline="0"/>
            <a:t> lệ hòa vốn</a:t>
          </a:r>
          <a:endParaRPr lang="en-US" sz="1400"/>
        </a:p>
      </xdr:txBody>
    </xdr:sp>
    <xdr:clientData/>
  </xdr:oneCellAnchor>
  <xdr:oneCellAnchor>
    <xdr:from>
      <xdr:col>64</xdr:col>
      <xdr:colOff>200025</xdr:colOff>
      <xdr:row>9</xdr:row>
      <xdr:rowOff>28576</xdr:rowOff>
    </xdr:from>
    <xdr:ext cx="876300" cy="706475"/>
    <xdr:sp macro="" textlink="$CY$5">
      <xdr:nvSpPr>
        <xdr:cNvPr id="38" name="TextBox 37">
          <a:extLst>
            <a:ext uri="{FF2B5EF4-FFF2-40B4-BE49-F238E27FC236}">
              <a16:creationId xmlns:a16="http://schemas.microsoft.com/office/drawing/2014/main" id="{00000000-0008-0000-0500-000026000000}"/>
            </a:ext>
          </a:extLst>
        </xdr:cNvPr>
        <xdr:cNvSpPr txBox="1"/>
      </xdr:nvSpPr>
      <xdr:spPr>
        <a:xfrm>
          <a:off x="63874650" y="2066926"/>
          <a:ext cx="876300" cy="706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92FA29B-0C95-4490-92EB-339308572DD8}" type="TxLink">
            <a:rPr lang="en-US" sz="1800" b="1" i="0" u="none" strike="noStrike">
              <a:solidFill>
                <a:srgbClr val="000000"/>
              </a:solidFill>
              <a:latin typeface="Segoe UI Light"/>
              <a:ea typeface="+mn-ea"/>
              <a:cs typeface="Segoe UI Light"/>
            </a:rPr>
            <a:pPr marL="0" indent="0" algn="ctr"/>
            <a:t>#DIV/0!</a:t>
          </a:fld>
          <a:endParaRPr lang="en-US" sz="1800" b="1" i="0" u="none" strike="noStrike">
            <a:solidFill>
              <a:srgbClr val="000000"/>
            </a:solidFill>
            <a:latin typeface="Segoe UI Light"/>
            <a:ea typeface="+mn-ea"/>
            <a:cs typeface="Segoe UI Light"/>
          </a:endParaRPr>
        </a:p>
      </xdr:txBody>
    </xdr:sp>
    <xdr:clientData/>
  </xdr:oneCellAnchor>
  <xdr:twoCellAnchor>
    <xdr:from>
      <xdr:col>80</xdr:col>
      <xdr:colOff>228600</xdr:colOff>
      <xdr:row>10</xdr:row>
      <xdr:rowOff>28575</xdr:rowOff>
    </xdr:from>
    <xdr:to>
      <xdr:col>82</xdr:col>
      <xdr:colOff>600075</xdr:colOff>
      <xdr:row>12</xdr:row>
      <xdr:rowOff>77039</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1915775" y="2200275"/>
          <a:ext cx="1743075"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a:solidFill>
                <a:schemeClr val="tx1"/>
              </a:solidFill>
              <a:latin typeface="+mn-lt"/>
              <a:ea typeface="+mn-ea"/>
              <a:cs typeface="+mn-cs"/>
            </a:rPr>
            <a:t>VND so cùng kỳ</a:t>
          </a:r>
        </a:p>
      </xdr:txBody>
    </xdr:sp>
    <xdr:clientData/>
  </xdr:twoCellAnchor>
  <xdr:twoCellAnchor>
    <xdr:from>
      <xdr:col>80</xdr:col>
      <xdr:colOff>676275</xdr:colOff>
      <xdr:row>8</xdr:row>
      <xdr:rowOff>202019</xdr:rowOff>
    </xdr:from>
    <xdr:to>
      <xdr:col>82</xdr:col>
      <xdr:colOff>384675</xdr:colOff>
      <xdr:row>10</xdr:row>
      <xdr:rowOff>79923</xdr:rowOff>
    </xdr:to>
    <xdr:sp macro="" textlink="$DC$7">
      <xdr:nvSpPr>
        <xdr:cNvPr id="41" name="TextBox 40">
          <a:extLst>
            <a:ext uri="{FF2B5EF4-FFF2-40B4-BE49-F238E27FC236}">
              <a16:creationId xmlns:a16="http://schemas.microsoft.com/office/drawing/2014/main" id="{00000000-0008-0000-0500-000029000000}"/>
            </a:ext>
          </a:extLst>
        </xdr:cNvPr>
        <xdr:cNvSpPr txBox="1"/>
      </xdr:nvSpPr>
      <xdr:spPr>
        <a:xfrm>
          <a:off x="12283168" y="2052590"/>
          <a:ext cx="1069114" cy="3405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D70DB5E-98FD-42EB-A498-A4384CCCF709}" type="TxLink">
            <a:rPr lang="en-US" sz="1800" b="1" i="0" u="none" strike="noStrike">
              <a:solidFill>
                <a:schemeClr val="accent6">
                  <a:lumMod val="50000"/>
                </a:schemeClr>
              </a:solidFill>
              <a:latin typeface="Segoe UI Light"/>
              <a:ea typeface="+mn-ea"/>
              <a:cs typeface="Segoe UI Light"/>
            </a:rPr>
            <a:pPr marL="0" indent="0" algn="ctr"/>
            <a:t>#DIV/0!</a:t>
          </a:fld>
          <a:endParaRPr lang="en-US" sz="1800" b="1" i="0" u="none" strike="noStrike">
            <a:solidFill>
              <a:schemeClr val="accent6">
                <a:lumMod val="50000"/>
              </a:schemeClr>
            </a:solidFill>
            <a:latin typeface="Segoe UI Light"/>
            <a:ea typeface="+mn-ea"/>
            <a:cs typeface="Segoe UI Light"/>
          </a:endParaRPr>
        </a:p>
      </xdr:txBody>
    </xdr:sp>
    <xdr:clientData/>
  </xdr:twoCellAnchor>
  <xdr:twoCellAnchor>
    <xdr:from>
      <xdr:col>80</xdr:col>
      <xdr:colOff>85725</xdr:colOff>
      <xdr:row>9</xdr:row>
      <xdr:rowOff>9525</xdr:rowOff>
    </xdr:from>
    <xdr:to>
      <xdr:col>81</xdr:col>
      <xdr:colOff>295275</xdr:colOff>
      <xdr:row>10</xdr:row>
      <xdr:rowOff>79923</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692618" y="2091418"/>
          <a:ext cx="889907" cy="301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t>thay đổi</a:t>
          </a:r>
        </a:p>
      </xdr:txBody>
    </xdr:sp>
    <xdr:clientData/>
  </xdr:twoCellAnchor>
  <xdr:twoCellAnchor>
    <xdr:from>
      <xdr:col>67</xdr:col>
      <xdr:colOff>186568</xdr:colOff>
      <xdr:row>4</xdr:row>
      <xdr:rowOff>181283</xdr:rowOff>
    </xdr:from>
    <xdr:to>
      <xdr:col>69</xdr:col>
      <xdr:colOff>619451</xdr:colOff>
      <xdr:row>12</xdr:row>
      <xdr:rowOff>84012</xdr:rowOff>
    </xdr:to>
    <xdr:grpSp>
      <xdr:nvGrpSpPr>
        <xdr:cNvPr id="82" name="Group 81">
          <a:extLst>
            <a:ext uri="{FF2B5EF4-FFF2-40B4-BE49-F238E27FC236}">
              <a16:creationId xmlns:a16="http://schemas.microsoft.com/office/drawing/2014/main" id="{00000000-0008-0000-0500-000052000000}"/>
            </a:ext>
          </a:extLst>
        </xdr:cNvPr>
        <xdr:cNvGrpSpPr/>
      </xdr:nvGrpSpPr>
      <xdr:grpSpPr>
        <a:xfrm>
          <a:off x="8456509" y="1077754"/>
          <a:ext cx="1800001" cy="1684464"/>
          <a:chOff x="6394627" y="1077754"/>
          <a:chExt cx="1800000" cy="169567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394627" y="1333424"/>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500-000015000000}"/>
              </a:ext>
            </a:extLst>
          </xdr:cNvPr>
          <xdr:cNvSpPr/>
        </xdr:nvSpPr>
        <xdr:spPr>
          <a:xfrm>
            <a:off x="6664627" y="107775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Lợi</a:t>
            </a:r>
            <a:r>
              <a:rPr lang="en-US" sz="1200" b="1" baseline="0">
                <a:solidFill>
                  <a:schemeClr val="accent6">
                    <a:lumMod val="50000"/>
                  </a:schemeClr>
                </a:solidFill>
              </a:rPr>
              <a:t> nhuận</a:t>
            </a:r>
            <a:endParaRPr lang="vi-VN" sz="1200" b="1">
              <a:solidFill>
                <a:schemeClr val="accent6">
                  <a:lumMod val="50000"/>
                </a:schemeClr>
              </a:solidFill>
            </a:endParaRPr>
          </a:p>
        </xdr:txBody>
      </xdr:sp>
      <xdr:sp macro="" textlink="$CX$8">
        <xdr:nvSpPr>
          <xdr:cNvPr id="30" name="TextBox 29">
            <a:extLst>
              <a:ext uri="{FF2B5EF4-FFF2-40B4-BE49-F238E27FC236}">
                <a16:creationId xmlns:a16="http://schemas.microsoft.com/office/drawing/2014/main" id="{00000000-0008-0000-0500-00001E000000}"/>
              </a:ext>
            </a:extLst>
          </xdr:cNvPr>
          <xdr:cNvSpPr txBox="1"/>
        </xdr:nvSpPr>
        <xdr:spPr>
          <a:xfrm>
            <a:off x="6625284" y="1564741"/>
            <a:ext cx="1338687" cy="525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DCE439-F56A-4E79-B0D6-7247EBCEEEF2}"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754627" y="246742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0" name="Group 69">
            <a:extLst>
              <a:ext uri="{FF2B5EF4-FFF2-40B4-BE49-F238E27FC236}">
                <a16:creationId xmlns:a16="http://schemas.microsoft.com/office/drawing/2014/main" id="{00000000-0008-0000-0500-000046000000}"/>
              </a:ext>
            </a:extLst>
          </xdr:cNvPr>
          <xdr:cNvGrpSpPr/>
        </xdr:nvGrpSpPr>
        <xdr:grpSpPr>
          <a:xfrm>
            <a:off x="6548609" y="2157934"/>
            <a:ext cx="1492037" cy="306000"/>
            <a:chOff x="6517071" y="2157934"/>
            <a:chExt cx="1492037" cy="306000"/>
          </a:xfrm>
        </xdr:grpSpPr>
        <xdr:sp macro="" textlink="$DB$8">
          <xdr:nvSpPr>
            <xdr:cNvPr id="46" name="TextBox 45">
              <a:extLst>
                <a:ext uri="{FF2B5EF4-FFF2-40B4-BE49-F238E27FC236}">
                  <a16:creationId xmlns:a16="http://schemas.microsoft.com/office/drawing/2014/main" id="{00000000-0008-0000-0500-00002E000000}"/>
                </a:ext>
              </a:extLst>
            </xdr:cNvPr>
            <xdr:cNvSpPr txBox="1"/>
          </xdr:nvSpPr>
          <xdr:spPr>
            <a:xfrm>
              <a:off x="6929108" y="215793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76B1AA0-C169-4E6D-8D59-B54653EF783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8">
          <xdr:nvSpPr>
            <xdr:cNvPr id="47" name="TextBox 46">
              <a:extLst>
                <a:ext uri="{FF2B5EF4-FFF2-40B4-BE49-F238E27FC236}">
                  <a16:creationId xmlns:a16="http://schemas.microsoft.com/office/drawing/2014/main" id="{00000000-0008-0000-0500-00002F000000}"/>
                </a:ext>
              </a:extLst>
            </xdr:cNvPr>
            <xdr:cNvSpPr txBox="1"/>
          </xdr:nvSpPr>
          <xdr:spPr>
            <a:xfrm>
              <a:off x="6517071" y="2157934"/>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D5005E9-685A-4316-994B-6FBDDDB820C6}"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grpSp>
    <xdr:clientData/>
  </xdr:twoCellAnchor>
  <xdr:twoCellAnchor>
    <xdr:from>
      <xdr:col>65</xdr:col>
      <xdr:colOff>209551</xdr:colOff>
      <xdr:row>13</xdr:row>
      <xdr:rowOff>176664</xdr:rowOff>
    </xdr:from>
    <xdr:to>
      <xdr:col>67</xdr:col>
      <xdr:colOff>375575</xdr:colOff>
      <xdr:row>16</xdr:row>
      <xdr:rowOff>38100</xdr:rowOff>
    </xdr:to>
    <xdr:sp macro="" textlink="$CX$12">
      <xdr:nvSpPr>
        <xdr:cNvPr id="60" name="TextBox 59">
          <a:extLst>
            <a:ext uri="{FF2B5EF4-FFF2-40B4-BE49-F238E27FC236}">
              <a16:creationId xmlns:a16="http://schemas.microsoft.com/office/drawing/2014/main" id="{00000000-0008-0000-0500-00003C000000}"/>
            </a:ext>
          </a:extLst>
        </xdr:cNvPr>
        <xdr:cNvSpPr txBox="1"/>
      </xdr:nvSpPr>
      <xdr:spPr>
        <a:xfrm>
          <a:off x="5050492" y="3090193"/>
          <a:ext cx="1533142" cy="533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#DIV/0!</a:t>
          </a:fld>
          <a:endParaRPr lang="en-US" sz="2400" b="1" i="0" u="none" strike="noStrike">
            <a:solidFill>
              <a:schemeClr val="accent6"/>
            </a:solidFill>
            <a:latin typeface="Segoe UI Light"/>
            <a:ea typeface="+mn-ea"/>
            <a:cs typeface="Segoe UI Light"/>
          </a:endParaRPr>
        </a:p>
      </xdr:txBody>
    </xdr:sp>
    <xdr:clientData/>
  </xdr:twoCellAnchor>
  <xdr:twoCellAnchor>
    <xdr:from>
      <xdr:col>67</xdr:col>
      <xdr:colOff>248073</xdr:colOff>
      <xdr:row>14</xdr:row>
      <xdr:rowOff>72183</xdr:rowOff>
    </xdr:from>
    <xdr:to>
      <xdr:col>69</xdr:col>
      <xdr:colOff>495300</xdr:colOff>
      <xdr:row>15</xdr:row>
      <xdr:rowOff>142581</xdr:rowOff>
    </xdr:to>
    <xdr:sp macro="" textlink="$CV$11">
      <xdr:nvSpPr>
        <xdr:cNvPr id="61" name="TextBox 60">
          <a:extLst>
            <a:ext uri="{FF2B5EF4-FFF2-40B4-BE49-F238E27FC236}">
              <a16:creationId xmlns:a16="http://schemas.microsoft.com/office/drawing/2014/main" id="{00000000-0008-0000-0500-00003D000000}"/>
            </a:ext>
          </a:extLst>
        </xdr:cNvPr>
        <xdr:cNvSpPr txBox="1"/>
      </xdr:nvSpPr>
      <xdr:spPr>
        <a:xfrm>
          <a:off x="2991273" y="3082083"/>
          <a:ext cx="16188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sản lượng trong kỳ</a:t>
          </a:fld>
          <a:endParaRPr lang="en-US" sz="1400" baseline="0">
            <a:solidFill>
              <a:schemeClr val="tx1"/>
            </a:solidFill>
            <a:latin typeface="+mn-lt"/>
            <a:ea typeface="+mn-ea"/>
            <a:cs typeface="+mn-cs"/>
          </a:endParaRPr>
        </a:p>
      </xdr:txBody>
    </xdr:sp>
    <xdr:clientData/>
  </xdr:twoCellAnchor>
  <xdr:twoCellAnchor>
    <xdr:from>
      <xdr:col>66</xdr:col>
      <xdr:colOff>238126</xdr:colOff>
      <xdr:row>15</xdr:row>
      <xdr:rowOff>147637</xdr:rowOff>
    </xdr:from>
    <xdr:to>
      <xdr:col>67</xdr:col>
      <xdr:colOff>323850</xdr:colOff>
      <xdr:row>17</xdr:row>
      <xdr:rowOff>196101</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295526" y="3367087"/>
          <a:ext cx="771524"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67</xdr:col>
      <xdr:colOff>457200</xdr:colOff>
      <xdr:row>15</xdr:row>
      <xdr:rowOff>147637</xdr:rowOff>
    </xdr:from>
    <xdr:to>
      <xdr:col>70</xdr:col>
      <xdr:colOff>200025</xdr:colOff>
      <xdr:row>17</xdr:row>
      <xdr:rowOff>196101</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3200400" y="3367087"/>
          <a:ext cx="1828800"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67</xdr:col>
      <xdr:colOff>114723</xdr:colOff>
      <xdr:row>15</xdr:row>
      <xdr:rowOff>115590</xdr:rowOff>
    </xdr:from>
    <xdr:to>
      <xdr:col>67</xdr:col>
      <xdr:colOff>542924</xdr:colOff>
      <xdr:row>17</xdr:row>
      <xdr:rowOff>196101</xdr:rowOff>
    </xdr:to>
    <xdr:sp macro="" textlink="$CX$11">
      <xdr:nvSpPr>
        <xdr:cNvPr id="64" name="TextBox 63">
          <a:extLst>
            <a:ext uri="{FF2B5EF4-FFF2-40B4-BE49-F238E27FC236}">
              <a16:creationId xmlns:a16="http://schemas.microsoft.com/office/drawing/2014/main" id="{00000000-0008-0000-0500-000040000000}"/>
            </a:ext>
          </a:extLst>
        </xdr:cNvPr>
        <xdr:cNvSpPr txBox="1"/>
      </xdr:nvSpPr>
      <xdr:spPr>
        <a:xfrm>
          <a:off x="2857923" y="3335040"/>
          <a:ext cx="428201" cy="499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0</a:t>
          </a:fld>
          <a:endParaRPr lang="en-US" sz="2400" b="1" i="0" u="none" strike="noStrike">
            <a:solidFill>
              <a:schemeClr val="accent6"/>
            </a:solidFill>
            <a:latin typeface="Segoe UI Light"/>
            <a:ea typeface="+mn-ea"/>
            <a:cs typeface="Segoe UI Light"/>
          </a:endParaRPr>
        </a:p>
      </xdr:txBody>
    </xdr:sp>
    <xdr:clientData/>
  </xdr:twoCellAnchor>
  <xdr:twoCellAnchor editAs="oneCell">
    <xdr:from>
      <xdr:col>64</xdr:col>
      <xdr:colOff>414618</xdr:colOff>
      <xdr:row>0</xdr:row>
      <xdr:rowOff>0</xdr:rowOff>
    </xdr:from>
    <xdr:to>
      <xdr:col>81</xdr:col>
      <xdr:colOff>442074</xdr:colOff>
      <xdr:row>3</xdr:row>
      <xdr:rowOff>171450</xdr:rowOff>
    </xdr:to>
    <mc:AlternateContent xmlns:mc="http://schemas.openxmlformats.org/markup-compatibility/2006" xmlns:tsle="http://schemas.microsoft.com/office/drawing/2012/timeslicer">
      <mc:Choice Requires="tsle">
        <xdr:graphicFrame macro="">
          <xdr:nvGraphicFramePr>
            <xdr:cNvPr id="19" name="Kỳ">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microsoft.com/office/drawing/2012/timeslicer">
              <tsle:timeslicer name="Kỳ"/>
            </a:graphicData>
          </a:graphic>
        </xdr:graphicFrame>
      </mc:Choice>
      <mc:Fallback xmlns="">
        <xdr:sp macro="" textlink="">
          <xdr:nvSpPr>
            <xdr:cNvPr id="0" name=""/>
            <xdr:cNvSpPr>
              <a:spLocks noTextEdit="1"/>
            </xdr:cNvSpPr>
          </xdr:nvSpPr>
          <xdr:spPr>
            <a:xfrm>
              <a:off x="4572000" y="0"/>
              <a:ext cx="11936508" cy="84380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64</xdr:col>
      <xdr:colOff>11107</xdr:colOff>
      <xdr:row>28</xdr:row>
      <xdr:rowOff>119982</xdr:rowOff>
    </xdr:from>
    <xdr:to>
      <xdr:col>82</xdr:col>
      <xdr:colOff>237104</xdr:colOff>
      <xdr:row>42</xdr:row>
      <xdr:rowOff>51169</xdr:rowOff>
    </xdr:to>
    <xdr:sp macro="" textlink="">
      <xdr:nvSpPr>
        <xdr:cNvPr id="56" name="Rectangle: Rounded Corners 55">
          <a:extLst>
            <a:ext uri="{FF2B5EF4-FFF2-40B4-BE49-F238E27FC236}">
              <a16:creationId xmlns:a16="http://schemas.microsoft.com/office/drawing/2014/main" id="{00000000-0008-0000-0500-000038000000}"/>
            </a:ext>
          </a:extLst>
        </xdr:cNvPr>
        <xdr:cNvSpPr/>
      </xdr:nvSpPr>
      <xdr:spPr>
        <a:xfrm>
          <a:off x="4168489" y="6395276"/>
          <a:ext cx="12563674" cy="3068834"/>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207301</xdr:colOff>
      <xdr:row>28</xdr:row>
      <xdr:rowOff>145677</xdr:rowOff>
    </xdr:from>
    <xdr:to>
      <xdr:col>69</xdr:col>
      <xdr:colOff>123265</xdr:colOff>
      <xdr:row>42</xdr:row>
      <xdr:rowOff>77955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83</xdr:col>
      <xdr:colOff>215463</xdr:colOff>
      <xdr:row>4</xdr:row>
      <xdr:rowOff>85724</xdr:rowOff>
    </xdr:from>
    <xdr:to>
      <xdr:col>88</xdr:col>
      <xdr:colOff>19050</xdr:colOff>
      <xdr:row>12</xdr:row>
      <xdr:rowOff>180975</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83</xdr:col>
      <xdr:colOff>66675</xdr:colOff>
      <xdr:row>13</xdr:row>
      <xdr:rowOff>209085</xdr:rowOff>
    </xdr:from>
    <xdr:to>
      <xdr:col>88</xdr:col>
      <xdr:colOff>237675</xdr:colOff>
      <xdr:row>28</xdr:row>
      <xdr:rowOff>8120</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17245293" y="3122614"/>
          <a:ext cx="3588794"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83</xdr:col>
      <xdr:colOff>423582</xdr:colOff>
      <xdr:row>14</xdr:row>
      <xdr:rowOff>102873</xdr:rowOff>
    </xdr:from>
    <xdr:to>
      <xdr:col>88</xdr:col>
      <xdr:colOff>62215</xdr:colOff>
      <xdr:row>16</xdr:row>
      <xdr:rowOff>14638</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4128376" y="3240520"/>
          <a:ext cx="3056427"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83</xdr:col>
      <xdr:colOff>401171</xdr:colOff>
      <xdr:row>17</xdr:row>
      <xdr:rowOff>43643</xdr:rowOff>
    </xdr:from>
    <xdr:to>
      <xdr:col>85</xdr:col>
      <xdr:colOff>305919</xdr:colOff>
      <xdr:row>19</xdr:row>
      <xdr:rowOff>86842</xdr:rowOff>
    </xdr:to>
    <xdr:sp macro="" textlink="#REF!">
      <xdr:nvSpPr>
        <xdr:cNvPr id="104" name="TextBox 103">
          <a:extLst>
            <a:ext uri="{FF2B5EF4-FFF2-40B4-BE49-F238E27FC236}">
              <a16:creationId xmlns:a16="http://schemas.microsoft.com/office/drawing/2014/main" id="{00000000-0008-0000-0500-000068000000}"/>
            </a:ext>
          </a:extLst>
        </xdr:cNvPr>
        <xdr:cNvSpPr txBox="1"/>
      </xdr:nvSpPr>
      <xdr:spPr>
        <a:xfrm>
          <a:off x="14105965" y="3853643"/>
          <a:ext cx="1271866" cy="491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84</xdr:col>
      <xdr:colOff>353545</xdr:colOff>
      <xdr:row>24</xdr:row>
      <xdr:rowOff>183468</xdr:rowOff>
    </xdr:from>
    <xdr:to>
      <xdr:col>86</xdr:col>
      <xdr:colOff>105894</xdr:colOff>
      <xdr:row>27</xdr:row>
      <xdr:rowOff>21570</xdr:rowOff>
    </xdr:to>
    <xdr:sp macro="" textlink="#REF!">
      <xdr:nvSpPr>
        <xdr:cNvPr id="115" name="TextBox 114">
          <a:extLst>
            <a:ext uri="{FF2B5EF4-FFF2-40B4-BE49-F238E27FC236}">
              <a16:creationId xmlns:a16="http://schemas.microsoft.com/office/drawing/2014/main" id="{00000000-0008-0000-05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83</xdr:col>
      <xdr:colOff>66675</xdr:colOff>
      <xdr:row>28</xdr:row>
      <xdr:rowOff>119982</xdr:rowOff>
    </xdr:from>
    <xdr:to>
      <xdr:col>88</xdr:col>
      <xdr:colOff>237675</xdr:colOff>
      <xdr:row>42</xdr:row>
      <xdr:rowOff>53135</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7245293" y="6395276"/>
          <a:ext cx="3588794"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425823</xdr:colOff>
      <xdr:row>29</xdr:row>
      <xdr:rowOff>73957</xdr:rowOff>
    </xdr:from>
    <xdr:to>
      <xdr:col>81</xdr:col>
      <xdr:colOff>672353</xdr:colOff>
      <xdr:row>41</xdr:row>
      <xdr:rowOff>127745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74</xdr:col>
      <xdr:colOff>96372</xdr:colOff>
      <xdr:row>29</xdr:row>
      <xdr:rowOff>94971</xdr:rowOff>
    </xdr:from>
    <xdr:to>
      <xdr:col>77</xdr:col>
      <xdr:colOff>582707</xdr:colOff>
      <xdr:row>31</xdr:row>
      <xdr:rowOff>143435</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7649137" y="6594383"/>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77</xdr:col>
      <xdr:colOff>404531</xdr:colOff>
      <xdr:row>29</xdr:row>
      <xdr:rowOff>107014</xdr:rowOff>
    </xdr:from>
    <xdr:to>
      <xdr:col>79</xdr:col>
      <xdr:colOff>309280</xdr:colOff>
      <xdr:row>31</xdr:row>
      <xdr:rowOff>150996</xdr:rowOff>
    </xdr:to>
    <xdr:sp macro="" textlink="$CX$32">
      <xdr:nvSpPr>
        <xdr:cNvPr id="124" name="TextBox 123">
          <a:extLst>
            <a:ext uri="{FF2B5EF4-FFF2-40B4-BE49-F238E27FC236}">
              <a16:creationId xmlns:a16="http://schemas.microsoft.com/office/drawing/2014/main" id="{00000000-0008-0000-0500-00007C000000}"/>
            </a:ext>
          </a:extLst>
        </xdr:cNvPr>
        <xdr:cNvSpPr txBox="1"/>
      </xdr:nvSpPr>
      <xdr:spPr>
        <a:xfrm>
          <a:off x="10007972" y="6606426"/>
          <a:ext cx="1271867" cy="492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#DIV/0!</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78</xdr:col>
      <xdr:colOff>91889</xdr:colOff>
      <xdr:row>30</xdr:row>
      <xdr:rowOff>180137</xdr:rowOff>
    </xdr:from>
    <xdr:to>
      <xdr:col>81</xdr:col>
      <xdr:colOff>578224</xdr:colOff>
      <xdr:row>33</xdr:row>
      <xdr:rowOff>4483</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0378889" y="6903666"/>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83</xdr:col>
          <xdr:colOff>295275</xdr:colOff>
          <xdr:row>29</xdr:row>
          <xdr:rowOff>38100</xdr:rowOff>
        </xdr:from>
        <xdr:to>
          <xdr:col>84</xdr:col>
          <xdr:colOff>428625</xdr:colOff>
          <xdr:row>30</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83</xdr:col>
      <xdr:colOff>201483</xdr:colOff>
      <xdr:row>35</xdr:row>
      <xdr:rowOff>121254</xdr:rowOff>
    </xdr:from>
    <xdr:to>
      <xdr:col>88</xdr:col>
      <xdr:colOff>102868</xdr:colOff>
      <xdr:row>37</xdr:row>
      <xdr:rowOff>33019</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19441983" y="7954166"/>
          <a:ext cx="3319179" cy="360000"/>
          <a:chOff x="13888014" y="8129588"/>
          <a:chExt cx="3330385" cy="366498"/>
        </a:xfrm>
      </xdr:grpSpPr>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Y$33">
        <xdr:nvSpPr>
          <xdr:cNvPr id="139" name="TextBox 138">
            <a:extLst>
              <a:ext uri="{FF2B5EF4-FFF2-40B4-BE49-F238E27FC236}">
                <a16:creationId xmlns:a16="http://schemas.microsoft.com/office/drawing/2014/main" id="{00000000-0008-0000-05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84</xdr:col>
      <xdr:colOff>116068</xdr:colOff>
      <xdr:row>37</xdr:row>
      <xdr:rowOff>41955</xdr:rowOff>
    </xdr:from>
    <xdr:to>
      <xdr:col>88</xdr:col>
      <xdr:colOff>123827</xdr:colOff>
      <xdr:row>41</xdr:row>
      <xdr:rowOff>132108</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0040127" y="8323102"/>
          <a:ext cx="2741994" cy="986624"/>
          <a:chOff x="14402141" y="8443862"/>
          <a:chExt cx="2763377" cy="999862"/>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14402141" y="8443862"/>
            <a:ext cx="2763377" cy="364832"/>
            <a:chOff x="14306891" y="8443862"/>
            <a:chExt cx="2763377" cy="364832"/>
          </a:xfrm>
        </xdr:grpSpPr>
        <xdr:sp macro="" textlink="$CY$53">
          <xdr:nvSpPr>
            <xdr:cNvPr id="140" name="TextBox 139">
              <a:extLst>
                <a:ext uri="{FF2B5EF4-FFF2-40B4-BE49-F238E27FC236}">
                  <a16:creationId xmlns:a16="http://schemas.microsoft.com/office/drawing/2014/main" id="{00000000-0008-0000-05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Y$33">
          <xdr:nvSpPr>
            <xdr:cNvPr id="141" name="TextBox 140">
              <a:extLst>
                <a:ext uri="{FF2B5EF4-FFF2-40B4-BE49-F238E27FC236}">
                  <a16:creationId xmlns:a16="http://schemas.microsoft.com/office/drawing/2014/main" id="{00000000-0008-0000-05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3">
          <xdr:nvSpPr>
            <xdr:cNvPr id="142" name="TextBox 141">
              <a:extLst>
                <a:ext uri="{FF2B5EF4-FFF2-40B4-BE49-F238E27FC236}">
                  <a16:creationId xmlns:a16="http://schemas.microsoft.com/office/drawing/2014/main" id="{00000000-0008-0000-05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0%</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500-000033000000}"/>
              </a:ext>
            </a:extLst>
          </xdr:cNvPr>
          <xdr:cNvGrpSpPr/>
        </xdr:nvGrpSpPr>
        <xdr:grpSpPr>
          <a:xfrm>
            <a:off x="14402141" y="8760625"/>
            <a:ext cx="2763377" cy="364830"/>
            <a:chOff x="14306891" y="8735993"/>
            <a:chExt cx="2763377" cy="364830"/>
          </a:xfrm>
        </xdr:grpSpPr>
        <xdr:sp macro="" textlink="$CY$54">
          <xdr:nvSpPr>
            <xdr:cNvPr id="143" name="TextBox 142">
              <a:extLst>
                <a:ext uri="{FF2B5EF4-FFF2-40B4-BE49-F238E27FC236}">
                  <a16:creationId xmlns:a16="http://schemas.microsoft.com/office/drawing/2014/main" id="{00000000-0008-0000-05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4" name="TextBox 143">
              <a:extLst>
                <a:ext uri="{FF2B5EF4-FFF2-40B4-BE49-F238E27FC236}">
                  <a16:creationId xmlns:a16="http://schemas.microsoft.com/office/drawing/2014/main" id="{00000000-0008-0000-05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4">
          <xdr:nvSpPr>
            <xdr:cNvPr id="145" name="TextBox 144">
              <a:extLst>
                <a:ext uri="{FF2B5EF4-FFF2-40B4-BE49-F238E27FC236}">
                  <a16:creationId xmlns:a16="http://schemas.microsoft.com/office/drawing/2014/main" id="{00000000-0008-0000-05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500-000035000000}"/>
              </a:ext>
            </a:extLst>
          </xdr:cNvPr>
          <xdr:cNvGrpSpPr/>
        </xdr:nvGrpSpPr>
        <xdr:grpSpPr>
          <a:xfrm>
            <a:off x="14402141" y="9078894"/>
            <a:ext cx="2763377" cy="364830"/>
            <a:chOff x="14306891" y="9078894"/>
            <a:chExt cx="2763377" cy="364830"/>
          </a:xfrm>
        </xdr:grpSpPr>
        <xdr:sp macro="" textlink="$CY$55">
          <xdr:nvSpPr>
            <xdr:cNvPr id="146" name="TextBox 145">
              <a:extLst>
                <a:ext uri="{FF2B5EF4-FFF2-40B4-BE49-F238E27FC236}">
                  <a16:creationId xmlns:a16="http://schemas.microsoft.com/office/drawing/2014/main" id="{00000000-0008-0000-05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7" name="TextBox 146">
              <a:extLst>
                <a:ext uri="{FF2B5EF4-FFF2-40B4-BE49-F238E27FC236}">
                  <a16:creationId xmlns:a16="http://schemas.microsoft.com/office/drawing/2014/main" id="{00000000-0008-0000-05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5">
          <xdr:nvSpPr>
            <xdr:cNvPr id="148" name="TextBox 147">
              <a:extLst>
                <a:ext uri="{FF2B5EF4-FFF2-40B4-BE49-F238E27FC236}">
                  <a16:creationId xmlns:a16="http://schemas.microsoft.com/office/drawing/2014/main" id="{00000000-0008-0000-05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83</xdr:col>
      <xdr:colOff>505538</xdr:colOff>
      <xdr:row>22</xdr:row>
      <xdr:rowOff>183294</xdr:rowOff>
    </xdr:from>
    <xdr:to>
      <xdr:col>88</xdr:col>
      <xdr:colOff>198346</xdr:colOff>
      <xdr:row>24</xdr:row>
      <xdr:rowOff>95058</xdr:rowOff>
    </xdr:to>
    <xdr:grpSp>
      <xdr:nvGrpSpPr>
        <xdr:cNvPr id="72" name="Group 71">
          <a:extLst>
            <a:ext uri="{FF2B5EF4-FFF2-40B4-BE49-F238E27FC236}">
              <a16:creationId xmlns:a16="http://schemas.microsoft.com/office/drawing/2014/main" id="{00000000-0008-0000-0500-000048000000}"/>
            </a:ext>
          </a:extLst>
        </xdr:cNvPr>
        <xdr:cNvGrpSpPr/>
      </xdr:nvGrpSpPr>
      <xdr:grpSpPr>
        <a:xfrm>
          <a:off x="19746038" y="5102676"/>
          <a:ext cx="3110602" cy="360000"/>
          <a:chOff x="14121093" y="4979261"/>
          <a:chExt cx="3110602" cy="360000"/>
        </a:xfrm>
      </xdr:grpSpPr>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5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252371</xdr:colOff>
      <xdr:row>18</xdr:row>
      <xdr:rowOff>123382</xdr:rowOff>
    </xdr:from>
    <xdr:to>
      <xdr:col>88</xdr:col>
      <xdr:colOff>198346</xdr:colOff>
      <xdr:row>20</xdr:row>
      <xdr:rowOff>35147</xdr:rowOff>
    </xdr:to>
    <xdr:grpSp>
      <xdr:nvGrpSpPr>
        <xdr:cNvPr id="59" name="Group 58">
          <a:extLst>
            <a:ext uri="{FF2B5EF4-FFF2-40B4-BE49-F238E27FC236}">
              <a16:creationId xmlns:a16="http://schemas.microsoft.com/office/drawing/2014/main" id="{00000000-0008-0000-0500-00003B000000}"/>
            </a:ext>
          </a:extLst>
        </xdr:cNvPr>
        <xdr:cNvGrpSpPr/>
      </xdr:nvGrpSpPr>
      <xdr:grpSpPr>
        <a:xfrm>
          <a:off x="19492871" y="4146294"/>
          <a:ext cx="3363769" cy="360000"/>
          <a:chOff x="13840386" y="4087767"/>
          <a:chExt cx="3363769" cy="360000"/>
        </a:xfrm>
      </xdr:grpSpPr>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8">
        <xdr:nvSpPr>
          <xdr:cNvPr id="156" name="TextBox 155">
            <a:extLst>
              <a:ext uri="{FF2B5EF4-FFF2-40B4-BE49-F238E27FC236}">
                <a16:creationId xmlns:a16="http://schemas.microsoft.com/office/drawing/2014/main" id="{00000000-0008-0000-05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33056</xdr:colOff>
      <xdr:row>16</xdr:row>
      <xdr:rowOff>93427</xdr:rowOff>
    </xdr:from>
    <xdr:to>
      <xdr:col>88</xdr:col>
      <xdr:colOff>198346</xdr:colOff>
      <xdr:row>18</xdr:row>
      <xdr:rowOff>5191</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19273556" y="3668103"/>
          <a:ext cx="3583084" cy="360000"/>
          <a:chOff x="13737850" y="3679309"/>
          <a:chExt cx="3583084" cy="360000"/>
        </a:xfrm>
      </xdr:grpSpPr>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5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83</xdr:col>
      <xdr:colOff>254493</xdr:colOff>
      <xdr:row>24</xdr:row>
      <xdr:rowOff>213250</xdr:rowOff>
    </xdr:from>
    <xdr:to>
      <xdr:col>88</xdr:col>
      <xdr:colOff>198346</xdr:colOff>
      <xdr:row>26</xdr:row>
      <xdr:rowOff>125015</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19494993" y="5580868"/>
          <a:ext cx="3361647" cy="360000"/>
          <a:chOff x="13847669" y="5367956"/>
          <a:chExt cx="3361647" cy="360000"/>
        </a:xfrm>
      </xdr:grpSpPr>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9">
        <xdr:nvSpPr>
          <xdr:cNvPr id="155" name="TextBox 154">
            <a:extLst>
              <a:ext uri="{FF2B5EF4-FFF2-40B4-BE49-F238E27FC236}">
                <a16:creationId xmlns:a16="http://schemas.microsoft.com/office/drawing/2014/main" id="{00000000-0008-0000-05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84</xdr:col>
      <xdr:colOff>114552</xdr:colOff>
      <xdr:row>20</xdr:row>
      <xdr:rowOff>153338</xdr:rowOff>
    </xdr:from>
    <xdr:to>
      <xdr:col>87</xdr:col>
      <xdr:colOff>189799</xdr:colOff>
      <xdr:row>22</xdr:row>
      <xdr:rowOff>65103</xdr:rowOff>
    </xdr:to>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4502905" y="4635691"/>
          <a:ext cx="2125923"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editAs="oneCell">
    <xdr:from>
      <xdr:col>63</xdr:col>
      <xdr:colOff>627530</xdr:colOff>
      <xdr:row>0</xdr:row>
      <xdr:rowOff>190500</xdr:rowOff>
    </xdr:from>
    <xdr:to>
      <xdr:col>64</xdr:col>
      <xdr:colOff>544048</xdr:colOff>
      <xdr:row>3</xdr:row>
      <xdr:rowOff>118222</xdr:rowOff>
    </xdr:to>
    <xdr:pic>
      <xdr:nvPicPr>
        <xdr:cNvPr id="116" name="Graphic 115" descr="Arrow: Straight with solid fill">
          <a:hlinkClick xmlns:r="http://schemas.openxmlformats.org/officeDocument/2006/relationships" r:id="rId5"/>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101354" y="190500"/>
          <a:ext cx="600075" cy="600075"/>
        </a:xfrm>
        <a:prstGeom prst="rect">
          <a:avLst/>
        </a:prstGeom>
      </xdr:spPr>
    </xdr:pic>
    <xdr:clientData/>
  </xdr:twoCellAnchor>
  <xdr:twoCellAnchor>
    <xdr:from>
      <xdr:col>70</xdr:col>
      <xdr:colOff>109666</xdr:colOff>
      <xdr:row>4</xdr:row>
      <xdr:rowOff>162933</xdr:rowOff>
    </xdr:from>
    <xdr:to>
      <xdr:col>72</xdr:col>
      <xdr:colOff>542548</xdr:colOff>
      <xdr:row>12</xdr:row>
      <xdr:rowOff>80888</xdr:rowOff>
    </xdr:to>
    <xdr:grpSp>
      <xdr:nvGrpSpPr>
        <xdr:cNvPr id="80" name="Group 79">
          <a:extLst>
            <a:ext uri="{FF2B5EF4-FFF2-40B4-BE49-F238E27FC236}">
              <a16:creationId xmlns:a16="http://schemas.microsoft.com/office/drawing/2014/main" id="{00000000-0008-0000-0500-000050000000}"/>
            </a:ext>
          </a:extLst>
        </xdr:cNvPr>
        <xdr:cNvGrpSpPr/>
      </xdr:nvGrpSpPr>
      <xdr:grpSpPr>
        <a:xfrm>
          <a:off x="10463901" y="1059404"/>
          <a:ext cx="1800000" cy="1699690"/>
          <a:chOff x="8402019" y="1059404"/>
          <a:chExt cx="1800000" cy="1710896"/>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8402019"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8">
        <xdr:nvSpPr>
          <xdr:cNvPr id="32" name="TextBox 31">
            <a:extLst>
              <a:ext uri="{FF2B5EF4-FFF2-40B4-BE49-F238E27FC236}">
                <a16:creationId xmlns:a16="http://schemas.microsoft.com/office/drawing/2014/main" id="{00000000-0008-0000-0500-000020000000}"/>
              </a:ext>
            </a:extLst>
          </xdr:cNvPr>
          <xdr:cNvSpPr txBox="1"/>
        </xdr:nvSpPr>
        <xdr:spPr>
          <a:xfrm>
            <a:off x="8606150" y="1559549"/>
            <a:ext cx="1391739"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E260514B-ED7F-47DE-909E-6F1859284E9B}" type="TxLink">
              <a:rPr lang="en-US" sz="2400" b="1" i="0" u="none" strike="noStrike">
                <a:solidFill>
                  <a:schemeClr val="accent3">
                    <a:lumMod val="50000"/>
                  </a:schemeClr>
                </a:solidFill>
                <a:latin typeface="Segoe UI Light"/>
                <a:ea typeface="+mn-ea"/>
                <a:cs typeface="Segoe UI Light"/>
              </a:rPr>
              <a:pPr marL="0" indent="0" algn="ctr"/>
              <a:t>#CALC!</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762019"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5" name="Group 74">
            <a:extLst>
              <a:ext uri="{FF2B5EF4-FFF2-40B4-BE49-F238E27FC236}">
                <a16:creationId xmlns:a16="http://schemas.microsoft.com/office/drawing/2014/main" id="{00000000-0008-0000-0500-00004B000000}"/>
              </a:ext>
            </a:extLst>
          </xdr:cNvPr>
          <xdr:cNvGrpSpPr/>
        </xdr:nvGrpSpPr>
        <xdr:grpSpPr>
          <a:xfrm>
            <a:off x="8539753" y="2146422"/>
            <a:ext cx="1524532" cy="306000"/>
            <a:chOff x="8566259" y="2146422"/>
            <a:chExt cx="1524532" cy="306000"/>
          </a:xfrm>
        </xdr:grpSpPr>
        <xdr:sp macro="" textlink="$DC$8">
          <xdr:nvSpPr>
            <xdr:cNvPr id="50" name="TextBox 49">
              <a:extLst>
                <a:ext uri="{FF2B5EF4-FFF2-40B4-BE49-F238E27FC236}">
                  <a16:creationId xmlns:a16="http://schemas.microsoft.com/office/drawing/2014/main" id="{00000000-0008-0000-0500-000032000000}"/>
                </a:ext>
              </a:extLst>
            </xdr:cNvPr>
            <xdr:cNvSpPr txBox="1"/>
          </xdr:nvSpPr>
          <xdr:spPr>
            <a:xfrm>
              <a:off x="9010791"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79D49F-F586-4942-96E9-DA45A9223114}" type="TxLink">
                <a:rPr lang="en-US" sz="1800" b="1" i="0" u="none" strike="noStrike">
                  <a:solidFill>
                    <a:schemeClr val="accent3">
                      <a:lumMod val="50000"/>
                    </a:schemeClr>
                  </a:solidFill>
                  <a:latin typeface="Segoe UI Light"/>
                  <a:ea typeface="+mn-ea"/>
                  <a:cs typeface="Segoe UI Light"/>
                </a:rPr>
                <a:pPr marL="0" indent="0" algn="ctr"/>
                <a:t>#CALC!</a:t>
              </a:fld>
              <a:endParaRPr lang="en-US" sz="1800" b="1" i="0" u="none" strike="noStrike">
                <a:solidFill>
                  <a:schemeClr val="accent3">
                    <a:lumMod val="50000"/>
                  </a:schemeClr>
                </a:solidFill>
                <a:latin typeface="Segoe UI Light"/>
                <a:ea typeface="+mn-ea"/>
                <a:cs typeface="Segoe UI Light"/>
              </a:endParaRPr>
            </a:p>
          </xdr:txBody>
        </xdr:sp>
        <xdr:sp macro="" textlink="$DD$8">
          <xdr:nvSpPr>
            <xdr:cNvPr id="67" name="TextBox 66">
              <a:extLst>
                <a:ext uri="{FF2B5EF4-FFF2-40B4-BE49-F238E27FC236}">
                  <a16:creationId xmlns:a16="http://schemas.microsoft.com/office/drawing/2014/main" id="{00000000-0008-0000-0500-000043000000}"/>
                </a:ext>
              </a:extLst>
            </xdr:cNvPr>
            <xdr:cNvSpPr txBox="1"/>
          </xdr:nvSpPr>
          <xdr:spPr>
            <a:xfrm>
              <a:off x="8566259"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FB9A4B3-353C-492E-8D06-3540CAE7E7A8}"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grpSp>
      <xdr:sp macro="" textlink="">
        <xdr:nvSpPr>
          <xdr:cNvPr id="117" name="Oval 116">
            <a:extLst>
              <a:ext uri="{FF2B5EF4-FFF2-40B4-BE49-F238E27FC236}">
                <a16:creationId xmlns:a16="http://schemas.microsoft.com/office/drawing/2014/main" id="{00000000-0008-0000-0500-000075000000}"/>
              </a:ext>
            </a:extLst>
          </xdr:cNvPr>
          <xdr:cNvSpPr/>
        </xdr:nvSpPr>
        <xdr:spPr>
          <a:xfrm>
            <a:off x="8672019"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73</xdr:col>
      <xdr:colOff>395409</xdr:colOff>
      <xdr:row>4</xdr:row>
      <xdr:rowOff>163355</xdr:rowOff>
    </xdr:from>
    <xdr:to>
      <xdr:col>76</xdr:col>
      <xdr:colOff>144732</xdr:colOff>
      <xdr:row>12</xdr:row>
      <xdr:rowOff>81310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2800321" y="1059826"/>
          <a:ext cx="1799999" cy="1699690"/>
          <a:chOff x="10738438" y="1059826"/>
          <a:chExt cx="1800000" cy="1710896"/>
        </a:xfrm>
      </xdr:grpSpPr>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10738438" y="1330722"/>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9">
        <xdr:nvSpPr>
          <xdr:cNvPr id="31" name="TextBox 30">
            <a:extLst>
              <a:ext uri="{FF2B5EF4-FFF2-40B4-BE49-F238E27FC236}">
                <a16:creationId xmlns:a16="http://schemas.microsoft.com/office/drawing/2014/main" id="{00000000-0008-0000-0500-00001F000000}"/>
              </a:ext>
            </a:extLst>
          </xdr:cNvPr>
          <xdr:cNvSpPr txBox="1"/>
        </xdr:nvSpPr>
        <xdr:spPr>
          <a:xfrm>
            <a:off x="10937073" y="1532192"/>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F874811A-C33C-45A0-8FD5-6F9B68D4773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1098438" y="24647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6" name="Group 75">
            <a:extLst>
              <a:ext uri="{FF2B5EF4-FFF2-40B4-BE49-F238E27FC236}">
                <a16:creationId xmlns:a16="http://schemas.microsoft.com/office/drawing/2014/main" id="{00000000-0008-0000-0500-00004C000000}"/>
              </a:ext>
            </a:extLst>
          </xdr:cNvPr>
          <xdr:cNvGrpSpPr/>
        </xdr:nvGrpSpPr>
        <xdr:grpSpPr>
          <a:xfrm>
            <a:off x="10894109" y="2146846"/>
            <a:ext cx="1488659" cy="306000"/>
            <a:chOff x="10910048" y="2146846"/>
            <a:chExt cx="1488659" cy="306000"/>
          </a:xfrm>
        </xdr:grpSpPr>
        <xdr:sp macro="" textlink="$DB$9">
          <xdr:nvSpPr>
            <xdr:cNvPr id="54" name="TextBox 53">
              <a:extLst>
                <a:ext uri="{FF2B5EF4-FFF2-40B4-BE49-F238E27FC236}">
                  <a16:creationId xmlns:a16="http://schemas.microsoft.com/office/drawing/2014/main" id="{00000000-0008-0000-0500-000036000000}"/>
                </a:ext>
              </a:extLst>
            </xdr:cNvPr>
            <xdr:cNvSpPr txBox="1"/>
          </xdr:nvSpPr>
          <xdr:spPr>
            <a:xfrm>
              <a:off x="11318707" y="2146846"/>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DCC8B8C-DBBE-4695-A91D-461ADA168F6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9">
          <xdr:nvSpPr>
            <xdr:cNvPr id="68" name="TextBox 67">
              <a:extLst>
                <a:ext uri="{FF2B5EF4-FFF2-40B4-BE49-F238E27FC236}">
                  <a16:creationId xmlns:a16="http://schemas.microsoft.com/office/drawing/2014/main" id="{00000000-0008-0000-0500-000044000000}"/>
                </a:ext>
              </a:extLst>
            </xdr:cNvPr>
            <xdr:cNvSpPr txBox="1"/>
          </xdr:nvSpPr>
          <xdr:spPr>
            <a:xfrm>
              <a:off x="10910048" y="2146846"/>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4D96FC4-D398-4FFF-B83B-FE1FC089388A}"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sp macro="" textlink="">
        <xdr:nvSpPr>
          <xdr:cNvPr id="118" name="Oval 117">
            <a:extLst>
              <a:ext uri="{FF2B5EF4-FFF2-40B4-BE49-F238E27FC236}">
                <a16:creationId xmlns:a16="http://schemas.microsoft.com/office/drawing/2014/main" id="{00000000-0008-0000-0500-000076000000}"/>
              </a:ext>
            </a:extLst>
          </xdr:cNvPr>
          <xdr:cNvSpPr/>
        </xdr:nvSpPr>
        <xdr:spPr>
          <a:xfrm>
            <a:off x="11008438" y="1059826"/>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Dòng</a:t>
            </a:r>
            <a:r>
              <a:rPr lang="en-US" sz="1200" b="1" baseline="0">
                <a:solidFill>
                  <a:schemeClr val="accent6">
                    <a:lumMod val="50000"/>
                  </a:schemeClr>
                </a:solidFill>
              </a:rPr>
              <a:t> tiền</a:t>
            </a:r>
            <a:endParaRPr lang="vi-VN" sz="1200" b="1">
              <a:solidFill>
                <a:schemeClr val="accent6">
                  <a:lumMod val="50000"/>
                </a:schemeClr>
              </a:solidFill>
            </a:endParaRPr>
          </a:p>
        </xdr:txBody>
      </xdr:sp>
    </xdr:grpSp>
    <xdr:clientData/>
  </xdr:twoCellAnchor>
  <xdr:twoCellAnchor>
    <xdr:from>
      <xdr:col>76</xdr:col>
      <xdr:colOff>318400</xdr:colOff>
      <xdr:row>4</xdr:row>
      <xdr:rowOff>162933</xdr:rowOff>
    </xdr:from>
    <xdr:to>
      <xdr:col>79</xdr:col>
      <xdr:colOff>67724</xdr:colOff>
      <xdr:row>12</xdr:row>
      <xdr:rowOff>80888</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14773988" y="1059404"/>
          <a:ext cx="1800001" cy="1699690"/>
          <a:chOff x="12678488" y="1059404"/>
          <a:chExt cx="1800000" cy="1710896"/>
        </a:xfrm>
      </xdr:grpSpPr>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12678488"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9">
        <xdr:nvSpPr>
          <xdr:cNvPr id="33" name="TextBox 32">
            <a:extLst>
              <a:ext uri="{FF2B5EF4-FFF2-40B4-BE49-F238E27FC236}">
                <a16:creationId xmlns:a16="http://schemas.microsoft.com/office/drawing/2014/main" id="{00000000-0008-0000-0500-000021000000}"/>
              </a:ext>
            </a:extLst>
          </xdr:cNvPr>
          <xdr:cNvSpPr txBox="1"/>
        </xdr:nvSpPr>
        <xdr:spPr>
          <a:xfrm>
            <a:off x="12867998" y="1559549"/>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CE5F65C-E2A2-4A2C-873E-1567D0AE9FE4}" type="TxLink">
              <a:rPr lang="en-US" sz="2400" b="1" i="0" u="none" strike="noStrike">
                <a:solidFill>
                  <a:schemeClr val="accent3">
                    <a:lumMod val="50000"/>
                  </a:schemeClr>
                </a:solidFill>
                <a:latin typeface="Segoe UI Light"/>
                <a:ea typeface="+mn-ea"/>
                <a:cs typeface="Segoe UI Light"/>
              </a:rPr>
              <a:pPr marL="0" indent="0" algn="ctr"/>
              <a:t>0.00%</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3038488"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7" name="Group 76">
            <a:extLst>
              <a:ext uri="{FF2B5EF4-FFF2-40B4-BE49-F238E27FC236}">
                <a16:creationId xmlns:a16="http://schemas.microsoft.com/office/drawing/2014/main" id="{00000000-0008-0000-0500-00004D000000}"/>
              </a:ext>
            </a:extLst>
          </xdr:cNvPr>
          <xdr:cNvGrpSpPr/>
        </xdr:nvGrpSpPr>
        <xdr:grpSpPr>
          <a:xfrm>
            <a:off x="12833887" y="2146422"/>
            <a:ext cx="1489202" cy="306000"/>
            <a:chOff x="12849786" y="2146422"/>
            <a:chExt cx="1489202" cy="306000"/>
          </a:xfrm>
        </xdr:grpSpPr>
        <xdr:sp macro="" textlink="$DC$9">
          <xdr:nvSpPr>
            <xdr:cNvPr id="58" name="TextBox 57">
              <a:extLst>
                <a:ext uri="{FF2B5EF4-FFF2-40B4-BE49-F238E27FC236}">
                  <a16:creationId xmlns:a16="http://schemas.microsoft.com/office/drawing/2014/main" id="{00000000-0008-0000-0500-00003A000000}"/>
                </a:ext>
              </a:extLst>
            </xdr:cNvPr>
            <xdr:cNvSpPr txBox="1"/>
          </xdr:nvSpPr>
          <xdr:spPr>
            <a:xfrm>
              <a:off x="13258988"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93455B7-F068-4D64-8232-6CE52B1FEAB0}" type="TxLink">
                <a:rPr lang="en-US" sz="1800" b="1" i="0" u="none" strike="noStrike">
                  <a:solidFill>
                    <a:schemeClr val="accent3">
                      <a:lumMod val="50000"/>
                    </a:schemeClr>
                  </a:solidFill>
                  <a:latin typeface="Segoe UI Light"/>
                  <a:ea typeface="+mn-ea"/>
                  <a:cs typeface="Segoe UI Light"/>
                </a:rPr>
                <a:pPr marL="0" indent="0" algn="ctr"/>
                <a:t>0.0%</a:t>
              </a:fld>
              <a:endParaRPr lang="en-US" sz="1800" b="1" i="0" u="none" strike="noStrike">
                <a:solidFill>
                  <a:schemeClr val="accent3">
                    <a:lumMod val="50000"/>
                  </a:schemeClr>
                </a:solidFill>
                <a:latin typeface="Segoe UI Light"/>
                <a:ea typeface="+mn-ea"/>
                <a:cs typeface="Segoe UI Light"/>
              </a:endParaRPr>
            </a:p>
          </xdr:txBody>
        </xdr:sp>
        <xdr:sp macro="" textlink="$DD$9">
          <xdr:nvSpPr>
            <xdr:cNvPr id="69" name="TextBox 68">
              <a:extLst>
                <a:ext uri="{FF2B5EF4-FFF2-40B4-BE49-F238E27FC236}">
                  <a16:creationId xmlns:a16="http://schemas.microsoft.com/office/drawing/2014/main" id="{00000000-0008-0000-0500-000045000000}"/>
                </a:ext>
              </a:extLst>
            </xdr:cNvPr>
            <xdr:cNvSpPr txBox="1"/>
          </xdr:nvSpPr>
          <xdr:spPr>
            <a:xfrm>
              <a:off x="12849786"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BFC9FB82-F1C3-4FD2-83C8-D69FE10F9EF2}"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grpSp>
      <xdr:sp macro="" textlink="">
        <xdr:nvSpPr>
          <xdr:cNvPr id="120" name="Oval 119">
            <a:extLst>
              <a:ext uri="{FF2B5EF4-FFF2-40B4-BE49-F238E27FC236}">
                <a16:creationId xmlns:a16="http://schemas.microsoft.com/office/drawing/2014/main" id="{00000000-0008-0000-0500-000078000000}"/>
              </a:ext>
            </a:extLst>
          </xdr:cNvPr>
          <xdr:cNvSpPr/>
        </xdr:nvSpPr>
        <xdr:spPr>
          <a:xfrm>
            <a:off x="12948488"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65</xdr:col>
      <xdr:colOff>291353</xdr:colOff>
      <xdr:row>4</xdr:row>
      <xdr:rowOff>48859</xdr:rowOff>
    </xdr:from>
    <xdr:to>
      <xdr:col>66</xdr:col>
      <xdr:colOff>512978</xdr:colOff>
      <xdr:row>8</xdr:row>
      <xdr:rowOff>125776</xdr:rowOff>
    </xdr:to>
    <xdr:sp macro="" textlink="">
      <xdr:nvSpPr>
        <xdr:cNvPr id="25" name="Oval 24">
          <a:extLst>
            <a:ext uri="{FF2B5EF4-FFF2-40B4-BE49-F238E27FC236}">
              <a16:creationId xmlns:a16="http://schemas.microsoft.com/office/drawing/2014/main" id="{00000000-0008-0000-0500-000019000000}"/>
            </a:ext>
          </a:extLst>
        </xdr:cNvPr>
        <xdr:cNvSpPr/>
      </xdr:nvSpPr>
      <xdr:spPr>
        <a:xfrm>
          <a:off x="5132294"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Sản</a:t>
          </a:r>
          <a:r>
            <a:rPr lang="en-US" sz="1200" b="1" baseline="0">
              <a:solidFill>
                <a:schemeClr val="accent3">
                  <a:lumMod val="50000"/>
                </a:schemeClr>
              </a:solidFill>
            </a:rPr>
            <a:t> lượng</a:t>
          </a:r>
          <a:endParaRPr lang="vi-VN" sz="1200" b="1">
            <a:solidFill>
              <a:schemeClr val="accent3">
                <a:lumMod val="50000"/>
              </a:schemeClr>
            </a:solidFill>
          </a:endParaRPr>
        </a:p>
      </xdr:txBody>
    </xdr:sp>
    <xdr:clientData/>
  </xdr:twoCellAnchor>
  <xdr:twoCellAnchor>
    <xdr:from>
      <xdr:col>79</xdr:col>
      <xdr:colOff>387724</xdr:colOff>
      <xdr:row>4</xdr:row>
      <xdr:rowOff>48859</xdr:rowOff>
    </xdr:from>
    <xdr:to>
      <xdr:col>80</xdr:col>
      <xdr:colOff>609349</xdr:colOff>
      <xdr:row>8</xdr:row>
      <xdr:rowOff>125776</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14832106"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Doanh thu</a:t>
          </a:r>
          <a:endParaRPr lang="vi-VN" sz="1200" b="1">
            <a:solidFill>
              <a:schemeClr val="accent3">
                <a:lumMod val="50000"/>
              </a:schemeClr>
            </a:solidFill>
          </a:endParaRPr>
        </a:p>
      </xdr:txBody>
    </xdr:sp>
    <xdr:clientData/>
  </xdr:twoCellAnchor>
  <xdr:twoCellAnchor>
    <xdr:from>
      <xdr:col>58</xdr:col>
      <xdr:colOff>168089</xdr:colOff>
      <xdr:row>13</xdr:row>
      <xdr:rowOff>209085</xdr:rowOff>
    </xdr:from>
    <xdr:to>
      <xdr:col>63</xdr:col>
      <xdr:colOff>152400</xdr:colOff>
      <xdr:row>28</xdr:row>
      <xdr:rowOff>8120</xdr:rowOff>
    </xdr:to>
    <xdr:sp macro="" textlink="">
      <xdr:nvSpPr>
        <xdr:cNvPr id="151" name="Rectangle: Rounded Corners 150">
          <a:extLst>
            <a:ext uri="{FF2B5EF4-FFF2-40B4-BE49-F238E27FC236}">
              <a16:creationId xmlns:a16="http://schemas.microsoft.com/office/drawing/2014/main" id="{00000000-0008-0000-0500-000097000000}"/>
            </a:ext>
          </a:extLst>
        </xdr:cNvPr>
        <xdr:cNvSpPr/>
      </xdr:nvSpPr>
      <xdr:spPr>
        <a:xfrm>
          <a:off x="616324" y="3122614"/>
          <a:ext cx="3009900"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chemeClr val="bg1"/>
              </a:solidFill>
              <a:effectLst/>
              <a:latin typeface="+mn-lt"/>
              <a:ea typeface="+mn-ea"/>
              <a:cs typeface="+mn-cs"/>
            </a:rPr>
            <a:t>Hiệu quả</a:t>
          </a:r>
          <a:endParaRPr lang="en-US" sz="3000">
            <a:solidFill>
              <a:schemeClr val="bg1"/>
            </a:solidFill>
            <a:effectLst/>
          </a:endParaRPr>
        </a:p>
        <a:p>
          <a:pPr algn="ctr"/>
          <a:r>
            <a:rPr lang="en-US" sz="3000" b="0" baseline="0">
              <a:solidFill>
                <a:schemeClr val="bg1"/>
              </a:solidFill>
              <a:effectLst/>
              <a:latin typeface="+mn-lt"/>
              <a:ea typeface="+mn-ea"/>
              <a:cs typeface="+mn-cs"/>
            </a:rPr>
            <a:t>kinh doanh</a:t>
          </a:r>
          <a:endParaRPr lang="en-US" sz="3000">
            <a:solidFill>
              <a:schemeClr val="bg1"/>
            </a:solidFill>
            <a:effectLst/>
          </a:endParaRPr>
        </a:p>
        <a:p>
          <a:pPr algn="ctr"/>
          <a:r>
            <a:rPr lang="en-US" sz="3000" b="0" baseline="0">
              <a:solidFill>
                <a:schemeClr val="bg1"/>
              </a:solidFill>
              <a:effectLst/>
              <a:latin typeface="+mn-lt"/>
              <a:ea typeface="+mn-ea"/>
              <a:cs typeface="+mn-cs"/>
            </a:rPr>
            <a:t>theo tháng</a:t>
          </a:r>
          <a:endParaRPr lang="en-US" sz="3000">
            <a:solidFill>
              <a:schemeClr val="bg1"/>
            </a:solidFill>
            <a:effectLst/>
          </a:endParaRPr>
        </a:p>
      </xdr:txBody>
    </xdr:sp>
    <xdr:clientData/>
  </xdr:twoCellAnchor>
  <xdr:twoCellAnchor>
    <xdr:from>
      <xdr:col>58</xdr:col>
      <xdr:colOff>168089</xdr:colOff>
      <xdr:row>28</xdr:row>
      <xdr:rowOff>119982</xdr:rowOff>
    </xdr:from>
    <xdr:to>
      <xdr:col>63</xdr:col>
      <xdr:colOff>152400</xdr:colOff>
      <xdr:row>42</xdr:row>
      <xdr:rowOff>53135</xdr:rowOff>
    </xdr:to>
    <xdr:sp macro="" textlink="">
      <xdr:nvSpPr>
        <xdr:cNvPr id="152" name="Rectangle: Rounded Corners 151">
          <a:extLst>
            <a:ext uri="{FF2B5EF4-FFF2-40B4-BE49-F238E27FC236}">
              <a16:creationId xmlns:a16="http://schemas.microsoft.com/office/drawing/2014/main" id="{00000000-0008-0000-0500-000098000000}"/>
            </a:ext>
          </a:extLst>
        </xdr:cNvPr>
        <xdr:cNvSpPr/>
      </xdr:nvSpPr>
      <xdr:spPr>
        <a:xfrm>
          <a:off x="616324" y="6395276"/>
          <a:ext cx="3009900"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ysClr val="windowText" lastClr="000000"/>
              </a:solidFill>
              <a:effectLst/>
              <a:latin typeface="+mn-lt"/>
              <a:ea typeface="+mn-ea"/>
              <a:cs typeface="+mn-cs"/>
            </a:rPr>
            <a:t>Cơ cấu &amp;</a:t>
          </a:r>
        </a:p>
        <a:p>
          <a:pPr algn="ctr"/>
          <a:r>
            <a:rPr lang="en-US" sz="3000" b="0" baseline="0">
              <a:solidFill>
                <a:sysClr val="windowText" lastClr="000000"/>
              </a:solidFill>
              <a:effectLst/>
              <a:latin typeface="+mn-lt"/>
              <a:ea typeface="+mn-ea"/>
              <a:cs typeface="+mn-cs"/>
            </a:rPr>
            <a:t>biến động</a:t>
          </a:r>
        </a:p>
        <a:p>
          <a:pPr algn="ctr"/>
          <a:r>
            <a:rPr lang="en-US" sz="3000" b="0" baseline="0">
              <a:solidFill>
                <a:sysClr val="windowText" lastClr="000000"/>
              </a:solidFill>
              <a:effectLst/>
              <a:latin typeface="+mn-lt"/>
              <a:ea typeface="+mn-ea"/>
              <a:cs typeface="+mn-cs"/>
            </a:rPr>
            <a:t>chi phí</a:t>
          </a:r>
          <a:endParaRPr lang="en-US" sz="3000">
            <a:solidFill>
              <a:sysClr val="windowText" lastClr="000000"/>
            </a:solidFill>
            <a:effectLst/>
          </a:endParaRPr>
        </a:p>
      </xdr:txBody>
    </xdr:sp>
    <xdr:clientData/>
  </xdr:twoCellAnchor>
  <xdr:twoCellAnchor>
    <xdr:from>
      <xdr:col>83</xdr:col>
      <xdr:colOff>107016</xdr:colOff>
      <xdr:row>29</xdr:row>
      <xdr:rowOff>205912</xdr:rowOff>
    </xdr:from>
    <xdr:to>
      <xdr:col>88</xdr:col>
      <xdr:colOff>161678</xdr:colOff>
      <xdr:row>35</xdr:row>
      <xdr:rowOff>66404</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9347516" y="6694118"/>
          <a:ext cx="3472456" cy="1205198"/>
          <a:chOff x="17285634" y="6705324"/>
          <a:chExt cx="3472456" cy="1205198"/>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Y$33">
          <xdr:nvSpPr>
            <xdr:cNvPr id="130" name="TextBox 129">
              <a:extLst>
                <a:ext uri="{FF2B5EF4-FFF2-40B4-BE49-F238E27FC236}">
                  <a16:creationId xmlns:a16="http://schemas.microsoft.com/office/drawing/2014/main" id="{00000000-0008-0000-05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500-000023000000}"/>
              </a:ext>
            </a:extLst>
          </xdr:cNvPr>
          <xdr:cNvGrpSpPr/>
        </xdr:nvGrpSpPr>
        <xdr:grpSpPr>
          <a:xfrm>
            <a:off x="17285634" y="7173445"/>
            <a:ext cx="3472456" cy="352617"/>
            <a:chOff x="13851591" y="7328546"/>
            <a:chExt cx="3483662" cy="360000"/>
          </a:xfrm>
        </xdr:grpSpPr>
        <xdr:sp macro="" textlink="$CX$53">
          <xdr:nvSpPr>
            <xdr:cNvPr id="131" name="TextBox 130">
              <a:extLst>
                <a:ext uri="{FF2B5EF4-FFF2-40B4-BE49-F238E27FC236}">
                  <a16:creationId xmlns:a16="http://schemas.microsoft.com/office/drawing/2014/main" id="{00000000-0008-0000-05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X$54">
          <xdr:nvSpPr>
            <xdr:cNvPr id="132" name="TextBox 131">
              <a:extLst>
                <a:ext uri="{FF2B5EF4-FFF2-40B4-BE49-F238E27FC236}">
                  <a16:creationId xmlns:a16="http://schemas.microsoft.com/office/drawing/2014/main" id="{00000000-0008-0000-05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sp macro="" textlink="$CX$55">
          <xdr:nvSpPr>
            <xdr:cNvPr id="133" name="TextBox 132">
              <a:extLst>
                <a:ext uri="{FF2B5EF4-FFF2-40B4-BE49-F238E27FC236}">
                  <a16:creationId xmlns:a16="http://schemas.microsoft.com/office/drawing/2014/main" id="{00000000-0008-0000-05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Z$32">
            <xdr:nvSpPr>
              <xdr:cNvPr id="149" name="TextBox 148">
                <a:extLst>
                  <a:ext uri="{FF2B5EF4-FFF2-40B4-BE49-F238E27FC236}">
                    <a16:creationId xmlns:a16="http://schemas.microsoft.com/office/drawing/2014/main" id="{00000000-0008-0000-05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#DIV/0!</a:t>
                </a:fld>
                <a:endParaRPr lang="en-US" sz="2000" b="1" i="0" u="none" strike="noStrike" baseline="0">
                  <a:solidFill>
                    <a:schemeClr val="accent6"/>
                  </a:solidFill>
                  <a:latin typeface="Segoe UI Light"/>
                  <a:ea typeface="+mn-ea"/>
                  <a:cs typeface="Segoe UI Light"/>
                </a:endParaRPr>
              </a:p>
            </xdr:txBody>
          </xdr:sp>
        </xdr:grpSp>
        <xdr:sp macro="" textlink="$CY$33">
          <xdr:nvSpPr>
            <xdr:cNvPr id="161" name="TextBox 160">
              <a:extLst>
                <a:ext uri="{FF2B5EF4-FFF2-40B4-BE49-F238E27FC236}">
                  <a16:creationId xmlns:a16="http://schemas.microsoft.com/office/drawing/2014/main" id="{00000000-0008-0000-05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xdr:twoCellAnchor editAs="oneCell">
    <xdr:from>
      <xdr:col>4</xdr:col>
      <xdr:colOff>246530</xdr:colOff>
      <xdr:row>0</xdr:row>
      <xdr:rowOff>33618</xdr:rowOff>
    </xdr:from>
    <xdr:to>
      <xdr:col>58</xdr:col>
      <xdr:colOff>19050</xdr:colOff>
      <xdr:row>2</xdr:row>
      <xdr:rowOff>193638</xdr:rowOff>
    </xdr:to>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521324" y="33618"/>
          <a:ext cx="1531844" cy="6082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67236</xdr:colOff>
          <xdr:row>1</xdr:row>
          <xdr:rowOff>22410</xdr:rowOff>
        </xdr:from>
        <xdr:to>
          <xdr:col>0</xdr:col>
          <xdr:colOff>607236</xdr:colOff>
          <xdr:row>2</xdr:row>
          <xdr:rowOff>172672</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7236" y="246528"/>
              <a:ext cx="540000" cy="374379"/>
              <a:chOff x="15878174" y="12115799"/>
              <a:chExt cx="540000" cy="374379"/>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997143" y="1215278"/>
          <a:ext cx="10071468" cy="2148795"/>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6</xdr:row>
      <xdr:rowOff>110371</xdr:rowOff>
    </xdr:from>
    <xdr:to>
      <xdr:col>16</xdr:col>
      <xdr:colOff>549429</xdr:colOff>
      <xdr:row>14</xdr:row>
      <xdr:rowOff>117973</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9765371" y="1443871"/>
          <a:ext cx="1804483" cy="1684002"/>
          <a:chOff x="21172400" y="1432665"/>
          <a:chExt cx="1800000" cy="1710896"/>
        </a:xfrm>
      </xdr:grpSpPr>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21172400" y="1703561"/>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10">
        <xdr:nvSpPr>
          <xdr:cNvPr id="55" name="TextBox 54">
            <a:extLst>
              <a:ext uri="{FF2B5EF4-FFF2-40B4-BE49-F238E27FC236}">
                <a16:creationId xmlns:a16="http://schemas.microsoft.com/office/drawing/2014/main" id="{00000000-0008-0000-0600-000037000000}"/>
              </a:ext>
            </a:extLst>
          </xdr:cNvPr>
          <xdr:cNvSpPr txBox="1"/>
        </xdr:nvSpPr>
        <xdr:spPr>
          <a:xfrm>
            <a:off x="21361910" y="1932810"/>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322A8B9F-0F5C-4EEF-B571-8CB157039DD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6" name="TextBox 55">
            <a:extLst>
              <a:ext uri="{FF2B5EF4-FFF2-40B4-BE49-F238E27FC236}">
                <a16:creationId xmlns:a16="http://schemas.microsoft.com/office/drawing/2014/main" id="{00000000-0008-0000-0600-000038000000}"/>
              </a:ext>
            </a:extLst>
          </xdr:cNvPr>
          <xdr:cNvSpPr txBox="1"/>
        </xdr:nvSpPr>
        <xdr:spPr>
          <a:xfrm>
            <a:off x="21532400" y="2837561"/>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sp macro="" textlink="$BS$10">
        <xdr:nvSpPr>
          <xdr:cNvPr id="59" name="TextBox 58">
            <a:extLst>
              <a:ext uri="{FF2B5EF4-FFF2-40B4-BE49-F238E27FC236}">
                <a16:creationId xmlns:a16="http://schemas.microsoft.com/office/drawing/2014/main" id="{00000000-0008-0000-0600-00003B000000}"/>
              </a:ext>
            </a:extLst>
          </xdr:cNvPr>
          <xdr:cNvSpPr txBox="1"/>
        </xdr:nvSpPr>
        <xdr:spPr>
          <a:xfrm>
            <a:off x="21737001" y="2519683"/>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A4400BE-A4F5-49F0-929D-93D781BF091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10">
        <xdr:nvSpPr>
          <xdr:cNvPr id="60" name="TextBox 59">
            <a:extLst>
              <a:ext uri="{FF2B5EF4-FFF2-40B4-BE49-F238E27FC236}">
                <a16:creationId xmlns:a16="http://schemas.microsoft.com/office/drawing/2014/main" id="{00000000-0008-0000-0600-00003C000000}"/>
              </a:ext>
            </a:extLst>
          </xdr:cNvPr>
          <xdr:cNvSpPr txBox="1"/>
        </xdr:nvSpPr>
        <xdr:spPr>
          <a:xfrm>
            <a:off x="21327799" y="2519683"/>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C9EEDB-C7BB-4A98-A087-DA7E2C15CC06}"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sp macro="" textlink="">
        <xdr:nvSpPr>
          <xdr:cNvPr id="58" name="Oval 57">
            <a:extLst>
              <a:ext uri="{FF2B5EF4-FFF2-40B4-BE49-F238E27FC236}">
                <a16:creationId xmlns:a16="http://schemas.microsoft.com/office/drawing/2014/main" id="{00000000-0008-0000-0600-00003A000000}"/>
              </a:ext>
            </a:extLst>
          </xdr:cNvPr>
          <xdr:cNvSpPr/>
        </xdr:nvSpPr>
        <xdr:spPr>
          <a:xfrm>
            <a:off x="21442400" y="1432665"/>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grp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233950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234854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07" name="Oval 106">
          <a:extLst>
            <a:ext uri="{FF2B5EF4-FFF2-40B4-BE49-F238E27FC236}">
              <a16:creationId xmlns:a16="http://schemas.microsoft.com/office/drawing/2014/main" id="{00000000-0008-0000-0600-00006B000000}"/>
            </a:ext>
          </a:extLst>
        </xdr:cNvPr>
        <xdr:cNvSpPr/>
      </xdr:nvSpPr>
      <xdr:spPr>
        <a:xfrm>
          <a:off x="236660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19</xdr:col>
      <xdr:colOff>682110</xdr:colOff>
      <xdr:row>8</xdr:row>
      <xdr:rowOff>172906</xdr:rowOff>
    </xdr:from>
    <xdr:to>
      <xdr:col>21</xdr:col>
      <xdr:colOff>75357</xdr:colOff>
      <xdr:row>11</xdr:row>
      <xdr:rowOff>56428</xdr:rowOff>
    </xdr:to>
    <xdr:sp macro="" textlink="$BQ$9">
      <xdr:nvSpPr>
        <xdr:cNvPr id="104" name="TextBox 103">
          <a:extLst>
            <a:ext uri="{FF2B5EF4-FFF2-40B4-BE49-F238E27FC236}">
              <a16:creationId xmlns:a16="http://schemas.microsoft.com/office/drawing/2014/main" id="{00000000-0008-0000-0600-000068000000}"/>
            </a:ext>
          </a:extLst>
        </xdr:cNvPr>
        <xdr:cNvSpPr txBox="1"/>
      </xdr:nvSpPr>
      <xdr:spPr>
        <a:xfrm>
          <a:off x="23418285" y="1925506"/>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50C91A3-ACAB-43F6-BA68-6B976CFF90B8}"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672599</xdr:colOff>
      <xdr:row>8</xdr:row>
      <xdr:rowOff>110084</xdr:rowOff>
    </xdr:from>
    <xdr:to>
      <xdr:col>22</xdr:col>
      <xdr:colOff>385034</xdr:colOff>
      <xdr:row>11</xdr:row>
      <xdr:rowOff>119248</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24094574" y="1862684"/>
          <a:ext cx="1084035" cy="6378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 đơn</a:t>
          </a:r>
        </a:p>
        <a:p>
          <a:pPr algn="ctr"/>
          <a:r>
            <a:rPr lang="en-US" sz="1400" baseline="0">
              <a:solidFill>
                <a:schemeClr val="tx1"/>
              </a:solidFill>
              <a:latin typeface="+mn-lt"/>
              <a:ea typeface="+mn-ea"/>
              <a:cs typeface="+mn-cs"/>
            </a:rPr>
            <a:t>mỗi khách</a:t>
          </a:r>
        </a:p>
      </xdr:txBody>
    </xdr:sp>
    <xdr:clientData/>
  </xdr:twoCellAnchor>
  <xdr:twoCellAnchor>
    <xdr:from>
      <xdr:col>20</xdr:col>
      <xdr:colOff>505219</xdr:colOff>
      <xdr:row>11</xdr:row>
      <xdr:rowOff>132552</xdr:rowOff>
    </xdr:from>
    <xdr:to>
      <xdr:col>21</xdr:col>
      <xdr:colOff>480958</xdr:colOff>
      <xdr:row>13</xdr:row>
      <xdr:rowOff>14642</xdr:rowOff>
    </xdr:to>
    <xdr:sp macro="" textlink="$BS$9">
      <xdr:nvSpPr>
        <xdr:cNvPr id="108" name="TextBox 107">
          <a:extLst>
            <a:ext uri="{FF2B5EF4-FFF2-40B4-BE49-F238E27FC236}">
              <a16:creationId xmlns:a16="http://schemas.microsoft.com/office/drawing/2014/main" id="{00000000-0008-0000-0600-00006C000000}"/>
            </a:ext>
          </a:extLst>
        </xdr:cNvPr>
        <xdr:cNvSpPr txBox="1"/>
      </xdr:nvSpPr>
      <xdr:spPr>
        <a:xfrm>
          <a:off x="239271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64DFE97-19FF-43CF-A5DB-4AB242468CE9}"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94488</xdr:colOff>
      <xdr:row>11</xdr:row>
      <xdr:rowOff>132552</xdr:rowOff>
    </xdr:from>
    <xdr:to>
      <xdr:col>20</xdr:col>
      <xdr:colOff>636506</xdr:colOff>
      <xdr:row>13</xdr:row>
      <xdr:rowOff>14642</xdr:rowOff>
    </xdr:to>
    <xdr:sp macro="" textlink="$BT$9">
      <xdr:nvSpPr>
        <xdr:cNvPr id="109" name="TextBox 108">
          <a:extLst>
            <a:ext uri="{FF2B5EF4-FFF2-40B4-BE49-F238E27FC236}">
              <a16:creationId xmlns:a16="http://schemas.microsoft.com/office/drawing/2014/main" id="{00000000-0008-0000-0600-00006D000000}"/>
            </a:ext>
          </a:extLst>
        </xdr:cNvPr>
        <xdr:cNvSpPr txBox="1"/>
      </xdr:nvSpPr>
      <xdr:spPr>
        <a:xfrm>
          <a:off x="23516463"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4036CF55-A4C5-40CD-B952-97CEC8BDCBD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245384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71500" y="1179980"/>
          <a:ext cx="3160059" cy="2148794"/>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THỊ TRƯỜNG</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4112460" y="6803172"/>
          <a:ext cx="10107806" cy="3115898"/>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25575130" y="3532751"/>
          <a:ext cx="6078180" cy="321122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4112460" y="3476721"/>
          <a:ext cx="10107806" cy="3115898"/>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571500" y="3476721"/>
          <a:ext cx="3160059" cy="6496514"/>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907676" y="6136452"/>
          <a:ext cx="1890321" cy="49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0813375"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79" name="Rectangle: Rounded Corners 78">
          <a:extLst>
            <a:ext uri="{FF2B5EF4-FFF2-40B4-BE49-F238E27FC236}">
              <a16:creationId xmlns:a16="http://schemas.microsoft.com/office/drawing/2014/main" id="{00000000-0008-0000-0600-00004F000000}"/>
            </a:ext>
          </a:extLst>
        </xdr:cNvPr>
        <xdr:cNvSpPr/>
      </xdr:nvSpPr>
      <xdr:spPr>
        <a:xfrm>
          <a:off x="153720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156427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khách</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Q$6">
      <xdr:nvSpPr>
        <xdr:cNvPr id="81" name="TextBox 80">
          <a:extLst>
            <a:ext uri="{FF2B5EF4-FFF2-40B4-BE49-F238E27FC236}">
              <a16:creationId xmlns:a16="http://schemas.microsoft.com/office/drawing/2014/main" id="{00000000-0008-0000-0600-000051000000}"/>
            </a:ext>
          </a:extLst>
        </xdr:cNvPr>
        <xdr:cNvSpPr txBox="1"/>
      </xdr:nvSpPr>
      <xdr:spPr>
        <a:xfrm>
          <a:off x="156033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1EE54B-23DD-436E-8886-155EA138727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154622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S$6">
      <xdr:nvSpPr>
        <xdr:cNvPr id="84" name="TextBox 83">
          <a:extLst>
            <a:ext uri="{FF2B5EF4-FFF2-40B4-BE49-F238E27FC236}">
              <a16:creationId xmlns:a16="http://schemas.microsoft.com/office/drawing/2014/main" id="{00000000-0008-0000-0600-000054000000}"/>
            </a:ext>
          </a:extLst>
        </xdr:cNvPr>
        <xdr:cNvSpPr txBox="1"/>
      </xdr:nvSpPr>
      <xdr:spPr>
        <a:xfrm>
          <a:off x="159394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C020FB6-6D1E-4181-8B49-643F39B02DD5}"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T$6">
      <xdr:nvSpPr>
        <xdr:cNvPr id="85" name="TextBox 84">
          <a:extLst>
            <a:ext uri="{FF2B5EF4-FFF2-40B4-BE49-F238E27FC236}">
              <a16:creationId xmlns:a16="http://schemas.microsoft.com/office/drawing/2014/main" id="{00000000-0008-0000-0600-000055000000}"/>
            </a:ext>
          </a:extLst>
        </xdr:cNvPr>
        <xdr:cNvSpPr txBox="1"/>
      </xdr:nvSpPr>
      <xdr:spPr>
        <a:xfrm>
          <a:off x="155264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2491EA4-1961-402C-93E6-AABED341C4F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87" name="Rectangle: Rounded Corners 86">
          <a:extLst>
            <a:ext uri="{FF2B5EF4-FFF2-40B4-BE49-F238E27FC236}">
              <a16:creationId xmlns:a16="http://schemas.microsoft.com/office/drawing/2014/main" id="{00000000-0008-0000-0600-000057000000}"/>
            </a:ext>
          </a:extLst>
        </xdr:cNvPr>
        <xdr:cNvSpPr/>
      </xdr:nvSpPr>
      <xdr:spPr>
        <a:xfrm>
          <a:off x="172629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Q$7">
      <xdr:nvSpPr>
        <xdr:cNvPr id="88" name="TextBox 87">
          <a:extLst>
            <a:ext uri="{FF2B5EF4-FFF2-40B4-BE49-F238E27FC236}">
              <a16:creationId xmlns:a16="http://schemas.microsoft.com/office/drawing/2014/main" id="{00000000-0008-0000-0600-000058000000}"/>
            </a:ext>
          </a:extLst>
        </xdr:cNvPr>
        <xdr:cNvSpPr txBox="1"/>
      </xdr:nvSpPr>
      <xdr:spPr>
        <a:xfrm>
          <a:off x="174675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B7A74060-AE9B-4F6A-9B2E-F42F9249016D}"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73531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khách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S$7">
      <xdr:nvSpPr>
        <xdr:cNvPr id="92" name="TextBox 91">
          <a:extLst>
            <a:ext uri="{FF2B5EF4-FFF2-40B4-BE49-F238E27FC236}">
              <a16:creationId xmlns:a16="http://schemas.microsoft.com/office/drawing/2014/main" id="{00000000-0008-0000-0600-00005C000000}"/>
            </a:ext>
          </a:extLst>
        </xdr:cNvPr>
        <xdr:cNvSpPr txBox="1"/>
      </xdr:nvSpPr>
      <xdr:spPr>
        <a:xfrm>
          <a:off x="178466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67F08F1-A8CE-4576-BC5A-F34CE3B6868C}"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T$7">
      <xdr:nvSpPr>
        <xdr:cNvPr id="93" name="TextBox 92">
          <a:extLst>
            <a:ext uri="{FF2B5EF4-FFF2-40B4-BE49-F238E27FC236}">
              <a16:creationId xmlns:a16="http://schemas.microsoft.com/office/drawing/2014/main" id="{00000000-0008-0000-0600-00005D000000}"/>
            </a:ext>
          </a:extLst>
        </xdr:cNvPr>
        <xdr:cNvSpPr txBox="1"/>
      </xdr:nvSpPr>
      <xdr:spPr>
        <a:xfrm>
          <a:off x="174009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FB4BC9-E98B-4E18-AF50-FA88EA58E1AF}"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91" name="Oval 90">
          <a:extLst>
            <a:ext uri="{FF2B5EF4-FFF2-40B4-BE49-F238E27FC236}">
              <a16:creationId xmlns:a16="http://schemas.microsoft.com/office/drawing/2014/main" id="{00000000-0008-0000-0600-00005B000000}"/>
            </a:ext>
          </a:extLst>
        </xdr:cNvPr>
        <xdr:cNvSpPr/>
      </xdr:nvSpPr>
      <xdr:spPr>
        <a:xfrm>
          <a:off x="175335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Khách</a:t>
          </a:r>
          <a:r>
            <a:rPr lang="en-US" sz="1200" b="1" baseline="0">
              <a:solidFill>
                <a:schemeClr val="accent6">
                  <a:lumMod val="50000"/>
                </a:schemeClr>
              </a:solidFill>
            </a:rPr>
            <a:t> mới</a:t>
          </a:r>
          <a:endParaRPr lang="vi-VN" sz="1200" b="1">
            <a:solidFill>
              <a:schemeClr val="accent6">
                <a:lumMod val="50000"/>
              </a:schemeClr>
            </a:solidFill>
          </a:endParaRPr>
        </a:p>
      </xdr:txBody>
    </xdr:sp>
    <xdr:clientData/>
  </xdr:twoCellAnchor>
  <xdr:twoCellAnchor>
    <xdr:from>
      <xdr:col>16</xdr:col>
      <xdr:colOff>646272</xdr:colOff>
      <xdr:row>6</xdr:row>
      <xdr:rowOff>110793</xdr:rowOff>
    </xdr:from>
    <xdr:to>
      <xdr:col>19</xdr:col>
      <xdr:colOff>395594</xdr:colOff>
      <xdr:row>14</xdr:row>
      <xdr:rowOff>118395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1666697" y="1444293"/>
          <a:ext cx="1806722" cy="1684002"/>
          <a:chOff x="9431684" y="1433087"/>
          <a:chExt cx="1800000" cy="1710896"/>
        </a:xfrm>
      </xdr:grpSpPr>
      <xdr:sp macro="" textlink="">
        <xdr:nvSpPr>
          <xdr:cNvPr id="95" name="Rectangle: Rounded Corners 94">
            <a:extLst>
              <a:ext uri="{FF2B5EF4-FFF2-40B4-BE49-F238E27FC236}">
                <a16:creationId xmlns:a16="http://schemas.microsoft.com/office/drawing/2014/main" id="{00000000-0008-0000-0600-00005F000000}"/>
              </a:ext>
            </a:extLst>
          </xdr:cNvPr>
          <xdr:cNvSpPr/>
        </xdr:nvSpPr>
        <xdr:spPr>
          <a:xfrm>
            <a:off x="9431684" y="1703984"/>
            <a:ext cx="1800000" cy="1439999"/>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8">
        <xdr:nvSpPr>
          <xdr:cNvPr id="96" name="TextBox 95">
            <a:extLst>
              <a:ext uri="{FF2B5EF4-FFF2-40B4-BE49-F238E27FC236}">
                <a16:creationId xmlns:a16="http://schemas.microsoft.com/office/drawing/2014/main" id="{00000000-0008-0000-0600-000060000000}"/>
              </a:ext>
            </a:extLst>
          </xdr:cNvPr>
          <xdr:cNvSpPr txBox="1"/>
        </xdr:nvSpPr>
        <xdr:spPr>
          <a:xfrm>
            <a:off x="9630319" y="1905454"/>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4B47EDC-C19A-4473-8199-C3E96E47D3C4}"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97" name="TextBox 96">
            <a:extLst>
              <a:ext uri="{FF2B5EF4-FFF2-40B4-BE49-F238E27FC236}">
                <a16:creationId xmlns:a16="http://schemas.microsoft.com/office/drawing/2014/main" id="{00000000-0008-0000-0600-000061000000}"/>
              </a:ext>
            </a:extLst>
          </xdr:cNvPr>
          <xdr:cNvSpPr txBox="1"/>
        </xdr:nvSpPr>
        <xdr:spPr>
          <a:xfrm>
            <a:off x="9521684" y="2837983"/>
            <a:ext cx="162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sp macro="" textlink="$BS$8">
        <xdr:nvSpPr>
          <xdr:cNvPr id="100" name="TextBox 99">
            <a:extLst>
              <a:ext uri="{FF2B5EF4-FFF2-40B4-BE49-F238E27FC236}">
                <a16:creationId xmlns:a16="http://schemas.microsoft.com/office/drawing/2014/main" id="{00000000-0008-0000-0600-000064000000}"/>
              </a:ext>
            </a:extLst>
          </xdr:cNvPr>
          <xdr:cNvSpPr txBox="1"/>
        </xdr:nvSpPr>
        <xdr:spPr>
          <a:xfrm>
            <a:off x="9996014" y="2520108"/>
            <a:ext cx="108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5316F9A-E96E-4996-9E88-A0E6D69B736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8">
        <xdr:nvSpPr>
          <xdr:cNvPr id="101" name="TextBox 100">
            <a:extLst>
              <a:ext uri="{FF2B5EF4-FFF2-40B4-BE49-F238E27FC236}">
                <a16:creationId xmlns:a16="http://schemas.microsoft.com/office/drawing/2014/main" id="{00000000-0008-0000-0600-000065000000}"/>
              </a:ext>
            </a:extLst>
          </xdr:cNvPr>
          <xdr:cNvSpPr txBox="1"/>
        </xdr:nvSpPr>
        <xdr:spPr>
          <a:xfrm>
            <a:off x="9587355" y="2520108"/>
            <a:ext cx="54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EB3478A-FA81-4674-BDBA-E4474AEED4A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sp macro="" textlink="">
        <xdr:nvSpPr>
          <xdr:cNvPr id="99" name="Oval 98">
            <a:extLst>
              <a:ext uri="{FF2B5EF4-FFF2-40B4-BE49-F238E27FC236}">
                <a16:creationId xmlns:a16="http://schemas.microsoft.com/office/drawing/2014/main" id="{00000000-0008-0000-0600-000063000000}"/>
              </a:ext>
            </a:extLst>
          </xdr:cNvPr>
          <xdr:cNvSpPr/>
        </xdr:nvSpPr>
        <xdr:spPr>
          <a:xfrm>
            <a:off x="9701684" y="1433087"/>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Bình</a:t>
            </a:r>
            <a:r>
              <a:rPr lang="en-US" sz="1200" b="1" baseline="0">
                <a:solidFill>
                  <a:schemeClr val="accent6">
                    <a:lumMod val="50000"/>
                  </a:schemeClr>
                </a:solidFill>
              </a:rPr>
              <a:t> quân</a:t>
            </a:r>
            <a:endParaRPr lang="vi-VN" sz="1200" b="1">
              <a:solidFill>
                <a:schemeClr val="accent6">
                  <a:lumMod val="50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8</xdr:col>
          <xdr:colOff>215611</xdr:colOff>
          <xdr:row>16</xdr:row>
          <xdr:rowOff>10365</xdr:rowOff>
        </xdr:from>
        <xdr:to>
          <xdr:col>13</xdr:col>
          <xdr:colOff>293245</xdr:colOff>
          <xdr:row>17</xdr:row>
          <xdr:rowOff>12046</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5749636" y="3439365"/>
              <a:ext cx="3506634" cy="211231"/>
              <a:chOff x="4541089" y="3461777"/>
              <a:chExt cx="3495430" cy="214593"/>
            </a:xfrm>
          </xdr:grpSpPr>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4541089" y="3461777"/>
                <a:ext cx="1080001"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khách</a:t>
                </a:r>
              </a:p>
            </xdr:txBody>
          </xdr:sp>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574879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6956517" y="3461777"/>
                <a:ext cx="1080002"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đơn hàng</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83" name="Chart 82">
          <a:extLst>
            <a:ext uri="{FF2B5EF4-FFF2-40B4-BE49-F238E27FC236}">
              <a16:creationId xmlns:a16="http://schemas.microsoft.com/office/drawing/2014/main" id="{00000000-0008-0000-06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134470</xdr:colOff>
      <xdr:row>0</xdr:row>
      <xdr:rowOff>49306</xdr:rowOff>
    </xdr:from>
    <xdr:to>
      <xdr:col>32</xdr:col>
      <xdr:colOff>59239</xdr:colOff>
      <xdr:row>2</xdr:row>
      <xdr:rowOff>44824</xdr:rowOff>
    </xdr:to>
    <mc:AlternateContent xmlns:mc="http://schemas.openxmlformats.org/markup-compatibility/2006" xmlns:a14="http://schemas.microsoft.com/office/drawing/2010/main">
      <mc:Choice Requires="a14">
        <xdr:graphicFrame macro="">
          <xdr:nvGraphicFramePr>
            <xdr:cNvPr id="15" name="Phân khúc">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Phân khúc"/>
            </a:graphicData>
          </a:graphic>
        </xdr:graphicFrame>
      </mc:Choice>
      <mc:Fallback xmlns="">
        <xdr:sp macro="" textlink="">
          <xdr:nvSpPr>
            <xdr:cNvPr id="0" name=""/>
            <xdr:cNvSpPr>
              <a:spLocks noTextEdit="1"/>
            </xdr:cNvSpPr>
          </xdr:nvSpPr>
          <xdr:spPr>
            <a:xfrm>
              <a:off x="15955495" y="49306"/>
              <a:ext cx="6096969" cy="4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623606</xdr:colOff>
      <xdr:row>0</xdr:row>
      <xdr:rowOff>0</xdr:rowOff>
    </xdr:from>
    <xdr:to>
      <xdr:col>7</xdr:col>
      <xdr:colOff>266700</xdr:colOff>
      <xdr:row>5</xdr:row>
      <xdr:rowOff>57150</xdr:rowOff>
    </xdr:to>
    <mc:AlternateContent xmlns:mc="http://schemas.openxmlformats.org/markup-compatibility/2006" xmlns:a14="http://schemas.microsoft.com/office/drawing/2010/main">
      <mc:Choice Requires="a14">
        <xdr:graphicFrame macro="">
          <xdr:nvGraphicFramePr>
            <xdr:cNvPr id="19" name="Tỉnh">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microsoft.com/office/drawing/2010/slicer">
              <sle:slicer xmlns:sle="http://schemas.microsoft.com/office/drawing/2010/slicer" name="Tỉnh"/>
            </a:graphicData>
          </a:graphic>
        </xdr:graphicFrame>
      </mc:Choice>
      <mc:Fallback xmlns="">
        <xdr:sp macro="" textlink="">
          <xdr:nvSpPr>
            <xdr:cNvPr id="0" name=""/>
            <xdr:cNvSpPr>
              <a:spLocks noTextEdit="1"/>
            </xdr:cNvSpPr>
          </xdr:nvSpPr>
          <xdr:spPr>
            <a:xfrm>
              <a:off x="1528481" y="0"/>
              <a:ext cx="358644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161925</xdr:colOff>
      <xdr:row>32</xdr:row>
      <xdr:rowOff>142425</xdr:rowOff>
    </xdr:from>
    <xdr:to>
      <xdr:col>25</xdr:col>
      <xdr:colOff>104775</xdr:colOff>
      <xdr:row>34</xdr:row>
      <xdr:rowOff>1</xdr:rowOff>
    </xdr:to>
    <xdr:sp macro="" textlink="">
      <xdr:nvSpPr>
        <xdr:cNvPr id="9" name="TextBox 7">
          <a:extLst>
            <a:ext uri="{FF2B5EF4-FFF2-40B4-BE49-F238E27FC236}">
              <a16:creationId xmlns:a16="http://schemas.microsoft.com/office/drawing/2014/main" id="{00000000-0008-0000-0600-000009000000}"/>
            </a:ext>
          </a:extLst>
        </xdr:cNvPr>
        <xdr:cNvSpPr txBox="1"/>
      </xdr:nvSpPr>
      <xdr:spPr>
        <a:xfrm>
          <a:off x="26184225"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VIP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6184225"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30846713"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VÃNG LAI</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DH$33">
      <xdr:nvSpPr>
        <xdr:cNvPr id="37" name="TextBox 36">
          <a:extLst>
            <a:ext uri="{FF2B5EF4-FFF2-40B4-BE49-F238E27FC236}">
              <a16:creationId xmlns:a16="http://schemas.microsoft.com/office/drawing/2014/main" id="{00000000-0008-0000-0600-000025000000}"/>
            </a:ext>
          </a:extLst>
        </xdr:cNvPr>
        <xdr:cNvSpPr txBox="1"/>
      </xdr:nvSpPr>
      <xdr:spPr>
        <a:xfrm>
          <a:off x="42870508" y="4648200"/>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98" name="Group 97">
          <a:extLst>
            <a:ext uri="{FF2B5EF4-FFF2-40B4-BE49-F238E27FC236}">
              <a16:creationId xmlns:a16="http://schemas.microsoft.com/office/drawing/2014/main" id="{00000000-0008-0000-0600-000062000000}"/>
            </a:ext>
          </a:extLst>
        </xdr:cNvPr>
        <xdr:cNvGrpSpPr/>
      </xdr:nvGrpSpPr>
      <xdr:grpSpPr>
        <a:xfrm>
          <a:off x="16279707" y="1354511"/>
          <a:ext cx="5770305" cy="371394"/>
          <a:chOff x="25850454" y="1354511"/>
          <a:chExt cx="5750134" cy="374756"/>
        </a:xfrm>
      </xdr:grpSpPr>
      <xdr:sp macro="" textlink="$AR$3">
        <xdr:nvSpPr>
          <xdr:cNvPr id="41" name="TextBox 40">
            <a:extLst>
              <a:ext uri="{FF2B5EF4-FFF2-40B4-BE49-F238E27FC236}">
                <a16:creationId xmlns:a16="http://schemas.microsoft.com/office/drawing/2014/main" id="{00000000-0008-0000-0600-00002900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63" name="TextBox 62">
            <a:extLst>
              <a:ext uri="{FF2B5EF4-FFF2-40B4-BE49-F238E27FC236}">
                <a16:creationId xmlns:a16="http://schemas.microsoft.com/office/drawing/2014/main" id="{00000000-0008-0000-0600-00003F00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7</xdr:row>
      <xdr:rowOff>129426</xdr:rowOff>
    </xdr:from>
    <xdr:to>
      <xdr:col>32</xdr:col>
      <xdr:colOff>268941</xdr:colOff>
      <xdr:row>15</xdr:row>
      <xdr:rowOff>69955</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15983137" y="1672476"/>
          <a:ext cx="6279029" cy="1616929"/>
          <a:chOff x="25442583" y="1743073"/>
          <a:chExt cx="6258858" cy="1643823"/>
        </a:xfrm>
      </xdr:grpSpPr>
      <xdr:grpSp>
        <xdr:nvGrpSpPr>
          <xdr:cNvPr id="106" name="Group 105">
            <a:extLst>
              <a:ext uri="{FF2B5EF4-FFF2-40B4-BE49-F238E27FC236}">
                <a16:creationId xmlns:a16="http://schemas.microsoft.com/office/drawing/2014/main" id="{00000000-0008-0000-0600-00006A000000}"/>
              </a:ext>
            </a:extLst>
          </xdr:cNvPr>
          <xdr:cNvGrpSpPr/>
        </xdr:nvGrpSpPr>
        <xdr:grpSpPr>
          <a:xfrm>
            <a:off x="26098501" y="1743073"/>
            <a:ext cx="5594288" cy="374756"/>
            <a:chOff x="33897795" y="3648074"/>
            <a:chExt cx="5594288" cy="374756"/>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khách hàng</a:t>
              </a:r>
              <a:endParaRPr lang="en-US" sz="1400" b="1">
                <a:solidFill>
                  <a:schemeClr val="tx1"/>
                </a:solidFill>
              </a:endParaRPr>
            </a:p>
          </xdr:txBody>
        </xdr:sp>
        <xdr:sp macro="" textlink="$AU$3">
          <xdr:nvSpPr>
            <xdr:cNvPr id="43" name="TextBox 42">
              <a:extLst>
                <a:ext uri="{FF2B5EF4-FFF2-40B4-BE49-F238E27FC236}">
                  <a16:creationId xmlns:a16="http://schemas.microsoft.com/office/drawing/2014/main" id="{00000000-0008-0000-0600-00002B00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600-00003100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50" name="TextBox 49">
              <a:extLst>
                <a:ext uri="{FF2B5EF4-FFF2-40B4-BE49-F238E27FC236}">
                  <a16:creationId xmlns:a16="http://schemas.microsoft.com/office/drawing/2014/main" id="{00000000-0008-0000-0600-00003200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52" name="TextBox 51">
              <a:extLst>
                <a:ext uri="{FF2B5EF4-FFF2-40B4-BE49-F238E27FC236}">
                  <a16:creationId xmlns:a16="http://schemas.microsoft.com/office/drawing/2014/main" id="{00000000-0008-0000-0600-00003400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0" name="Group 109">
            <a:extLst>
              <a:ext uri="{FF2B5EF4-FFF2-40B4-BE49-F238E27FC236}">
                <a16:creationId xmlns:a16="http://schemas.microsoft.com/office/drawing/2014/main" id="{00000000-0008-0000-0600-00006E000000}"/>
              </a:ext>
            </a:extLst>
          </xdr:cNvPr>
          <xdr:cNvGrpSpPr/>
        </xdr:nvGrpSpPr>
        <xdr:grpSpPr>
          <a:xfrm>
            <a:off x="25773530" y="2060340"/>
            <a:ext cx="5919259" cy="374756"/>
            <a:chOff x="33572824" y="4285970"/>
            <a:chExt cx="5919259" cy="374756"/>
          </a:xfrm>
        </xdr:grpSpPr>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64" name="TextBox 63">
              <a:extLst>
                <a:ext uri="{FF2B5EF4-FFF2-40B4-BE49-F238E27FC236}">
                  <a16:creationId xmlns:a16="http://schemas.microsoft.com/office/drawing/2014/main" id="{00000000-0008-0000-0600-00004000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65" name="TextBox 64">
              <a:extLst>
                <a:ext uri="{FF2B5EF4-FFF2-40B4-BE49-F238E27FC236}">
                  <a16:creationId xmlns:a16="http://schemas.microsoft.com/office/drawing/2014/main" id="{00000000-0008-0000-0600-00004100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66" name="TextBox 65">
              <a:extLst>
                <a:ext uri="{FF2B5EF4-FFF2-40B4-BE49-F238E27FC236}">
                  <a16:creationId xmlns:a16="http://schemas.microsoft.com/office/drawing/2014/main" id="{00000000-0008-0000-0600-00004200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68" name="TextBox 67">
              <a:extLst>
                <a:ext uri="{FF2B5EF4-FFF2-40B4-BE49-F238E27FC236}">
                  <a16:creationId xmlns:a16="http://schemas.microsoft.com/office/drawing/2014/main" id="{00000000-0008-0000-0600-00004400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2" name="Group 111">
            <a:extLst>
              <a:ext uri="{FF2B5EF4-FFF2-40B4-BE49-F238E27FC236}">
                <a16:creationId xmlns:a16="http://schemas.microsoft.com/office/drawing/2014/main" id="{00000000-0008-0000-0600-000070000000}"/>
              </a:ext>
            </a:extLst>
          </xdr:cNvPr>
          <xdr:cNvGrpSpPr/>
        </xdr:nvGrpSpPr>
        <xdr:grpSpPr>
          <a:xfrm>
            <a:off x="25442583" y="2377607"/>
            <a:ext cx="6249086" cy="374756"/>
            <a:chOff x="33241877" y="4824132"/>
            <a:chExt cx="6249086" cy="374756"/>
          </a:xfrm>
        </xdr:grpSpPr>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33241877" y="4824132"/>
              <a:ext cx="212575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Tần suất mua (ngày / đơn)</a:t>
              </a:r>
              <a:endParaRPr lang="en-US" sz="1400" b="1">
                <a:solidFill>
                  <a:schemeClr val="tx1"/>
                </a:solidFill>
              </a:endParaRPr>
            </a:p>
          </xdr:txBody>
        </xdr:sp>
        <xdr:sp macro="" textlink="$BB$3">
          <xdr:nvSpPr>
            <xdr:cNvPr id="70" name="TextBox 69">
              <a:extLst>
                <a:ext uri="{FF2B5EF4-FFF2-40B4-BE49-F238E27FC236}">
                  <a16:creationId xmlns:a16="http://schemas.microsoft.com/office/drawing/2014/main" id="{00000000-0008-0000-0600-000046000000}"/>
                </a:ext>
              </a:extLst>
            </xdr:cNvPr>
            <xdr:cNvSpPr txBox="1"/>
          </xdr:nvSpPr>
          <xdr:spPr>
            <a:xfrm>
              <a:off x="35302367" y="4824132"/>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36451865" y="4824132"/>
              <a:ext cx="842745"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BC$3">
          <xdr:nvSpPr>
            <xdr:cNvPr id="73" name="TextBox 72">
              <a:extLst>
                <a:ext uri="{FF2B5EF4-FFF2-40B4-BE49-F238E27FC236}">
                  <a16:creationId xmlns:a16="http://schemas.microsoft.com/office/drawing/2014/main" id="{00000000-0008-0000-0600-000049000000}"/>
                </a:ext>
              </a:extLst>
            </xdr:cNvPr>
            <xdr:cNvSpPr txBox="1"/>
          </xdr:nvSpPr>
          <xdr:spPr>
            <a:xfrm>
              <a:off x="37200979" y="4824132"/>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38026852" y="4824132"/>
              <a:ext cx="84610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D$3">
          <xdr:nvSpPr>
            <xdr:cNvPr id="75" name="TextBox 74">
              <a:extLst>
                <a:ext uri="{FF2B5EF4-FFF2-40B4-BE49-F238E27FC236}">
                  <a16:creationId xmlns:a16="http://schemas.microsoft.com/office/drawing/2014/main" id="{00000000-0008-0000-0600-00004B000000}"/>
                </a:ext>
              </a:extLst>
            </xdr:cNvPr>
            <xdr:cNvSpPr txBox="1"/>
          </xdr:nvSpPr>
          <xdr:spPr>
            <a:xfrm>
              <a:off x="38768681" y="4825813"/>
              <a:ext cx="72228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25626360" y="2694874"/>
            <a:ext cx="6075081" cy="374756"/>
            <a:chOff x="33425654" y="5408239"/>
            <a:chExt cx="6075081" cy="374756"/>
          </a:xfrm>
        </xdr:grpSpPr>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33425654" y="5408239"/>
              <a:ext cx="194197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Số ngày từ lần mua cuối</a:t>
              </a:r>
              <a:endParaRPr lang="en-US" sz="1400" b="1">
                <a:solidFill>
                  <a:schemeClr val="tx1"/>
                </a:solidFill>
              </a:endParaRPr>
            </a:p>
          </xdr:txBody>
        </xdr:sp>
        <xdr:sp macro="" textlink="$BE$3">
          <xdr:nvSpPr>
            <xdr:cNvPr id="24" name="TextBox 23">
              <a:extLst>
                <a:ext uri="{FF2B5EF4-FFF2-40B4-BE49-F238E27FC236}">
                  <a16:creationId xmlns:a16="http://schemas.microsoft.com/office/drawing/2014/main" id="{00000000-0008-0000-0600-000018000000}"/>
                </a:ext>
              </a:extLst>
            </xdr:cNvPr>
            <xdr:cNvSpPr txBox="1"/>
          </xdr:nvSpPr>
          <xdr:spPr>
            <a:xfrm>
              <a:off x="35302367" y="5408239"/>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BF$3">
          <xdr:nvSpPr>
            <xdr:cNvPr id="77" name="TextBox 76">
              <a:extLst>
                <a:ext uri="{FF2B5EF4-FFF2-40B4-BE49-F238E27FC236}">
                  <a16:creationId xmlns:a16="http://schemas.microsoft.com/office/drawing/2014/main" id="{00000000-0008-0000-0600-00004D000000}"/>
                </a:ext>
              </a:extLst>
            </xdr:cNvPr>
            <xdr:cNvSpPr txBox="1"/>
          </xdr:nvSpPr>
          <xdr:spPr>
            <a:xfrm>
              <a:off x="36451865" y="5408239"/>
              <a:ext cx="304887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1400" b="0" i="0" u="none" strike="noStrike" baseline="0">
                  <a:solidFill>
                    <a:srgbClr val="000000"/>
                  </a:solidFill>
                  <a:latin typeface="Segoe UI Light"/>
                  <a:ea typeface="+mn-ea"/>
                  <a:cs typeface="Segoe UI Light"/>
                </a:rPr>
                <a:pPr marL="0" indent="0" algn="l"/>
                <a:t>#N/A</a:t>
              </a:fld>
              <a:endParaRPr lang="en-US" sz="1400" b="0" baseline="0">
                <a:solidFill>
                  <a:schemeClr val="tx1"/>
                </a:solidFill>
                <a:latin typeface="+mn-lt"/>
                <a:ea typeface="+mn-ea"/>
                <a:cs typeface="+mn-cs"/>
              </a:endParaRP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26381637" y="3012140"/>
            <a:ext cx="5241363" cy="374756"/>
            <a:chOff x="34180931" y="5981700"/>
            <a:chExt cx="5241363" cy="374756"/>
          </a:xfrm>
        </xdr:grpSpPr>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34180931" y="5981700"/>
              <a:ext cx="11867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Dư nợ hiện tại</a:t>
              </a:r>
            </a:p>
          </xdr:txBody>
        </xdr:sp>
        <xdr:sp macro="" textlink="$BI$3">
          <xdr:nvSpPr>
            <xdr:cNvPr id="90" name="TextBox 89">
              <a:extLst>
                <a:ext uri="{FF2B5EF4-FFF2-40B4-BE49-F238E27FC236}">
                  <a16:creationId xmlns:a16="http://schemas.microsoft.com/office/drawing/2014/main" id="{00000000-0008-0000-0600-00005A000000}"/>
                </a:ext>
              </a:extLst>
            </xdr:cNvPr>
            <xdr:cNvSpPr txBox="1"/>
          </xdr:nvSpPr>
          <xdr:spPr>
            <a:xfrm>
              <a:off x="35302367" y="5981700"/>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7C0961F-410E-4EBF-AC31-3172B8D3B358}"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BJ$3">
          <xdr:nvSpPr>
            <xdr:cNvPr id="94" name="TextBox 93">
              <a:extLst>
                <a:ext uri="{FF2B5EF4-FFF2-40B4-BE49-F238E27FC236}">
                  <a16:creationId xmlns:a16="http://schemas.microsoft.com/office/drawing/2014/main" id="{00000000-0008-0000-0600-00005E000000}"/>
                </a:ext>
              </a:extLst>
            </xdr:cNvPr>
            <xdr:cNvSpPr txBox="1"/>
          </xdr:nvSpPr>
          <xdr:spPr>
            <a:xfrm>
              <a:off x="36451865" y="5981700"/>
              <a:ext cx="297042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A3773D5-0558-4DB4-9F2E-91E52EC46C1F}" type="TxLink">
                <a:rPr lang="en-US" sz="1400" b="0" baseline="0">
                  <a:solidFill>
                    <a:schemeClr val="tx1"/>
                  </a:solidFill>
                  <a:latin typeface="+mn-lt"/>
                  <a:ea typeface="+mn-ea"/>
                  <a:cs typeface="+mn-cs"/>
                </a:rPr>
                <a:pPr marL="0" indent="0" algn="l"/>
                <a:t>#N/A</a:t>
              </a:fld>
              <a:endParaRPr lang="en-US" sz="1400" b="0" baseline="0">
                <a:solidFill>
                  <a:schemeClr val="tx1"/>
                </a:solidFill>
                <a:latin typeface="+mn-lt"/>
                <a:ea typeface="+mn-ea"/>
                <a:cs typeface="+mn-cs"/>
              </a:endParaRPr>
            </a:p>
          </xdr:txBody>
        </xdr:sp>
      </xdr:grpSp>
    </xdr:grp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118" name="Chart 117">
              <a:extLst>
                <a:ext uri="{FF2B5EF4-FFF2-40B4-BE49-F238E27FC236}">
                  <a16:creationId xmlns:a16="http://schemas.microsoft.com/office/drawing/2014/main" id="{00000000-0008-0000-0600-00007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314325</xdr:colOff>
      <xdr:row>0</xdr:row>
      <xdr:rowOff>0</xdr:rowOff>
    </xdr:from>
    <xdr:to>
      <xdr:col>8</xdr:col>
      <xdr:colOff>230842</xdr:colOff>
      <xdr:row>2</xdr:row>
      <xdr:rowOff>156322</xdr:rowOff>
    </xdr:to>
    <xdr:pic>
      <xdr:nvPicPr>
        <xdr:cNvPr id="10" name="Graphic 8" descr="Arrow: Straight with solid fill">
          <a:hlinkClick xmlns:r="http://schemas.openxmlformats.org/officeDocument/2006/relationships" r:id="rId7"/>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162550" y="0"/>
          <a:ext cx="602317" cy="613522"/>
        </a:xfrm>
        <a:prstGeom prst="rect">
          <a:avLst/>
        </a:prstGeom>
      </xdr:spPr>
    </xdr:pic>
    <xdr:clientData/>
  </xdr:twoCellAnchor>
  <xdr:twoCellAnchor editAs="oneCell">
    <xdr:from>
      <xdr:col>0</xdr:col>
      <xdr:colOff>0</xdr:colOff>
      <xdr:row>0</xdr:row>
      <xdr:rowOff>0</xdr:rowOff>
    </xdr:from>
    <xdr:to>
      <xdr:col>2</xdr:col>
      <xdr:colOff>638175</xdr:colOff>
      <xdr:row>2</xdr:row>
      <xdr:rowOff>160020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231320</xdr:colOff>
      <xdr:row>0</xdr:row>
      <xdr:rowOff>13607</xdr:rowOff>
    </xdr:from>
    <xdr:to>
      <xdr:col>22</xdr:col>
      <xdr:colOff>408213</xdr:colOff>
      <xdr:row>4</xdr:row>
      <xdr:rowOff>108857</xdr:rowOff>
    </xdr:to>
    <mc:AlternateContent xmlns:mc="http://schemas.openxmlformats.org/markup-compatibility/2006" xmlns:tsle="http://schemas.microsoft.com/office/drawing/2012/timeslicer">
      <mc:Choice Requires="tsle">
        <xdr:graphicFrame macro="">
          <xdr:nvGraphicFramePr>
            <xdr:cNvPr id="113" name="Ngày lập">
              <a:extLst>
                <a:ext uri="{FF2B5EF4-FFF2-40B4-BE49-F238E27FC236}">
                  <a16:creationId xmlns:a16="http://schemas.microsoft.com/office/drawing/2014/main" id="{00000000-0008-0000-0600-000071000000}"/>
                </a:ext>
              </a:extLst>
            </xdr:cNvPr>
            <xdr:cNvGraphicFramePr/>
          </xdr:nvGraphicFramePr>
          <xdr:xfrm>
            <a:off x="0" y="0"/>
            <a:ext cx="0" cy="0"/>
          </xdr:xfrm>
          <a:graphic>
            <a:graphicData uri="http://schemas.microsoft.com/office/drawing/2012/timeslicer">
              <tsle:timeslicer name="Ngày lập"/>
            </a:graphicData>
          </a:graphic>
        </xdr:graphicFrame>
      </mc:Choice>
      <mc:Fallback xmlns="">
        <xdr:sp macro="" textlink="">
          <xdr:nvSpPr>
            <xdr:cNvPr id="0" name=""/>
            <xdr:cNvSpPr>
              <a:spLocks noTextEdit="1"/>
            </xdr:cNvSpPr>
          </xdr:nvSpPr>
          <xdr:spPr>
            <a:xfrm>
              <a:off x="5742213" y="13607"/>
              <a:ext cx="9701893" cy="10205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a:off x="5543550" y="1229846"/>
          <a:ext cx="10102845" cy="211517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7</xdr:row>
      <xdr:rowOff>167459</xdr:rowOff>
    </xdr:from>
    <xdr:to>
      <xdr:col>16</xdr:col>
      <xdr:colOff>549429</xdr:colOff>
      <xdr:row>14</xdr:row>
      <xdr:rowOff>117973</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7823521" y="1710509"/>
          <a:ext cx="1804483"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306528</xdr:colOff>
      <xdr:row>8</xdr:row>
      <xdr:rowOff>183554</xdr:rowOff>
    </xdr:from>
    <xdr:to>
      <xdr:col>16</xdr:col>
      <xdr:colOff>359448</xdr:colOff>
      <xdr:row>11</xdr:row>
      <xdr:rowOff>67075</xdr:rowOff>
    </xdr:to>
    <xdr:sp macro="" textlink="$BP$8">
      <xdr:nvSpPr>
        <xdr:cNvPr id="6" name="TextBox 5">
          <a:extLst>
            <a:ext uri="{FF2B5EF4-FFF2-40B4-BE49-F238E27FC236}">
              <a16:creationId xmlns:a16="http://schemas.microsoft.com/office/drawing/2014/main" id="{00000000-0008-0000-0700-000006000000}"/>
            </a:ext>
          </a:extLst>
        </xdr:cNvPr>
        <xdr:cNvSpPr txBox="1"/>
      </xdr:nvSpPr>
      <xdr:spPr>
        <a:xfrm>
          <a:off x="18013503" y="1936154"/>
          <a:ext cx="1424520"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322117-1324-4CF3-9E0D-66127C6B20A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477443</xdr:colOff>
      <xdr:row>13</xdr:row>
      <xdr:rowOff>26333</xdr:rowOff>
    </xdr:from>
    <xdr:to>
      <xdr:col>16</xdr:col>
      <xdr:colOff>188533</xdr:colOff>
      <xdr:row>14</xdr:row>
      <xdr:rowOff>117973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8184418" y="2826683"/>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14</xdr:col>
      <xdr:colOff>682553</xdr:colOff>
      <xdr:row>11</xdr:row>
      <xdr:rowOff>132552</xdr:rowOff>
    </xdr:from>
    <xdr:to>
      <xdr:col>16</xdr:col>
      <xdr:colOff>393643</xdr:colOff>
      <xdr:row>13</xdr:row>
      <xdr:rowOff>14642</xdr:rowOff>
    </xdr:to>
    <xdr:sp macro="" textlink="$BR$8">
      <xdr:nvSpPr>
        <xdr:cNvPr id="8" name="TextBox 7">
          <a:extLst>
            <a:ext uri="{FF2B5EF4-FFF2-40B4-BE49-F238E27FC236}">
              <a16:creationId xmlns:a16="http://schemas.microsoft.com/office/drawing/2014/main" id="{00000000-0008-0000-0700-000008000000}"/>
            </a:ext>
          </a:extLst>
        </xdr:cNvPr>
        <xdr:cNvSpPr txBox="1"/>
      </xdr:nvSpPr>
      <xdr:spPr>
        <a:xfrm>
          <a:off x="18389528" y="2513802"/>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5DCC0C6-20D9-4BC5-8ABC-2BC54737F77D}"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272332</xdr:colOff>
      <xdr:row>11</xdr:row>
      <xdr:rowOff>132552</xdr:rowOff>
    </xdr:from>
    <xdr:to>
      <xdr:col>15</xdr:col>
      <xdr:colOff>127877</xdr:colOff>
      <xdr:row>13</xdr:row>
      <xdr:rowOff>14642</xdr:rowOff>
    </xdr:to>
    <xdr:sp macro="" textlink="$BS$8">
      <xdr:nvSpPr>
        <xdr:cNvPr id="9" name="TextBox 8">
          <a:extLst>
            <a:ext uri="{FF2B5EF4-FFF2-40B4-BE49-F238E27FC236}">
              <a16:creationId xmlns:a16="http://schemas.microsoft.com/office/drawing/2014/main" id="{00000000-0008-0000-0700-000009000000}"/>
            </a:ext>
          </a:extLst>
        </xdr:cNvPr>
        <xdr:cNvSpPr txBox="1"/>
      </xdr:nvSpPr>
      <xdr:spPr>
        <a:xfrm>
          <a:off x="17979307"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A4CF9B6-A841-4F1A-9725-D9B10688B5C0}"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14</xdr:col>
      <xdr:colOff>387218</xdr:colOff>
      <xdr:row>6</xdr:row>
      <xdr:rowOff>110371</xdr:rowOff>
    </xdr:from>
    <xdr:to>
      <xdr:col>16</xdr:col>
      <xdr:colOff>278756</xdr:colOff>
      <xdr:row>9</xdr:row>
      <xdr:rowOff>13233</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18094193" y="1443871"/>
          <a:ext cx="126313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217948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18852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kinh doanh</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20658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chemeClr val="accent6">
                  <a:lumMod val="50000"/>
                </a:schemeClr>
              </a:solidFill>
            </a:rPr>
            <a:t>Tồn kho</a:t>
          </a:r>
          <a:endParaRPr lang="vi-VN" sz="1200" b="1">
            <a:solidFill>
              <a:schemeClr val="accent6">
                <a:lumMod val="50000"/>
              </a:schemeClr>
            </a:solidFill>
          </a:endParaRPr>
        </a:p>
      </xdr:txBody>
    </xdr:sp>
    <xdr:clientData/>
  </xdr:twoCellAnchor>
  <xdr:twoCellAnchor>
    <xdr:from>
      <xdr:col>20</xdr:col>
      <xdr:colOff>494050</xdr:colOff>
      <xdr:row>8</xdr:row>
      <xdr:rowOff>146473</xdr:rowOff>
    </xdr:from>
    <xdr:to>
      <xdr:col>21</xdr:col>
      <xdr:colOff>573097</xdr:colOff>
      <xdr:row>11</xdr:row>
      <xdr:rowOff>29995</xdr:rowOff>
    </xdr:to>
    <xdr:sp macro="" textlink="$BP$10">
      <xdr:nvSpPr>
        <xdr:cNvPr id="20" name="TextBox 19">
          <a:extLst>
            <a:ext uri="{FF2B5EF4-FFF2-40B4-BE49-F238E27FC236}">
              <a16:creationId xmlns:a16="http://schemas.microsoft.com/office/drawing/2014/main" id="{00000000-0008-0000-0700-000014000000}"/>
            </a:ext>
          </a:extLst>
        </xdr:cNvPr>
        <xdr:cNvSpPr txBox="1"/>
      </xdr:nvSpPr>
      <xdr:spPr>
        <a:xfrm>
          <a:off x="22315825" y="1899073"/>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D24E77-D3FC-41A4-B723-E5B2FF0BD089}"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505219</xdr:colOff>
      <xdr:row>11</xdr:row>
      <xdr:rowOff>132552</xdr:rowOff>
    </xdr:from>
    <xdr:to>
      <xdr:col>21</xdr:col>
      <xdr:colOff>480958</xdr:colOff>
      <xdr:row>13</xdr:row>
      <xdr:rowOff>14642</xdr:rowOff>
    </xdr:to>
    <xdr:sp macro="" textlink="$BR$10">
      <xdr:nvSpPr>
        <xdr:cNvPr id="17" name="TextBox 16">
          <a:extLst>
            <a:ext uri="{FF2B5EF4-FFF2-40B4-BE49-F238E27FC236}">
              <a16:creationId xmlns:a16="http://schemas.microsoft.com/office/drawing/2014/main" id="{00000000-0008-0000-0700-000011000000}"/>
            </a:ext>
          </a:extLst>
        </xdr:cNvPr>
        <xdr:cNvSpPr txBox="1"/>
      </xdr:nvSpPr>
      <xdr:spPr>
        <a:xfrm>
          <a:off x="223269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681640B-EDC0-4B2C-A786-3A5F240C53EA}"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29382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1476375" y="1239371"/>
          <a:ext cx="3685615" cy="2115177"/>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SẢN PHẨM</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23" name="Rectangle: Rounded Corners 22">
          <a:extLst>
            <a:ext uri="{FF2B5EF4-FFF2-40B4-BE49-F238E27FC236}">
              <a16:creationId xmlns:a16="http://schemas.microsoft.com/office/drawing/2014/main" id="{00000000-0008-0000-0700-000017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24" name="Rectangle: Rounded Corners 23">
          <a:extLst>
            <a:ext uri="{FF2B5EF4-FFF2-40B4-BE49-F238E27FC236}">
              <a16:creationId xmlns:a16="http://schemas.microsoft.com/office/drawing/2014/main" id="{00000000-0008-0000-0700-000018000000}"/>
            </a:ext>
          </a:extLst>
        </xdr:cNvPr>
        <xdr:cNvSpPr/>
      </xdr:nvSpPr>
      <xdr:spPr>
        <a:xfrm>
          <a:off x="5545132" y="6775157"/>
          <a:ext cx="10139183" cy="3065472"/>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16115684" y="3499133"/>
          <a:ext cx="6098351"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5545132" y="3499133"/>
          <a:ext cx="10139183" cy="306883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476375" y="3499133"/>
          <a:ext cx="3685615" cy="6395661"/>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329142" y="6118523"/>
          <a:ext cx="1897045" cy="48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1297900"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137718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33" name="Oval 32">
          <a:extLst>
            <a:ext uri="{FF2B5EF4-FFF2-40B4-BE49-F238E27FC236}">
              <a16:creationId xmlns:a16="http://schemas.microsoft.com/office/drawing/2014/main" id="{00000000-0008-0000-0700-000021000000}"/>
            </a:ext>
          </a:extLst>
        </xdr:cNvPr>
        <xdr:cNvSpPr/>
      </xdr:nvSpPr>
      <xdr:spPr>
        <a:xfrm>
          <a:off x="140425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lượng</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P$6">
      <xdr:nvSpPr>
        <xdr:cNvPr id="34" name="TextBox 33">
          <a:extLst>
            <a:ext uri="{FF2B5EF4-FFF2-40B4-BE49-F238E27FC236}">
              <a16:creationId xmlns:a16="http://schemas.microsoft.com/office/drawing/2014/main" id="{00000000-0008-0000-0700-000022000000}"/>
            </a:ext>
          </a:extLst>
        </xdr:cNvPr>
        <xdr:cNvSpPr txBox="1"/>
      </xdr:nvSpPr>
      <xdr:spPr>
        <a:xfrm>
          <a:off x="140031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CDA2B9-AA5A-4535-A020-CB826BCAF623}"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38620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R$6">
      <xdr:nvSpPr>
        <xdr:cNvPr id="36" name="TextBox 35">
          <a:extLst>
            <a:ext uri="{FF2B5EF4-FFF2-40B4-BE49-F238E27FC236}">
              <a16:creationId xmlns:a16="http://schemas.microsoft.com/office/drawing/2014/main" id="{00000000-0008-0000-0700-000024000000}"/>
            </a:ext>
          </a:extLst>
        </xdr:cNvPr>
        <xdr:cNvSpPr txBox="1"/>
      </xdr:nvSpPr>
      <xdr:spPr>
        <a:xfrm>
          <a:off x="143392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C9D3FAB-42AA-434F-BA63-9EAD80F498F0}"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S$6">
      <xdr:nvSpPr>
        <xdr:cNvPr id="37" name="TextBox 36">
          <a:extLst>
            <a:ext uri="{FF2B5EF4-FFF2-40B4-BE49-F238E27FC236}">
              <a16:creationId xmlns:a16="http://schemas.microsoft.com/office/drawing/2014/main" id="{00000000-0008-0000-0700-000025000000}"/>
            </a:ext>
          </a:extLst>
        </xdr:cNvPr>
        <xdr:cNvSpPr txBox="1"/>
      </xdr:nvSpPr>
      <xdr:spPr>
        <a:xfrm>
          <a:off x="139262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852216C-597E-49C7-88D0-615AF891552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156627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P$7">
      <xdr:nvSpPr>
        <xdr:cNvPr id="40" name="TextBox 39">
          <a:extLst>
            <a:ext uri="{FF2B5EF4-FFF2-40B4-BE49-F238E27FC236}">
              <a16:creationId xmlns:a16="http://schemas.microsoft.com/office/drawing/2014/main" id="{00000000-0008-0000-0700-000028000000}"/>
            </a:ext>
          </a:extLst>
        </xdr:cNvPr>
        <xdr:cNvSpPr txBox="1"/>
      </xdr:nvSpPr>
      <xdr:spPr>
        <a:xfrm>
          <a:off x="158673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1E2B117-EFB4-498C-839B-8336A2F5E0FF}"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157529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R$7">
      <xdr:nvSpPr>
        <xdr:cNvPr id="42" name="TextBox 41">
          <a:extLst>
            <a:ext uri="{FF2B5EF4-FFF2-40B4-BE49-F238E27FC236}">
              <a16:creationId xmlns:a16="http://schemas.microsoft.com/office/drawing/2014/main" id="{00000000-0008-0000-0700-00002A000000}"/>
            </a:ext>
          </a:extLst>
        </xdr:cNvPr>
        <xdr:cNvSpPr txBox="1"/>
      </xdr:nvSpPr>
      <xdr:spPr>
        <a:xfrm>
          <a:off x="162464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6AF59C-751E-47A6-9035-79FCCF5AB19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S$7">
      <xdr:nvSpPr>
        <xdr:cNvPr id="43" name="TextBox 42">
          <a:extLst>
            <a:ext uri="{FF2B5EF4-FFF2-40B4-BE49-F238E27FC236}">
              <a16:creationId xmlns:a16="http://schemas.microsoft.com/office/drawing/2014/main" id="{00000000-0008-0000-0700-00002B000000}"/>
            </a:ext>
          </a:extLst>
        </xdr:cNvPr>
        <xdr:cNvSpPr txBox="1"/>
      </xdr:nvSpPr>
      <xdr:spPr>
        <a:xfrm>
          <a:off x="158007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E4C65F1-30CD-41D8-882C-4CCBA07C6FFE}"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44" name="Oval 43">
          <a:extLst>
            <a:ext uri="{FF2B5EF4-FFF2-40B4-BE49-F238E27FC236}">
              <a16:creationId xmlns:a16="http://schemas.microsoft.com/office/drawing/2014/main" id="{00000000-0008-0000-0700-00002C000000}"/>
            </a:ext>
          </a:extLst>
        </xdr:cNvPr>
        <xdr:cNvSpPr/>
      </xdr:nvSpPr>
      <xdr:spPr>
        <a:xfrm>
          <a:off x="159333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16</xdr:col>
      <xdr:colOff>646272</xdr:colOff>
      <xdr:row>7</xdr:row>
      <xdr:rowOff>167882</xdr:rowOff>
    </xdr:from>
    <xdr:to>
      <xdr:col>19</xdr:col>
      <xdr:colOff>395594</xdr:colOff>
      <xdr:row>14</xdr:row>
      <xdr:rowOff>118395</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9724847" y="1710932"/>
          <a:ext cx="1806722" cy="1417363"/>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159849</xdr:colOff>
      <xdr:row>8</xdr:row>
      <xdr:rowOff>156635</xdr:rowOff>
    </xdr:from>
    <xdr:to>
      <xdr:col>19</xdr:col>
      <xdr:colOff>196217</xdr:colOff>
      <xdr:row>11</xdr:row>
      <xdr:rowOff>29995</xdr:rowOff>
    </xdr:to>
    <xdr:sp macro="" textlink="$BP$9">
      <xdr:nvSpPr>
        <xdr:cNvPr id="47" name="TextBox 46">
          <a:extLst>
            <a:ext uri="{FF2B5EF4-FFF2-40B4-BE49-F238E27FC236}">
              <a16:creationId xmlns:a16="http://schemas.microsoft.com/office/drawing/2014/main" id="{00000000-0008-0000-0700-00002F000000}"/>
            </a:ext>
          </a:extLst>
        </xdr:cNvPr>
        <xdr:cNvSpPr txBox="1"/>
      </xdr:nvSpPr>
      <xdr:spPr>
        <a:xfrm>
          <a:off x="19924224" y="1909235"/>
          <a:ext cx="1407968" cy="502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2B1ECF-2A1B-42A5-98DF-19D5A2ADB33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50808</xdr:colOff>
      <xdr:row>13</xdr:row>
      <xdr:rowOff>26755</xdr:rowOff>
    </xdr:from>
    <xdr:to>
      <xdr:col>19</xdr:col>
      <xdr:colOff>305258</xdr:colOff>
      <xdr:row>14</xdr:row>
      <xdr:rowOff>118395</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9815183" y="2827105"/>
          <a:ext cx="162605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/ngày</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17</xdr:col>
      <xdr:colOff>526909</xdr:colOff>
      <xdr:row>11</xdr:row>
      <xdr:rowOff>132977</xdr:rowOff>
    </xdr:from>
    <xdr:to>
      <xdr:col>19</xdr:col>
      <xdr:colOff>239342</xdr:colOff>
      <xdr:row>13</xdr:row>
      <xdr:rowOff>15066</xdr:rowOff>
    </xdr:to>
    <xdr:sp macro="" textlink="$BR$9">
      <xdr:nvSpPr>
        <xdr:cNvPr id="49" name="TextBox 48">
          <a:extLst>
            <a:ext uri="{FF2B5EF4-FFF2-40B4-BE49-F238E27FC236}">
              <a16:creationId xmlns:a16="http://schemas.microsoft.com/office/drawing/2014/main" id="{00000000-0008-0000-0700-000031000000}"/>
            </a:ext>
          </a:extLst>
        </xdr:cNvPr>
        <xdr:cNvSpPr txBox="1"/>
      </xdr:nvSpPr>
      <xdr:spPr>
        <a:xfrm>
          <a:off x="20291284" y="2514227"/>
          <a:ext cx="1084033"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77B977C-95F0-4C97-A05E-57828EB4D68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116724</xdr:colOff>
      <xdr:row>11</xdr:row>
      <xdr:rowOff>132977</xdr:rowOff>
    </xdr:from>
    <xdr:to>
      <xdr:col>17</xdr:col>
      <xdr:colOff>658741</xdr:colOff>
      <xdr:row>13</xdr:row>
      <xdr:rowOff>15066</xdr:rowOff>
    </xdr:to>
    <xdr:sp macro="" textlink="$BS$9">
      <xdr:nvSpPr>
        <xdr:cNvPr id="50" name="TextBox 49">
          <a:extLst>
            <a:ext uri="{FF2B5EF4-FFF2-40B4-BE49-F238E27FC236}">
              <a16:creationId xmlns:a16="http://schemas.microsoft.com/office/drawing/2014/main" id="{00000000-0008-0000-0700-000032000000}"/>
            </a:ext>
          </a:extLst>
        </xdr:cNvPr>
        <xdr:cNvSpPr txBox="1"/>
      </xdr:nvSpPr>
      <xdr:spPr>
        <a:xfrm>
          <a:off x="19881099" y="2514227"/>
          <a:ext cx="542017"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0C8C526-1C02-4765-97D8-785ABFA39CCC}"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17</xdr:col>
      <xdr:colOff>231480</xdr:colOff>
      <xdr:row>6</xdr:row>
      <xdr:rowOff>110793</xdr:rowOff>
    </xdr:from>
    <xdr:to>
      <xdr:col>19</xdr:col>
      <xdr:colOff>124585</xdr:colOff>
      <xdr:row>9</xdr:row>
      <xdr:rowOff>13655</xdr:rowOff>
    </xdr:to>
    <xdr:sp macro="" textlink="">
      <xdr:nvSpPr>
        <xdr:cNvPr id="51" name="Oval 50">
          <a:extLst>
            <a:ext uri="{FF2B5EF4-FFF2-40B4-BE49-F238E27FC236}">
              <a16:creationId xmlns:a16="http://schemas.microsoft.com/office/drawing/2014/main" id="{00000000-0008-0000-0700-000033000000}"/>
            </a:ext>
          </a:extLst>
        </xdr:cNvPr>
        <xdr:cNvSpPr/>
      </xdr:nvSpPr>
      <xdr:spPr>
        <a:xfrm>
          <a:off x="19995855" y="1444293"/>
          <a:ext cx="1264705"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215613</xdr:colOff>
          <xdr:row>16</xdr:row>
          <xdr:rowOff>10365</xdr:rowOff>
        </xdr:from>
        <xdr:to>
          <xdr:col>11</xdr:col>
          <xdr:colOff>453261</xdr:colOff>
          <xdr:row>17</xdr:row>
          <xdr:rowOff>12046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5749638" y="3439365"/>
              <a:ext cx="2295048" cy="211231"/>
              <a:chOff x="4541430" y="3461777"/>
              <a:chExt cx="2287712" cy="214593"/>
            </a:xfrm>
          </xdr:grpSpPr>
          <xdr:sp macro="" textlink="">
            <xdr:nvSpPr>
              <xdr:cNvPr id="47105" name="Option Button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4541430"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lượng</a:t>
                </a:r>
              </a:p>
            </xdr:txBody>
          </xdr:sp>
          <xdr:sp macro="" textlink="">
            <xdr:nvSpPr>
              <xdr:cNvPr id="47106" name="Option Button 2" hidden="1">
                <a:extLst>
                  <a:ext uri="{63B3BB69-23CF-44E3-9099-C40C66FF867C}">
                    <a14:compatExt spid="_x0000_s47106"/>
                  </a:ext>
                  <a:ext uri="{FF2B5EF4-FFF2-40B4-BE49-F238E27FC236}">
                    <a16:creationId xmlns:a16="http://schemas.microsoft.com/office/drawing/2014/main" id="{00000000-0008-0000-0700-000002B80000}"/>
                  </a:ext>
                </a:extLst>
              </xdr:cNvPr>
              <xdr:cNvSpPr/>
            </xdr:nvSpPr>
            <xdr:spPr bwMode="auto">
              <a:xfrm>
                <a:off x="5749142"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161925</xdr:colOff>
      <xdr:row>32</xdr:row>
      <xdr:rowOff>142425</xdr:rowOff>
    </xdr:from>
    <xdr:to>
      <xdr:col>25</xdr:col>
      <xdr:colOff>104775</xdr:colOff>
      <xdr:row>34</xdr:row>
      <xdr:rowOff>1</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16668750"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MVP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16668750"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1331238"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DỌN KHO</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CW$33">
      <xdr:nvSpPr>
        <xdr:cNvPr id="62" name="TextBox 61">
          <a:extLst>
            <a:ext uri="{FF2B5EF4-FFF2-40B4-BE49-F238E27FC236}">
              <a16:creationId xmlns:a16="http://schemas.microsoft.com/office/drawing/2014/main" id="{00000000-0008-0000-0700-00003E000000}"/>
            </a:ext>
          </a:extLst>
        </xdr:cNvPr>
        <xdr:cNvSpPr txBox="1"/>
      </xdr:nvSpPr>
      <xdr:spPr>
        <a:xfrm>
          <a:off x="39536758" y="4638675"/>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16279707" y="1354511"/>
          <a:ext cx="5770305" cy="371394"/>
          <a:chOff x="25850454" y="1354511"/>
          <a:chExt cx="5750134" cy="374756"/>
        </a:xfrm>
      </xdr:grpSpPr>
      <xdr:sp macro="" textlink="$AR$3">
        <xdr:nvSpPr>
          <xdr:cNvPr id="47104" name="TextBox 47103">
            <a:extLst>
              <a:ext uri="{FF2B5EF4-FFF2-40B4-BE49-F238E27FC236}">
                <a16:creationId xmlns:a16="http://schemas.microsoft.com/office/drawing/2014/main" id="{00000000-0008-0000-0700-000000B8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47108" name="TextBox 47107">
            <a:extLst>
              <a:ext uri="{FF2B5EF4-FFF2-40B4-BE49-F238E27FC236}">
                <a16:creationId xmlns:a16="http://schemas.microsoft.com/office/drawing/2014/main" id="{00000000-0008-0000-0700-000004B8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24</xdr:col>
      <xdr:colOff>134344</xdr:colOff>
      <xdr:row>7</xdr:row>
      <xdr:rowOff>129426</xdr:rowOff>
    </xdr:from>
    <xdr:to>
      <xdr:col>32</xdr:col>
      <xdr:colOff>260261</xdr:colOff>
      <xdr:row>9</xdr:row>
      <xdr:rowOff>78951</xdr:rowOff>
    </xdr:to>
    <xdr:grpSp>
      <xdr:nvGrpSpPr>
        <xdr:cNvPr id="47110" name="Group 47109">
          <a:extLst>
            <a:ext uri="{FF2B5EF4-FFF2-40B4-BE49-F238E27FC236}">
              <a16:creationId xmlns:a16="http://schemas.microsoft.com/office/drawing/2014/main" id="{00000000-0008-0000-0700-000006B80000}"/>
            </a:ext>
          </a:extLst>
        </xdr:cNvPr>
        <xdr:cNvGrpSpPr/>
      </xdr:nvGrpSpPr>
      <xdr:grpSpPr>
        <a:xfrm>
          <a:off x="16641169" y="1672476"/>
          <a:ext cx="5612317" cy="368625"/>
          <a:chOff x="33897795" y="3648074"/>
          <a:chExt cx="5594288" cy="374756"/>
        </a:xfrm>
      </xdr:grpSpPr>
      <xdr:sp macro="" textlink="">
        <xdr:nvSpPr>
          <xdr:cNvPr id="47133" name="TextBox 47132">
            <a:extLst>
              <a:ext uri="{FF2B5EF4-FFF2-40B4-BE49-F238E27FC236}">
                <a16:creationId xmlns:a16="http://schemas.microsoft.com/office/drawing/2014/main" id="{00000000-0008-0000-0700-00001DB8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Tổng giá trị SKU</a:t>
            </a:r>
            <a:endParaRPr lang="en-US" sz="1400" b="1">
              <a:solidFill>
                <a:schemeClr val="tx1"/>
              </a:solidFill>
            </a:endParaRPr>
          </a:p>
        </xdr:txBody>
      </xdr:sp>
      <xdr:sp macro="" textlink="$AU$3">
        <xdr:nvSpPr>
          <xdr:cNvPr id="47134" name="TextBox 47133">
            <a:extLst>
              <a:ext uri="{FF2B5EF4-FFF2-40B4-BE49-F238E27FC236}">
                <a16:creationId xmlns:a16="http://schemas.microsoft.com/office/drawing/2014/main" id="{00000000-0008-0000-0700-00001EB8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35" name="TextBox 47134">
            <a:extLst>
              <a:ext uri="{FF2B5EF4-FFF2-40B4-BE49-F238E27FC236}">
                <a16:creationId xmlns:a16="http://schemas.microsoft.com/office/drawing/2014/main" id="{00000000-0008-0000-0700-00001FB8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47136" name="TextBox 47135">
            <a:extLst>
              <a:ext uri="{FF2B5EF4-FFF2-40B4-BE49-F238E27FC236}">
                <a16:creationId xmlns:a16="http://schemas.microsoft.com/office/drawing/2014/main" id="{00000000-0008-0000-0700-000020B8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7" name="TextBox 47136">
            <a:extLst>
              <a:ext uri="{FF2B5EF4-FFF2-40B4-BE49-F238E27FC236}">
                <a16:creationId xmlns:a16="http://schemas.microsoft.com/office/drawing/2014/main" id="{00000000-0008-0000-0700-000021B8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47138" name="TextBox 47137">
            <a:extLst>
              <a:ext uri="{FF2B5EF4-FFF2-40B4-BE49-F238E27FC236}">
                <a16:creationId xmlns:a16="http://schemas.microsoft.com/office/drawing/2014/main" id="{00000000-0008-0000-0700-000022B8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494126</xdr:colOff>
      <xdr:row>9</xdr:row>
      <xdr:rowOff>22402</xdr:rowOff>
    </xdr:from>
    <xdr:to>
      <xdr:col>32</xdr:col>
      <xdr:colOff>260261</xdr:colOff>
      <xdr:row>10</xdr:row>
      <xdr:rowOff>181477</xdr:rowOff>
    </xdr:to>
    <xdr:grpSp>
      <xdr:nvGrpSpPr>
        <xdr:cNvPr id="47111" name="Group 47110">
          <a:extLst>
            <a:ext uri="{FF2B5EF4-FFF2-40B4-BE49-F238E27FC236}">
              <a16:creationId xmlns:a16="http://schemas.microsoft.com/office/drawing/2014/main" id="{00000000-0008-0000-0700-000007B80000}"/>
            </a:ext>
          </a:extLst>
        </xdr:cNvPr>
        <xdr:cNvGrpSpPr/>
      </xdr:nvGrpSpPr>
      <xdr:grpSpPr>
        <a:xfrm>
          <a:off x="16315151" y="1984552"/>
          <a:ext cx="5938335" cy="368625"/>
          <a:chOff x="33572824" y="4285970"/>
          <a:chExt cx="5919259" cy="374756"/>
        </a:xfrm>
      </xdr:grpSpPr>
      <xdr:sp macro="" textlink="">
        <xdr:nvSpPr>
          <xdr:cNvPr id="47127" name="TextBox 47126">
            <a:extLst>
              <a:ext uri="{FF2B5EF4-FFF2-40B4-BE49-F238E27FC236}">
                <a16:creationId xmlns:a16="http://schemas.microsoft.com/office/drawing/2014/main" id="{00000000-0008-0000-0700-000017B8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47128" name="TextBox 47127">
            <a:extLst>
              <a:ext uri="{FF2B5EF4-FFF2-40B4-BE49-F238E27FC236}">
                <a16:creationId xmlns:a16="http://schemas.microsoft.com/office/drawing/2014/main" id="{00000000-0008-0000-0700-000018B8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29" name="TextBox 47128">
            <a:extLst>
              <a:ext uri="{FF2B5EF4-FFF2-40B4-BE49-F238E27FC236}">
                <a16:creationId xmlns:a16="http://schemas.microsoft.com/office/drawing/2014/main" id="{00000000-0008-0000-0700-000019B8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47130" name="TextBox 47129">
            <a:extLst>
              <a:ext uri="{FF2B5EF4-FFF2-40B4-BE49-F238E27FC236}">
                <a16:creationId xmlns:a16="http://schemas.microsoft.com/office/drawing/2014/main" id="{00000000-0008-0000-0700-00001AB8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1" name="TextBox 47130">
            <a:extLst>
              <a:ext uri="{FF2B5EF4-FFF2-40B4-BE49-F238E27FC236}">
                <a16:creationId xmlns:a16="http://schemas.microsoft.com/office/drawing/2014/main" id="{00000000-0008-0000-0700-00001BB8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47132" name="TextBox 47131">
            <a:extLst>
              <a:ext uri="{FF2B5EF4-FFF2-40B4-BE49-F238E27FC236}">
                <a16:creationId xmlns:a16="http://schemas.microsoft.com/office/drawing/2014/main" id="{00000000-0008-0000-0700-00001CB8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10</xdr:row>
      <xdr:rowOff>124929</xdr:rowOff>
    </xdr:from>
    <xdr:to>
      <xdr:col>26</xdr:col>
      <xdr:colOff>237319</xdr:colOff>
      <xdr:row>12</xdr:row>
      <xdr:rowOff>74454</xdr:rowOff>
    </xdr:to>
    <xdr:sp macro="" textlink="">
      <xdr:nvSpPr>
        <xdr:cNvPr id="47121" name="TextBox 47120">
          <a:extLst>
            <a:ext uri="{FF2B5EF4-FFF2-40B4-BE49-F238E27FC236}">
              <a16:creationId xmlns:a16="http://schemas.microsoft.com/office/drawing/2014/main" id="{00000000-0008-0000-0700-000011B80000}"/>
            </a:ext>
          </a:extLst>
        </xdr:cNvPr>
        <xdr:cNvSpPr txBox="1"/>
      </xdr:nvSpPr>
      <xdr:spPr>
        <a:xfrm>
          <a:off x="15983137" y="2296629"/>
          <a:ext cx="2132607"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Lượng bán bình quân ngày</a:t>
          </a:r>
          <a:endParaRPr lang="en-US" sz="1400" b="1">
            <a:solidFill>
              <a:schemeClr val="tx1"/>
            </a:solidFill>
          </a:endParaRPr>
        </a:p>
      </xdr:txBody>
    </xdr:sp>
    <xdr:clientData/>
  </xdr:twoCellAnchor>
  <xdr:twoCellAnchor>
    <xdr:from>
      <xdr:col>26</xdr:col>
      <xdr:colOff>171842</xdr:colOff>
      <xdr:row>10</xdr:row>
      <xdr:rowOff>124929</xdr:rowOff>
    </xdr:from>
    <xdr:to>
      <xdr:col>28</xdr:col>
      <xdr:colOff>10841</xdr:colOff>
      <xdr:row>12</xdr:row>
      <xdr:rowOff>74454</xdr:rowOff>
    </xdr:to>
    <xdr:sp macro="" textlink="$BB$3">
      <xdr:nvSpPr>
        <xdr:cNvPr id="47122" name="TextBox 47121">
          <a:extLst>
            <a:ext uri="{FF2B5EF4-FFF2-40B4-BE49-F238E27FC236}">
              <a16:creationId xmlns:a16="http://schemas.microsoft.com/office/drawing/2014/main" id="{00000000-0008-0000-0700-000012B80000}"/>
            </a:ext>
          </a:extLst>
        </xdr:cNvPr>
        <xdr:cNvSpPr txBox="1"/>
      </xdr:nvSpPr>
      <xdr:spPr>
        <a:xfrm>
          <a:off x="18050267" y="2296629"/>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27</xdr:col>
      <xdr:colOff>639245</xdr:colOff>
      <xdr:row>10</xdr:row>
      <xdr:rowOff>124929</xdr:rowOff>
    </xdr:from>
    <xdr:to>
      <xdr:col>29</xdr:col>
      <xdr:colOff>113106</xdr:colOff>
      <xdr:row>12</xdr:row>
      <xdr:rowOff>74454</xdr:rowOff>
    </xdr:to>
    <xdr:sp macro="" textlink="">
      <xdr:nvSpPr>
        <xdr:cNvPr id="47123" name="TextBox 47122">
          <a:extLst>
            <a:ext uri="{FF2B5EF4-FFF2-40B4-BE49-F238E27FC236}">
              <a16:creationId xmlns:a16="http://schemas.microsoft.com/office/drawing/2014/main" id="{00000000-0008-0000-0700-000013B80000}"/>
            </a:ext>
          </a:extLst>
        </xdr:cNvPr>
        <xdr:cNvSpPr txBox="1"/>
      </xdr:nvSpPr>
      <xdr:spPr>
        <a:xfrm>
          <a:off x="19203470" y="2296629"/>
          <a:ext cx="845461"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clientData/>
  </xdr:twoCellAnchor>
  <xdr:twoCellAnchor>
    <xdr:from>
      <xdr:col>29</xdr:col>
      <xdr:colOff>19173</xdr:colOff>
      <xdr:row>10</xdr:row>
      <xdr:rowOff>124929</xdr:rowOff>
    </xdr:from>
    <xdr:to>
      <xdr:col>30</xdr:col>
      <xdr:colOff>59106</xdr:colOff>
      <xdr:row>12</xdr:row>
      <xdr:rowOff>74454</xdr:rowOff>
    </xdr:to>
    <xdr:sp macro="" textlink="$BC$3">
      <xdr:nvSpPr>
        <xdr:cNvPr id="47124" name="TextBox 47123">
          <a:extLst>
            <a:ext uri="{FF2B5EF4-FFF2-40B4-BE49-F238E27FC236}">
              <a16:creationId xmlns:a16="http://schemas.microsoft.com/office/drawing/2014/main" id="{00000000-0008-0000-0700-000014B80000}"/>
            </a:ext>
          </a:extLst>
        </xdr:cNvPr>
        <xdr:cNvSpPr txBox="1"/>
      </xdr:nvSpPr>
      <xdr:spPr>
        <a:xfrm>
          <a:off x="19954998" y="2296629"/>
          <a:ext cx="7257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161908</xdr:colOff>
      <xdr:row>10</xdr:row>
      <xdr:rowOff>124929</xdr:rowOff>
    </xdr:from>
    <xdr:to>
      <xdr:col>31</xdr:col>
      <xdr:colOff>324941</xdr:colOff>
      <xdr:row>12</xdr:row>
      <xdr:rowOff>74454</xdr:rowOff>
    </xdr:to>
    <xdr:sp macro="" textlink="">
      <xdr:nvSpPr>
        <xdr:cNvPr id="47125" name="TextBox 47124">
          <a:extLst>
            <a:ext uri="{FF2B5EF4-FFF2-40B4-BE49-F238E27FC236}">
              <a16:creationId xmlns:a16="http://schemas.microsoft.com/office/drawing/2014/main" id="{00000000-0008-0000-0700-000015B80000}"/>
            </a:ext>
          </a:extLst>
        </xdr:cNvPr>
        <xdr:cNvSpPr txBox="1"/>
      </xdr:nvSpPr>
      <xdr:spPr>
        <a:xfrm>
          <a:off x="20783533" y="2296629"/>
          <a:ext cx="8488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clientData/>
  </xdr:twoCellAnchor>
  <xdr:twoCellAnchor>
    <xdr:from>
      <xdr:col>31</xdr:col>
      <xdr:colOff>220327</xdr:colOff>
      <xdr:row>10</xdr:row>
      <xdr:rowOff>126582</xdr:rowOff>
    </xdr:from>
    <xdr:to>
      <xdr:col>32</xdr:col>
      <xdr:colOff>259137</xdr:colOff>
      <xdr:row>12</xdr:row>
      <xdr:rowOff>72800</xdr:rowOff>
    </xdr:to>
    <xdr:sp macro="" textlink="$BD$3">
      <xdr:nvSpPr>
        <xdr:cNvPr id="47126" name="TextBox 47125">
          <a:extLst>
            <a:ext uri="{FF2B5EF4-FFF2-40B4-BE49-F238E27FC236}">
              <a16:creationId xmlns:a16="http://schemas.microsoft.com/office/drawing/2014/main" id="{00000000-0008-0000-0700-000016B80000}"/>
            </a:ext>
          </a:extLst>
        </xdr:cNvPr>
        <xdr:cNvSpPr txBox="1"/>
      </xdr:nvSpPr>
      <xdr:spPr>
        <a:xfrm>
          <a:off x="21527752" y="2298282"/>
          <a:ext cx="724610" cy="365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346481</xdr:colOff>
      <xdr:row>12</xdr:row>
      <xdr:rowOff>17905</xdr:rowOff>
    </xdr:from>
    <xdr:to>
      <xdr:col>26</xdr:col>
      <xdr:colOff>237319</xdr:colOff>
      <xdr:row>13</xdr:row>
      <xdr:rowOff>176980</xdr:rowOff>
    </xdr:to>
    <xdr:sp macro="" textlink="">
      <xdr:nvSpPr>
        <xdr:cNvPr id="47118" name="TextBox 47117">
          <a:extLst>
            <a:ext uri="{FF2B5EF4-FFF2-40B4-BE49-F238E27FC236}">
              <a16:creationId xmlns:a16="http://schemas.microsoft.com/office/drawing/2014/main" id="{00000000-0008-0000-0700-00000EB80000}"/>
            </a:ext>
          </a:extLst>
        </xdr:cNvPr>
        <xdr:cNvSpPr txBox="1"/>
      </xdr:nvSpPr>
      <xdr:spPr>
        <a:xfrm>
          <a:off x="16167506" y="2608705"/>
          <a:ext cx="1948238"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Tồn kho hiện tại</a:t>
          </a:r>
          <a:endParaRPr lang="en-US" sz="1400" b="1">
            <a:solidFill>
              <a:schemeClr val="tx1"/>
            </a:solidFill>
          </a:endParaRPr>
        </a:p>
      </xdr:txBody>
    </xdr:sp>
    <xdr:clientData/>
  </xdr:twoCellAnchor>
  <xdr:twoCellAnchor>
    <xdr:from>
      <xdr:col>26</xdr:col>
      <xdr:colOff>171842</xdr:colOff>
      <xdr:row>12</xdr:row>
      <xdr:rowOff>17905</xdr:rowOff>
    </xdr:from>
    <xdr:to>
      <xdr:col>28</xdr:col>
      <xdr:colOff>10841</xdr:colOff>
      <xdr:row>13</xdr:row>
      <xdr:rowOff>176980</xdr:rowOff>
    </xdr:to>
    <xdr:sp macro="" textlink="$BE$3">
      <xdr:nvSpPr>
        <xdr:cNvPr id="47119" name="TextBox 47118">
          <a:extLst>
            <a:ext uri="{FF2B5EF4-FFF2-40B4-BE49-F238E27FC236}">
              <a16:creationId xmlns:a16="http://schemas.microsoft.com/office/drawing/2014/main" id="{00000000-0008-0000-0700-00000FB80000}"/>
            </a:ext>
          </a:extLst>
        </xdr:cNvPr>
        <xdr:cNvSpPr txBox="1"/>
      </xdr:nvSpPr>
      <xdr:spPr>
        <a:xfrm>
          <a:off x="18050267" y="2608705"/>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0</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124895</xdr:colOff>
      <xdr:row>12</xdr:row>
      <xdr:rowOff>17905</xdr:rowOff>
    </xdr:from>
    <xdr:to>
      <xdr:col>31</xdr:col>
      <xdr:colOff>142875</xdr:colOff>
      <xdr:row>13</xdr:row>
      <xdr:rowOff>176980</xdr:rowOff>
    </xdr:to>
    <xdr:sp macro="" textlink="$BF$3">
      <xdr:nvSpPr>
        <xdr:cNvPr id="47120" name="TextBox 47119">
          <a:extLst>
            <a:ext uri="{FF2B5EF4-FFF2-40B4-BE49-F238E27FC236}">
              <a16:creationId xmlns:a16="http://schemas.microsoft.com/office/drawing/2014/main" id="{00000000-0008-0000-0700-000010B80000}"/>
            </a:ext>
          </a:extLst>
        </xdr:cNvPr>
        <xdr:cNvSpPr txBox="1"/>
      </xdr:nvSpPr>
      <xdr:spPr>
        <a:xfrm>
          <a:off x="20746520" y="2608705"/>
          <a:ext cx="703780"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47139" name="Chart 47138">
              <a:extLst>
                <a:ext uri="{FF2B5EF4-FFF2-40B4-BE49-F238E27FC236}">
                  <a16:creationId xmlns:a16="http://schemas.microsoft.com/office/drawing/2014/main" id="{00000000-0008-0000-0700-000023B8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135365</xdr:colOff>
      <xdr:row>11</xdr:row>
      <xdr:rowOff>132552</xdr:rowOff>
    </xdr:from>
    <xdr:to>
      <xdr:col>20</xdr:col>
      <xdr:colOff>677383</xdr:colOff>
      <xdr:row>13</xdr:row>
      <xdr:rowOff>14642</xdr:rowOff>
    </xdr:to>
    <xdr:sp macro="" textlink="">
      <xdr:nvSpPr>
        <xdr:cNvPr id="47140" name="TextBox 47139">
          <a:extLst>
            <a:ext uri="{FF2B5EF4-FFF2-40B4-BE49-F238E27FC236}">
              <a16:creationId xmlns:a16="http://schemas.microsoft.com/office/drawing/2014/main" id="{00000000-0008-0000-0700-000024B80000}"/>
            </a:ext>
          </a:extLst>
        </xdr:cNvPr>
        <xdr:cNvSpPr txBox="1"/>
      </xdr:nvSpPr>
      <xdr:spPr>
        <a:xfrm>
          <a:off x="21957140"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cho</a:t>
          </a:r>
        </a:p>
      </xdr:txBody>
    </xdr:sp>
    <xdr:clientData/>
  </xdr:twoCellAnchor>
  <xdr:twoCellAnchor editAs="oneCell">
    <xdr:from>
      <xdr:col>2</xdr:col>
      <xdr:colOff>628650</xdr:colOff>
      <xdr:row>0</xdr:row>
      <xdr:rowOff>0</xdr:rowOff>
    </xdr:from>
    <xdr:to>
      <xdr:col>7</xdr:col>
      <xdr:colOff>295275</xdr:colOff>
      <xdr:row>5</xdr:row>
      <xdr:rowOff>5442</xdr:rowOff>
    </xdr:to>
    <mc:AlternateContent xmlns:mc="http://schemas.openxmlformats.org/markup-compatibility/2006" xmlns:a14="http://schemas.microsoft.com/office/drawing/2010/main">
      <mc:Choice Requires="a14">
        <xdr:graphicFrame macro="">
          <xdr:nvGraphicFramePr>
            <xdr:cNvPr id="11" name="Tỉnh 1">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Tỉnh 1"/>
            </a:graphicData>
          </a:graphic>
        </xdr:graphicFrame>
      </mc:Choice>
      <mc:Fallback xmlns="">
        <xdr:sp macro="" textlink="">
          <xdr:nvSpPr>
            <xdr:cNvPr id="0" name=""/>
            <xdr:cNvSpPr>
              <a:spLocks noTextEdit="1"/>
            </xdr:cNvSpPr>
          </xdr:nvSpPr>
          <xdr:spPr>
            <a:xfrm>
              <a:off x="1533525" y="0"/>
              <a:ext cx="3609975" cy="1129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228600</xdr:colOff>
      <xdr:row>0</xdr:row>
      <xdr:rowOff>0</xdr:rowOff>
    </xdr:from>
    <xdr:to>
      <xdr:col>32</xdr:col>
      <xdr:colOff>400050</xdr:colOff>
      <xdr:row>2</xdr:row>
      <xdr:rowOff>19050</xdr:rowOff>
    </xdr:to>
    <mc:AlternateContent xmlns:mc="http://schemas.openxmlformats.org/markup-compatibility/2006" xmlns:a14="http://schemas.microsoft.com/office/drawing/2010/main">
      <mc:Choice Requires="a14">
        <xdr:graphicFrame macro="">
          <xdr:nvGraphicFramePr>
            <xdr:cNvPr id="15" name="Nhóm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Nhóm 1"/>
            </a:graphicData>
          </a:graphic>
        </xdr:graphicFrame>
      </mc:Choice>
      <mc:Fallback xmlns="">
        <xdr:sp macro="" textlink="">
          <xdr:nvSpPr>
            <xdr:cNvPr id="0" name=""/>
            <xdr:cNvSpPr>
              <a:spLocks noTextEdit="1"/>
            </xdr:cNvSpPr>
          </xdr:nvSpPr>
          <xdr:spPr>
            <a:xfrm>
              <a:off x="16049625" y="0"/>
              <a:ext cx="6343650" cy="47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390525</xdr:colOff>
      <xdr:row>0</xdr:row>
      <xdr:rowOff>0</xdr:rowOff>
    </xdr:from>
    <xdr:to>
      <xdr:col>8</xdr:col>
      <xdr:colOff>307042</xdr:colOff>
      <xdr:row>2</xdr:row>
      <xdr:rowOff>156322</xdr:rowOff>
    </xdr:to>
    <xdr:pic>
      <xdr:nvPicPr>
        <xdr:cNvPr id="16" name="Graphic 14" descr="Arrow: Straight with solid fill">
          <a:hlinkClick xmlns:r="http://schemas.openxmlformats.org/officeDocument/2006/relationships" r:id="rId7"/>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38750" y="0"/>
          <a:ext cx="602317" cy="613522"/>
        </a:xfrm>
        <a:prstGeom prst="rect">
          <a:avLst/>
        </a:prstGeom>
      </xdr:spPr>
    </xdr:pic>
    <xdr:clientData/>
  </xdr:twoCellAnchor>
  <xdr:twoCellAnchor>
    <xdr:from>
      <xdr:col>27</xdr:col>
      <xdr:colOff>639245</xdr:colOff>
      <xdr:row>12</xdr:row>
      <xdr:rowOff>17905</xdr:rowOff>
    </xdr:from>
    <xdr:to>
      <xdr:col>30</xdr:col>
      <xdr:colOff>304800</xdr:colOff>
      <xdr:row>13</xdr:row>
      <xdr:rowOff>176980</xdr:rowOff>
    </xdr:to>
    <xdr:sp macro="" textlink="">
      <xdr:nvSpPr>
        <xdr:cNvPr id="18" name="TextBox 15">
          <a:extLst>
            <a:ext uri="{FF2B5EF4-FFF2-40B4-BE49-F238E27FC236}">
              <a16:creationId xmlns:a16="http://schemas.microsoft.com/office/drawing/2014/main" id="{00000000-0008-0000-0700-000012000000}"/>
            </a:ext>
          </a:extLst>
        </xdr:cNvPr>
        <xdr:cNvSpPr txBox="1"/>
      </xdr:nvSpPr>
      <xdr:spPr>
        <a:xfrm>
          <a:off x="19203470" y="2608705"/>
          <a:ext cx="17229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đủ kinh doanh trong</a:t>
          </a:r>
          <a:endParaRPr lang="en-US" sz="1400" b="0">
            <a:solidFill>
              <a:schemeClr val="tx1"/>
            </a:solidFill>
          </a:endParaRPr>
        </a:p>
      </xdr:txBody>
    </xdr:sp>
    <xdr:clientData/>
  </xdr:twoCellAnchor>
  <xdr:twoCellAnchor>
    <xdr:from>
      <xdr:col>31</xdr:col>
      <xdr:colOff>105845</xdr:colOff>
      <xdr:row>12</xdr:row>
      <xdr:rowOff>17905</xdr:rowOff>
    </xdr:from>
    <xdr:to>
      <xdr:col>31</xdr:col>
      <xdr:colOff>609600</xdr:colOff>
      <xdr:row>13</xdr:row>
      <xdr:rowOff>176980</xdr:rowOff>
    </xdr:to>
    <xdr:sp macro="" textlink="">
      <xdr:nvSpPr>
        <xdr:cNvPr id="21" name="TextBox 17">
          <a:extLst>
            <a:ext uri="{FF2B5EF4-FFF2-40B4-BE49-F238E27FC236}">
              <a16:creationId xmlns:a16="http://schemas.microsoft.com/office/drawing/2014/main" id="{00000000-0008-0000-0700-000015000000}"/>
            </a:ext>
          </a:extLst>
        </xdr:cNvPr>
        <xdr:cNvSpPr txBox="1"/>
      </xdr:nvSpPr>
      <xdr:spPr>
        <a:xfrm>
          <a:off x="21413270" y="2608705"/>
          <a:ext cx="5037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ngày</a:t>
          </a:r>
          <a:endParaRPr lang="en-US" sz="1400" b="0">
            <a:solidFill>
              <a:schemeClr val="tx1"/>
            </a:solidFill>
          </a:endParaRPr>
        </a:p>
      </xdr:txBody>
    </xdr:sp>
    <xdr:clientData/>
  </xdr:twoCellAnchor>
  <xdr:twoCellAnchor editAs="oneCell">
    <xdr:from>
      <xdr:col>0</xdr:col>
      <xdr:colOff>0</xdr:colOff>
      <xdr:row>0</xdr:row>
      <xdr:rowOff>0</xdr:rowOff>
    </xdr:from>
    <xdr:to>
      <xdr:col>2</xdr:col>
      <xdr:colOff>638175</xdr:colOff>
      <xdr:row>2</xdr:row>
      <xdr:rowOff>160020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190499</xdr:colOff>
      <xdr:row>0</xdr:row>
      <xdr:rowOff>0</xdr:rowOff>
    </xdr:from>
    <xdr:to>
      <xdr:col>22</xdr:col>
      <xdr:colOff>462642</xdr:colOff>
      <xdr:row>5</xdr:row>
      <xdr:rowOff>13607</xdr:rowOff>
    </xdr:to>
    <mc:AlternateContent xmlns:mc="http://schemas.openxmlformats.org/markup-compatibility/2006" xmlns:tsle="http://schemas.microsoft.com/office/drawing/2012/timeslicer">
      <mc:Choice Requires="tsle">
        <xdr:graphicFrame macro="">
          <xdr:nvGraphicFramePr>
            <xdr:cNvPr id="88" name="Ngày lập 1">
              <a:extLst>
                <a:ext uri="{FF2B5EF4-FFF2-40B4-BE49-F238E27FC236}">
                  <a16:creationId xmlns:a16="http://schemas.microsoft.com/office/drawing/2014/main" id="{00000000-0008-0000-0700-000058000000}"/>
                </a:ext>
              </a:extLst>
            </xdr:cNvPr>
            <xdr:cNvGraphicFramePr/>
          </xdr:nvGraphicFramePr>
          <xdr:xfrm>
            <a:off x="0" y="0"/>
            <a:ext cx="0" cy="0"/>
          </xdr:xfrm>
          <a:graphic>
            <a:graphicData uri="http://schemas.microsoft.com/office/drawing/2012/timeslicer">
              <tsle:timeslicer name="Ngày lập 1"/>
            </a:graphicData>
          </a:graphic>
        </xdr:graphicFrame>
      </mc:Choice>
      <mc:Fallback xmlns="">
        <xdr:sp macro="" textlink="">
          <xdr:nvSpPr>
            <xdr:cNvPr id="0" name=""/>
            <xdr:cNvSpPr>
              <a:spLocks noTextEdit="1"/>
            </xdr:cNvSpPr>
          </xdr:nvSpPr>
          <xdr:spPr>
            <a:xfrm>
              <a:off x="5701392" y="0"/>
              <a:ext cx="9797143"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5</xdr:col>
      <xdr:colOff>161926</xdr:colOff>
      <xdr:row>4</xdr:row>
      <xdr:rowOff>66674</xdr:rowOff>
    </xdr:from>
    <xdr:to>
      <xdr:col>22</xdr:col>
      <xdr:colOff>634996</xdr:colOff>
      <xdr:row>16</xdr:row>
      <xdr:rowOff>203474</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4381501" y="923924"/>
          <a:ext cx="12131670" cy="26514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104774</xdr:rowOff>
    </xdr:from>
    <xdr:to>
      <xdr:col>4</xdr:col>
      <xdr:colOff>238125</xdr:colOff>
      <xdr:row>17</xdr:row>
      <xdr:rowOff>12974</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143000" y="1019174"/>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KPI</a:t>
          </a:r>
        </a:p>
      </xdr:txBody>
    </xdr:sp>
    <xdr:clientData/>
  </xdr:twoCellAnchor>
  <xdr:twoCellAnchor>
    <xdr:from>
      <xdr:col>5</xdr:col>
      <xdr:colOff>156210</xdr:colOff>
      <xdr:row>32</xdr:row>
      <xdr:rowOff>173211</xdr:rowOff>
    </xdr:from>
    <xdr:to>
      <xdr:col>22</xdr:col>
      <xdr:colOff>672915</xdr:colOff>
      <xdr:row>45</xdr:row>
      <xdr:rowOff>81411</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2171317" y="6731854"/>
          <a:ext cx="12082777"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418484</xdr:colOff>
      <xdr:row>18</xdr:row>
      <xdr:rowOff>119943</xdr:rowOff>
    </xdr:from>
    <xdr:to>
      <xdr:col>32</xdr:col>
      <xdr:colOff>344635</xdr:colOff>
      <xdr:row>31</xdr:row>
      <xdr:rowOff>28143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4680020" y="3821086"/>
          <a:ext cx="6049365"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32</xdr:row>
      <xdr:rowOff>173211</xdr:rowOff>
    </xdr:from>
    <xdr:to>
      <xdr:col>4</xdr:col>
      <xdr:colOff>238125</xdr:colOff>
      <xdr:row>45</xdr:row>
      <xdr:rowOff>81411</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143000" y="7488411"/>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Nhân sự</a:t>
          </a:r>
        </a:p>
      </xdr:txBody>
    </xdr:sp>
    <xdr:clientData/>
  </xdr:twoCellAnchor>
  <xdr:twoCellAnchor>
    <xdr:from>
      <xdr:col>1</xdr:col>
      <xdr:colOff>457200</xdr:colOff>
      <xdr:row>18</xdr:row>
      <xdr:rowOff>138993</xdr:rowOff>
    </xdr:from>
    <xdr:to>
      <xdr:col>4</xdr:col>
      <xdr:colOff>238125</xdr:colOff>
      <xdr:row>31</xdr:row>
      <xdr:rowOff>47193</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143000" y="4253793"/>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Kênh</a:t>
          </a:r>
        </a:p>
      </xdr:txBody>
    </xdr:sp>
    <xdr:clientData/>
  </xdr:twoCellAnchor>
  <xdr:twoCellAnchor>
    <xdr:from>
      <xdr:col>5</xdr:col>
      <xdr:colOff>357186</xdr:colOff>
      <xdr:row>19</xdr:row>
      <xdr:rowOff>47625</xdr:rowOff>
    </xdr:from>
    <xdr:to>
      <xdr:col>14</xdr:col>
      <xdr:colOff>9525</xdr:colOff>
      <xdr:row>30</xdr:row>
      <xdr:rowOff>47625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26</xdr:row>
      <xdr:rowOff>19050</xdr:rowOff>
    </xdr:from>
    <xdr:to>
      <xdr:col>13</xdr:col>
      <xdr:colOff>457200</xdr:colOff>
      <xdr:row>27</xdr:row>
      <xdr:rowOff>86176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9791700" y="54864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495300</xdr:colOff>
      <xdr:row>25</xdr:row>
      <xdr:rowOff>171450</xdr:rowOff>
    </xdr:from>
    <xdr:to>
      <xdr:col>7</xdr:col>
      <xdr:colOff>438150</xdr:colOff>
      <xdr:row>27</xdr:row>
      <xdr:rowOff>29026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5591175" y="54292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542925</xdr:colOff>
      <xdr:row>19</xdr:row>
      <xdr:rowOff>171450</xdr:rowOff>
    </xdr:from>
    <xdr:to>
      <xdr:col>7</xdr:col>
      <xdr:colOff>485775</xdr:colOff>
      <xdr:row>21</xdr:row>
      <xdr:rowOff>29026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5638800" y="41719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542925</xdr:colOff>
      <xdr:row>19</xdr:row>
      <xdr:rowOff>171450</xdr:rowOff>
    </xdr:from>
    <xdr:to>
      <xdr:col>13</xdr:col>
      <xdr:colOff>485775</xdr:colOff>
      <xdr:row>21</xdr:row>
      <xdr:rowOff>29026</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9753600" y="41719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5</xdr:col>
      <xdr:colOff>357186</xdr:colOff>
      <xdr:row>33</xdr:row>
      <xdr:rowOff>127311</xdr:rowOff>
    </xdr:from>
    <xdr:to>
      <xdr:col>14</xdr:col>
      <xdr:colOff>9525</xdr:colOff>
      <xdr:row>44</xdr:row>
      <xdr:rowOff>127311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552450</xdr:colOff>
      <xdr:row>40</xdr:row>
      <xdr:rowOff>95250</xdr:rowOff>
    </xdr:from>
    <xdr:to>
      <xdr:col>13</xdr:col>
      <xdr:colOff>428625</xdr:colOff>
      <xdr:row>41</xdr:row>
      <xdr:rowOff>162376</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9763125" y="84963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466725</xdr:colOff>
      <xdr:row>40</xdr:row>
      <xdr:rowOff>38100</xdr:rowOff>
    </xdr:from>
    <xdr:to>
      <xdr:col>7</xdr:col>
      <xdr:colOff>409575</xdr:colOff>
      <xdr:row>41</xdr:row>
      <xdr:rowOff>105226</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5562600" y="84391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514350</xdr:colOff>
      <xdr:row>34</xdr:row>
      <xdr:rowOff>38100</xdr:rowOff>
    </xdr:from>
    <xdr:to>
      <xdr:col>7</xdr:col>
      <xdr:colOff>457200</xdr:colOff>
      <xdr:row>35</xdr:row>
      <xdr:rowOff>105226</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5610225" y="71818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514350</xdr:colOff>
      <xdr:row>34</xdr:row>
      <xdr:rowOff>38100</xdr:rowOff>
    </xdr:from>
    <xdr:to>
      <xdr:col>13</xdr:col>
      <xdr:colOff>457200</xdr:colOff>
      <xdr:row>35</xdr:row>
      <xdr:rowOff>105226</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9725025" y="71818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13</xdr:col>
      <xdr:colOff>652461</xdr:colOff>
      <xdr:row>19</xdr:row>
      <xdr:rowOff>48675</xdr:rowOff>
    </xdr:from>
    <xdr:to>
      <xdr:col>22</xdr:col>
      <xdr:colOff>428624</xdr:colOff>
      <xdr:row>30</xdr:row>
      <xdr:rowOff>47625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652461</xdr:colOff>
      <xdr:row>33</xdr:row>
      <xdr:rowOff>127311</xdr:rowOff>
    </xdr:from>
    <xdr:to>
      <xdr:col>22</xdr:col>
      <xdr:colOff>428624</xdr:colOff>
      <xdr:row>44</xdr:row>
      <xdr:rowOff>126261</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495300</xdr:colOff>
      <xdr:row>18</xdr:row>
      <xdr:rowOff>183581</xdr:rowOff>
    </xdr:from>
    <xdr:to>
      <xdr:col>32</xdr:col>
      <xdr:colOff>342900</xdr:colOff>
      <xdr:row>30</xdr:row>
      <xdr:rowOff>174056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802475" y="3974531"/>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495300</xdr:colOff>
      <xdr:row>33</xdr:row>
      <xdr:rowOff>27299</xdr:rowOff>
    </xdr:from>
    <xdr:to>
      <xdr:col>32</xdr:col>
      <xdr:colOff>342900</xdr:colOff>
      <xdr:row>45</xdr:row>
      <xdr:rowOff>17774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9802475" y="6961499"/>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361950</xdr:colOff>
      <xdr:row>5</xdr:row>
      <xdr:rowOff>19050</xdr:rowOff>
    </xdr:from>
    <xdr:to>
      <xdr:col>13</xdr:col>
      <xdr:colOff>635550</xdr:colOff>
      <xdr:row>16</xdr:row>
      <xdr:rowOff>18000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5</xdr:row>
      <xdr:rowOff>19050</xdr:rowOff>
    </xdr:from>
    <xdr:to>
      <xdr:col>22</xdr:col>
      <xdr:colOff>445050</xdr:colOff>
      <xdr:row>16</xdr:row>
      <xdr:rowOff>18000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503464</xdr:colOff>
      <xdr:row>3</xdr:row>
      <xdr:rowOff>170090</xdr:rowOff>
    </xdr:from>
    <xdr:to>
      <xdr:col>27</xdr:col>
      <xdr:colOff>662036</xdr:colOff>
      <xdr:row>7</xdr:row>
      <xdr:rowOff>73662</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136072</xdr:colOff>
      <xdr:row>3</xdr:row>
      <xdr:rowOff>170090</xdr:rowOff>
    </xdr:from>
    <xdr:to>
      <xdr:col>32</xdr:col>
      <xdr:colOff>294643</xdr:colOff>
      <xdr:row>7</xdr:row>
      <xdr:rowOff>73662</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666750</xdr:colOff>
      <xdr:row>33</xdr:row>
      <xdr:rowOff>27299</xdr:rowOff>
    </xdr:from>
    <xdr:to>
      <xdr:col>28</xdr:col>
      <xdr:colOff>514351</xdr:colOff>
      <xdr:row>45</xdr:row>
      <xdr:rowOff>17774</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7230725" y="6961499"/>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666750</xdr:colOff>
      <xdr:row>18</xdr:row>
      <xdr:rowOff>183581</xdr:rowOff>
    </xdr:from>
    <xdr:to>
      <xdr:col>28</xdr:col>
      <xdr:colOff>514351</xdr:colOff>
      <xdr:row>30</xdr:row>
      <xdr:rowOff>174056</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7230725" y="3974531"/>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23</xdr:col>
      <xdr:colOff>476250</xdr:colOff>
      <xdr:row>20</xdr:row>
      <xdr:rowOff>2126</xdr:rowOff>
    </xdr:from>
    <xdr:ext cx="423449" cy="1980799"/>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4737786" y="4111483"/>
          <a:ext cx="423449" cy="1980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solidFill>
                <a:schemeClr val="bg1"/>
              </a:solidFill>
            </a:rPr>
            <a:t>Cấu</a:t>
          </a:r>
          <a:r>
            <a:rPr lang="en-US" sz="1400" b="1" baseline="0">
              <a:solidFill>
                <a:schemeClr val="bg1"/>
              </a:solidFill>
            </a:rPr>
            <a:t> trúc doanh thu Kênh</a:t>
          </a:r>
          <a:endParaRPr lang="en-US" sz="1400" b="1">
            <a:solidFill>
              <a:schemeClr val="bg1"/>
            </a:solidFill>
          </a:endParaRPr>
        </a:p>
      </xdr:txBody>
    </xdr:sp>
    <xdr:clientData/>
  </xdr:oneCellAnchor>
  <xdr:oneCellAnchor>
    <xdr:from>
      <xdr:col>23</xdr:col>
      <xdr:colOff>476250</xdr:colOff>
      <xdr:row>33</xdr:row>
      <xdr:rowOff>66852</xdr:rowOff>
    </xdr:from>
    <xdr:ext cx="423449" cy="2366097"/>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4737786" y="6829602"/>
          <a:ext cx="423449" cy="2366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t>Cấu</a:t>
          </a:r>
          <a:r>
            <a:rPr lang="en-US" sz="1400" b="1" baseline="0"/>
            <a:t> trúc doanh thu Nhân viên</a:t>
          </a:r>
          <a:endParaRPr lang="en-US" sz="1400" b="1"/>
        </a:p>
      </xdr:txBody>
    </xdr:sp>
    <xdr:clientData/>
  </xdr:oneCellAnchor>
  <xdr:twoCellAnchor editAs="oneCell">
    <xdr:from>
      <xdr:col>4</xdr:col>
      <xdr:colOff>557893</xdr:colOff>
      <xdr:row>0</xdr:row>
      <xdr:rowOff>0</xdr:rowOff>
    </xdr:from>
    <xdr:to>
      <xdr:col>5</xdr:col>
      <xdr:colOff>474410</xdr:colOff>
      <xdr:row>2</xdr:row>
      <xdr:rowOff>183536</xdr:rowOff>
    </xdr:to>
    <xdr:pic>
      <xdr:nvPicPr>
        <xdr:cNvPr id="34" name="Graphic 33" descr="Arrow: Straight with solid fill">
          <a:hlinkClick xmlns:r="http://schemas.openxmlformats.org/officeDocument/2006/relationships" r:id="rId1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68536" y="0"/>
          <a:ext cx="596874" cy="618965"/>
        </a:xfrm>
        <a:prstGeom prst="rect">
          <a:avLst/>
        </a:prstGeom>
      </xdr:spPr>
    </xdr:pic>
    <xdr:clientData/>
  </xdr:twoCellAnchor>
  <xdr:twoCellAnchor>
    <xdr:from>
      <xdr:col>23</xdr:col>
      <xdr:colOff>503464</xdr:colOff>
      <xdr:row>6</xdr:row>
      <xdr:rowOff>136071</xdr:rowOff>
    </xdr:from>
    <xdr:to>
      <xdr:col>27</xdr:col>
      <xdr:colOff>662036</xdr:colOff>
      <xdr:row>17</xdr:row>
      <xdr:rowOff>50892</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136072</xdr:colOff>
      <xdr:row>6</xdr:row>
      <xdr:rowOff>136071</xdr:rowOff>
    </xdr:from>
    <xdr:to>
      <xdr:col>32</xdr:col>
      <xdr:colOff>294643</xdr:colOff>
      <xdr:row>17</xdr:row>
      <xdr:rowOff>50892</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0</xdr:colOff>
      <xdr:row>0</xdr:row>
      <xdr:rowOff>0</xdr:rowOff>
    </xdr:from>
    <xdr:to>
      <xdr:col>2</xdr:col>
      <xdr:colOff>66675</xdr:colOff>
      <xdr:row>2</xdr:row>
      <xdr:rowOff>179070</xdr:rowOff>
    </xdr:to>
    <xdr:pic>
      <xdr:nvPicPr>
        <xdr:cNvPr id="30" name="Picture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326570</xdr:colOff>
      <xdr:row>0</xdr:row>
      <xdr:rowOff>54428</xdr:rowOff>
    </xdr:from>
    <xdr:to>
      <xdr:col>22</xdr:col>
      <xdr:colOff>571500</xdr:colOff>
      <xdr:row>4</xdr:row>
      <xdr:rowOff>13606</xdr:rowOff>
    </xdr:to>
    <mc:AlternateContent xmlns:mc="http://schemas.openxmlformats.org/markup-compatibility/2006" xmlns:tsle="http://schemas.microsoft.com/office/drawing/2012/timeslicer">
      <mc:Choice Requires="tsle">
        <xdr:graphicFrame macro="">
          <xdr:nvGraphicFramePr>
            <xdr:cNvPr id="37" name="Ngày lập 2">
              <a:extLst>
                <a:ext uri="{FF2B5EF4-FFF2-40B4-BE49-F238E27FC236}">
                  <a16:creationId xmlns:a16="http://schemas.microsoft.com/office/drawing/2014/main" id="{00000000-0008-0000-0800-000025000000}"/>
                </a:ext>
              </a:extLst>
            </xdr:cNvPr>
            <xdr:cNvGraphicFramePr/>
          </xdr:nvGraphicFramePr>
          <xdr:xfrm>
            <a:off x="0" y="0"/>
            <a:ext cx="0" cy="0"/>
          </xdr:xfrm>
          <a:graphic>
            <a:graphicData uri="http://schemas.microsoft.com/office/drawing/2012/timeslicer">
              <tsle:timeslicer name="Ngày lập 2"/>
            </a:graphicData>
          </a:graphic>
        </xdr:graphicFrame>
      </mc:Choice>
      <mc:Fallback xmlns="">
        <xdr:sp macro="" textlink="">
          <xdr:nvSpPr>
            <xdr:cNvPr id="0" name=""/>
            <xdr:cNvSpPr>
              <a:spLocks noTextEdit="1"/>
            </xdr:cNvSpPr>
          </xdr:nvSpPr>
          <xdr:spPr>
            <a:xfrm>
              <a:off x="3837213" y="54428"/>
              <a:ext cx="11811001" cy="80282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3</xdr:col>
      <xdr:colOff>19322</xdr:colOff>
      <xdr:row>15</xdr:row>
      <xdr:rowOff>5643</xdr:rowOff>
    </xdr:from>
    <xdr:to>
      <xdr:col>21</xdr:col>
      <xdr:colOff>372894</xdr:colOff>
      <xdr:row>29</xdr:row>
      <xdr:rowOff>7143</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16198215" y="3475464"/>
          <a:ext cx="12600000" cy="32400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62250</xdr:colOff>
      <xdr:row>4</xdr:row>
      <xdr:rowOff>149678</xdr:rowOff>
    </xdr:from>
    <xdr:to>
      <xdr:col>30</xdr:col>
      <xdr:colOff>619771</xdr:colOff>
      <xdr:row>40</xdr:row>
      <xdr:rowOff>13606</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29167929" y="1074964"/>
          <a:ext cx="6000378" cy="8191499"/>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333374</xdr:colOff>
      <xdr:row>4</xdr:row>
      <xdr:rowOff>0</xdr:rowOff>
    </xdr:from>
    <xdr:to>
      <xdr:col>11</xdr:col>
      <xdr:colOff>650517</xdr:colOff>
      <xdr:row>14</xdr:row>
      <xdr:rowOff>206786</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353786</xdr:colOff>
      <xdr:row>4</xdr:row>
      <xdr:rowOff>0</xdr:rowOff>
    </xdr:from>
    <xdr:to>
      <xdr:col>20</xdr:col>
      <xdr:colOff>670929</xdr:colOff>
      <xdr:row>14</xdr:row>
      <xdr:rowOff>206786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333374</xdr:colOff>
      <xdr:row>16</xdr:row>
      <xdr:rowOff>134321</xdr:rowOff>
    </xdr:from>
    <xdr:to>
      <xdr:col>11</xdr:col>
      <xdr:colOff>650517</xdr:colOff>
      <xdr:row>27</xdr:row>
      <xdr:rowOff>109785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353786</xdr:colOff>
      <xdr:row>16</xdr:row>
      <xdr:rowOff>134321</xdr:rowOff>
    </xdr:from>
    <xdr:to>
      <xdr:col>20</xdr:col>
      <xdr:colOff>670929</xdr:colOff>
      <xdr:row>27</xdr:row>
      <xdr:rowOff>109785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333374</xdr:colOff>
      <xdr:row>31</xdr:row>
      <xdr:rowOff>54430</xdr:rowOff>
    </xdr:from>
    <xdr:to>
      <xdr:col>11</xdr:col>
      <xdr:colOff>650517</xdr:colOff>
      <xdr:row>42</xdr:row>
      <xdr:rowOff>29894</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353786</xdr:colOff>
      <xdr:row>31</xdr:row>
      <xdr:rowOff>54430</xdr:rowOff>
    </xdr:from>
    <xdr:to>
      <xdr:col>20</xdr:col>
      <xdr:colOff>670929</xdr:colOff>
      <xdr:row>42</xdr:row>
      <xdr:rowOff>29894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291431</xdr:colOff>
      <xdr:row>5</xdr:row>
      <xdr:rowOff>136072</xdr:rowOff>
    </xdr:from>
    <xdr:to>
      <xdr:col>30</xdr:col>
      <xdr:colOff>530680</xdr:colOff>
      <xdr:row>20</xdr:row>
      <xdr:rowOff>34964</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15379031" y="1279072"/>
          <a:ext cx="5725649" cy="3327892"/>
          <a:chOff x="15939645" y="1292679"/>
          <a:chExt cx="5682106" cy="3369127"/>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16750315" y="1292679"/>
            <a:ext cx="4395184" cy="501740"/>
            <a:chOff x="16750315" y="1292679"/>
            <a:chExt cx="4395184" cy="501740"/>
          </a:xfrm>
        </xdr:grpSpPr>
        <xdr:sp macro="" textlink="$BH$22">
          <xdr:nvSpPr>
            <xdr:cNvPr id="16" name="TextBox 15">
              <a:extLst>
                <a:ext uri="{FF2B5EF4-FFF2-40B4-BE49-F238E27FC236}">
                  <a16:creationId xmlns:a16="http://schemas.microsoft.com/office/drawing/2014/main" id="{00000000-0008-0000-0900-000010000000}"/>
                </a:ext>
              </a:extLst>
            </xdr:cNvPr>
            <xdr:cNvSpPr txBox="1"/>
          </xdr:nvSpPr>
          <xdr:spPr>
            <a:xfrm>
              <a:off x="17661894" y="1292679"/>
              <a:ext cx="3483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B8807E2-942A-493A-8A5B-77415C523D2D}" type="TxLink">
                <a:rPr lang="en-US" sz="2400" b="1" i="0" u="none" strike="noStrike">
                  <a:solidFill>
                    <a:schemeClr val="accent6">
                      <a:lumMod val="20000"/>
                      <a:lumOff val="80000"/>
                    </a:schemeClr>
                  </a:solidFill>
                  <a:latin typeface="Segoe UI Light"/>
                  <a:cs typeface="Segoe UI Light"/>
                </a:rPr>
                <a:pPr/>
                <a:t>#N/A</a:t>
              </a:fld>
              <a:endParaRPr lang="en-US" sz="2400" b="1">
                <a:solidFill>
                  <a:schemeClr val="accent6">
                    <a:lumMod val="20000"/>
                    <a:lumOff val="80000"/>
                  </a:schemeClr>
                </a:solidFill>
              </a:endParaRPr>
            </a:p>
          </xdr:txBody>
        </xdr:sp>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750315" y="1377991"/>
              <a:ext cx="89184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Nội</a:t>
              </a:r>
              <a:r>
                <a:rPr lang="en-US" sz="1400" b="0" i="0" u="none" strike="noStrike" baseline="0">
                  <a:solidFill>
                    <a:schemeClr val="bg1"/>
                  </a:solidFill>
                  <a:latin typeface="Segoe UI Light"/>
                  <a:cs typeface="Segoe UI Light"/>
                </a:rPr>
                <a:t> dung</a:t>
              </a:r>
              <a:endParaRPr lang="en-US" sz="1400" b="0" i="0" u="none" strike="noStrike">
                <a:solidFill>
                  <a:schemeClr val="bg1"/>
                </a:solidFill>
                <a:latin typeface="Segoe UI Light"/>
                <a:cs typeface="Segoe UI Light"/>
              </a:endParaRPr>
            </a:p>
          </xdr:txBody>
        </xdr:sp>
      </xdr:grpSp>
      <xdr:grpSp>
        <xdr:nvGrpSpPr>
          <xdr:cNvPr id="48" name="Group 47">
            <a:extLst>
              <a:ext uri="{FF2B5EF4-FFF2-40B4-BE49-F238E27FC236}">
                <a16:creationId xmlns:a16="http://schemas.microsoft.com/office/drawing/2014/main" id="{00000000-0008-0000-0900-000030000000}"/>
              </a:ext>
            </a:extLst>
          </xdr:cNvPr>
          <xdr:cNvGrpSpPr/>
        </xdr:nvGrpSpPr>
        <xdr:grpSpPr>
          <a:xfrm>
            <a:off x="15939645" y="2518683"/>
            <a:ext cx="5682106" cy="900430"/>
            <a:chOff x="15939645" y="2518683"/>
            <a:chExt cx="5682106" cy="900430"/>
          </a:xfrm>
        </xdr:grpSpPr>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5939645" y="2603995"/>
              <a:ext cx="170251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ea typeface="+mn-ea"/>
                  <a:cs typeface="Segoe UI Light"/>
                </a:rPr>
                <a:t>Doanh</a:t>
              </a:r>
              <a:r>
                <a:rPr lang="en-US" sz="1400" b="0" i="0" u="none" strike="noStrike">
                  <a:solidFill>
                    <a:schemeClr val="bg1"/>
                  </a:solidFill>
                  <a:latin typeface="Segoe UI Light"/>
                  <a:cs typeface="Segoe UI Light"/>
                </a:rPr>
                <a:t> </a:t>
              </a:r>
              <a:r>
                <a:rPr lang="en-US" sz="1400" b="0" i="0" u="none" strike="noStrike">
                  <a:solidFill>
                    <a:schemeClr val="bg1"/>
                  </a:solidFill>
                  <a:latin typeface="Segoe UI Light"/>
                  <a:ea typeface="+mn-ea"/>
                  <a:cs typeface="Segoe UI Light"/>
                </a:rPr>
                <a:t>thu</a:t>
              </a:r>
              <a:r>
                <a:rPr lang="en-US" sz="1400" b="0" i="0" u="none" strike="noStrike">
                  <a:solidFill>
                    <a:schemeClr val="bg1"/>
                  </a:solidFill>
                  <a:latin typeface="Segoe UI Light"/>
                  <a:cs typeface="Segoe UI Light"/>
                </a:rPr>
                <a:t> áp</a:t>
              </a:r>
              <a:r>
                <a:rPr lang="en-US" sz="1400" b="0" i="0" u="none" strike="noStrike" baseline="0">
                  <a:solidFill>
                    <a:schemeClr val="bg1"/>
                  </a:solidFill>
                  <a:latin typeface="Segoe UI Light"/>
                  <a:cs typeface="Segoe UI Light"/>
                </a:rPr>
                <a:t> dụng</a:t>
              </a:r>
              <a:endParaRPr lang="en-US" sz="1400" b="0" i="0" u="none" strike="noStrike">
                <a:solidFill>
                  <a:schemeClr val="bg1"/>
                </a:solidFill>
                <a:latin typeface="Segoe UI Light"/>
                <a:cs typeface="Segoe UI Light"/>
              </a:endParaRPr>
            </a:p>
          </xdr:txBody>
        </xdr:sp>
        <xdr:sp macro="" textlink="$BM$22">
          <xdr:nvSpPr>
            <xdr:cNvPr id="23" name="TextBox 22">
              <a:extLst>
                <a:ext uri="{FF2B5EF4-FFF2-40B4-BE49-F238E27FC236}">
                  <a16:creationId xmlns:a16="http://schemas.microsoft.com/office/drawing/2014/main" id="{00000000-0008-0000-0900-000017000000}"/>
                </a:ext>
              </a:extLst>
            </xdr:cNvPr>
            <xdr:cNvSpPr txBox="1"/>
          </xdr:nvSpPr>
          <xdr:spPr>
            <a:xfrm>
              <a:off x="17661895" y="2518683"/>
              <a:ext cx="16194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D334524-8CC0-4BCB-B5DF-286805AECED1}"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19343740" y="2603995"/>
              <a:ext cx="79137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thay đổi</a:t>
              </a:r>
              <a:endParaRPr lang="en-US" sz="1400" b="0" i="0" u="none" strike="noStrike">
                <a:solidFill>
                  <a:schemeClr val="bg1"/>
                </a:solidFill>
                <a:latin typeface="Segoe UI Light"/>
                <a:cs typeface="Segoe UI Light"/>
              </a:endParaRPr>
            </a:p>
          </xdr:txBody>
        </xdr:sp>
        <xdr:sp macro="" textlink="$BY$22">
          <xdr:nvSpPr>
            <xdr:cNvPr id="25" name="TextBox 24">
              <a:extLst>
                <a:ext uri="{FF2B5EF4-FFF2-40B4-BE49-F238E27FC236}">
                  <a16:creationId xmlns:a16="http://schemas.microsoft.com/office/drawing/2014/main" id="{00000000-0008-0000-0900-000019000000}"/>
                </a:ext>
              </a:extLst>
            </xdr:cNvPr>
            <xdr:cNvSpPr txBox="1"/>
          </xdr:nvSpPr>
          <xdr:spPr>
            <a:xfrm>
              <a:off x="20073083" y="2518683"/>
              <a:ext cx="153506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D6C3C2E-4B18-483A-8B37-109E5355315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9343740" y="3002685"/>
              <a:ext cx="838756"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hiệu</a:t>
              </a:r>
              <a:r>
                <a:rPr lang="en-US" sz="1400" b="0" i="0" u="none" strike="noStrike" baseline="0">
                  <a:solidFill>
                    <a:schemeClr val="bg1"/>
                  </a:solidFill>
                  <a:latin typeface="Segoe UI Light"/>
                  <a:cs typeface="Segoe UI Light"/>
                </a:rPr>
                <a:t> quả</a:t>
              </a:r>
              <a:endParaRPr lang="en-US" sz="1400" b="0" i="0" u="none" strike="noStrike">
                <a:solidFill>
                  <a:schemeClr val="bg1"/>
                </a:solidFill>
                <a:latin typeface="Segoe UI Light"/>
                <a:cs typeface="Segoe UI Light"/>
              </a:endParaRPr>
            </a:p>
          </xdr:txBody>
        </xdr:sp>
        <xdr:sp macro="" textlink="$BZ$22">
          <xdr:nvSpPr>
            <xdr:cNvPr id="27" name="TextBox 26">
              <a:extLst>
                <a:ext uri="{FF2B5EF4-FFF2-40B4-BE49-F238E27FC236}">
                  <a16:creationId xmlns:a16="http://schemas.microsoft.com/office/drawing/2014/main" id="{00000000-0008-0000-0900-00001B000000}"/>
                </a:ext>
              </a:extLst>
            </xdr:cNvPr>
            <xdr:cNvSpPr txBox="1"/>
          </xdr:nvSpPr>
          <xdr:spPr>
            <a:xfrm>
              <a:off x="20073083" y="2917373"/>
              <a:ext cx="1548668"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93EA504-3081-4E98-AAF7-13FE49E9BFA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7" name="Group 46">
            <a:extLst>
              <a:ext uri="{FF2B5EF4-FFF2-40B4-BE49-F238E27FC236}">
                <a16:creationId xmlns:a16="http://schemas.microsoft.com/office/drawing/2014/main" id="{00000000-0008-0000-0900-00002F000000}"/>
              </a:ext>
            </a:extLst>
          </xdr:cNvPr>
          <xdr:cNvGrpSpPr/>
        </xdr:nvGrpSpPr>
        <xdr:grpSpPr>
          <a:xfrm>
            <a:off x="16056429" y="3530375"/>
            <a:ext cx="5425232" cy="501740"/>
            <a:chOff x="16056429" y="3530375"/>
            <a:chExt cx="5425232" cy="501740"/>
          </a:xfrm>
        </xdr:grpSpPr>
        <xdr:sp macro="" textlink="$BJ$21">
          <xdr:nvSpPr>
            <xdr:cNvPr id="28" name="TextBox 27">
              <a:extLst>
                <a:ext uri="{FF2B5EF4-FFF2-40B4-BE49-F238E27FC236}">
                  <a16:creationId xmlns:a16="http://schemas.microsoft.com/office/drawing/2014/main" id="{00000000-0008-0000-0900-00001C000000}"/>
                </a:ext>
              </a:extLst>
            </xdr:cNvPr>
            <xdr:cNvSpPr txBox="1"/>
          </xdr:nvSpPr>
          <xdr:spPr>
            <a:xfrm>
              <a:off x="16056429" y="3615687"/>
              <a:ext cx="160564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E35B8ED-76A9-4970-8F9F-E5C13697D646}"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CB$21">
          <xdr:nvSpPr>
            <xdr:cNvPr id="29" name="TextBox 28">
              <a:extLst>
                <a:ext uri="{FF2B5EF4-FFF2-40B4-BE49-F238E27FC236}">
                  <a16:creationId xmlns:a16="http://schemas.microsoft.com/office/drawing/2014/main" id="{00000000-0008-0000-0900-00001D000000}"/>
                </a:ext>
              </a:extLst>
            </xdr:cNvPr>
            <xdr:cNvSpPr txBox="1"/>
          </xdr:nvSpPr>
          <xdr:spPr>
            <a:xfrm>
              <a:off x="18826668" y="3615687"/>
              <a:ext cx="59901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7AE0C19-29D7-4A99-8F9A-7498472AA781}"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893469" y="3615687"/>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L$21">
          <xdr:nvSpPr>
            <xdr:cNvPr id="31" name="TextBox 30">
              <a:extLst>
                <a:ext uri="{FF2B5EF4-FFF2-40B4-BE49-F238E27FC236}">
                  <a16:creationId xmlns:a16="http://schemas.microsoft.com/office/drawing/2014/main" id="{00000000-0008-0000-0900-00001F000000}"/>
                </a:ext>
              </a:extLst>
            </xdr:cNvPr>
            <xdr:cNvSpPr txBox="1"/>
          </xdr:nvSpPr>
          <xdr:spPr>
            <a:xfrm>
              <a:off x="17661895" y="3530375"/>
              <a:ext cx="1224819"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9749381-D1D9-4EAB-B9CF-65C2C9C974A4}" type="TxLink">
                <a:rPr lang="en-US" sz="2400" b="1" i="0" u="none" strike="noStrike">
                  <a:solidFill>
                    <a:schemeClr val="accent6">
                      <a:lumMod val="20000"/>
                      <a:lumOff val="80000"/>
                    </a:schemeClr>
                  </a:solidFill>
                  <a:latin typeface="Segoe UI Light"/>
                  <a:ea typeface="+mn-ea"/>
                  <a:cs typeface="Segoe UI Light"/>
                </a:rPr>
                <a:pPr marL="0" indent="0"/>
                <a:t> </a:t>
              </a:fld>
              <a:endParaRPr lang="en-US" sz="2400" b="1" i="0" u="none" strike="noStrike">
                <a:solidFill>
                  <a:schemeClr val="accent6">
                    <a:lumMod val="20000"/>
                    <a:lumOff val="80000"/>
                  </a:schemeClr>
                </a:solidFill>
                <a:latin typeface="Segoe UI Light"/>
                <a:ea typeface="+mn-ea"/>
                <a:cs typeface="Segoe UI Light"/>
              </a:endParaRPr>
            </a:p>
          </xdr:txBody>
        </xdr:sp>
        <xdr:sp macro="" textlink="$CD$21">
          <xdr:nvSpPr>
            <xdr:cNvPr id="32" name="TextBox 31">
              <a:extLst>
                <a:ext uri="{FF2B5EF4-FFF2-40B4-BE49-F238E27FC236}">
                  <a16:creationId xmlns:a16="http://schemas.microsoft.com/office/drawing/2014/main" id="{00000000-0008-0000-0900-000020000000}"/>
                </a:ext>
              </a:extLst>
            </xdr:cNvPr>
            <xdr:cNvSpPr txBox="1"/>
          </xdr:nvSpPr>
          <xdr:spPr>
            <a:xfrm>
              <a:off x="19248488" y="3530375"/>
              <a:ext cx="7812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FB597EB-1196-455F-AFD6-88C97C127D3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2" name="Group 41">
            <a:extLst>
              <a:ext uri="{FF2B5EF4-FFF2-40B4-BE49-F238E27FC236}">
                <a16:creationId xmlns:a16="http://schemas.microsoft.com/office/drawing/2014/main" id="{00000000-0008-0000-0900-00002A000000}"/>
              </a:ext>
            </a:extLst>
          </xdr:cNvPr>
          <xdr:cNvGrpSpPr/>
        </xdr:nvGrpSpPr>
        <xdr:grpSpPr>
          <a:xfrm>
            <a:off x="16443821" y="4143375"/>
            <a:ext cx="5037840" cy="518431"/>
            <a:chOff x="30121896" y="4007304"/>
            <a:chExt cx="5037840" cy="518431"/>
          </a:xfrm>
        </xdr:grpSpPr>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0121896" y="4092616"/>
              <a:ext cx="119834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Số</a:t>
              </a:r>
              <a:r>
                <a:rPr lang="en-US" sz="1400" b="0" i="0" u="none" strike="noStrike" baseline="0">
                  <a:solidFill>
                    <a:schemeClr val="bg1"/>
                  </a:solidFill>
                  <a:latin typeface="Segoe UI Light"/>
                  <a:cs typeface="Segoe UI Light"/>
                </a:rPr>
                <a:t> khách mới</a:t>
              </a:r>
              <a:endParaRPr lang="en-US" sz="1400" b="0" i="0" u="none" strike="noStrike">
                <a:solidFill>
                  <a:schemeClr val="bg1"/>
                </a:solidFill>
                <a:latin typeface="Segoe UI Light"/>
                <a:cs typeface="Segoe UI Light"/>
              </a:endParaRPr>
            </a:p>
          </xdr:txBody>
        </xdr:sp>
        <xdr:sp macro="" textlink="$BI$22">
          <xdr:nvSpPr>
            <xdr:cNvPr id="34" name="TextBox 33">
              <a:extLst>
                <a:ext uri="{FF2B5EF4-FFF2-40B4-BE49-F238E27FC236}">
                  <a16:creationId xmlns:a16="http://schemas.microsoft.com/office/drawing/2014/main" id="{00000000-0008-0000-0900-000022000000}"/>
                </a:ext>
              </a:extLst>
            </xdr:cNvPr>
            <xdr:cNvSpPr txBox="1"/>
          </xdr:nvSpPr>
          <xdr:spPr>
            <a:xfrm>
              <a:off x="31339970"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0983A6B8-86A8-4620-B64C-105454D13BB8}"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33571544" y="4092616"/>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W$22">
          <xdr:nvSpPr>
            <xdr:cNvPr id="36" name="TextBox 35">
              <a:extLst>
                <a:ext uri="{FF2B5EF4-FFF2-40B4-BE49-F238E27FC236}">
                  <a16:creationId xmlns:a16="http://schemas.microsoft.com/office/drawing/2014/main" id="{00000000-0008-0000-0900-000024000000}"/>
                </a:ext>
              </a:extLst>
            </xdr:cNvPr>
            <xdr:cNvSpPr txBox="1"/>
          </xdr:nvSpPr>
          <xdr:spPr>
            <a:xfrm>
              <a:off x="32504743"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B8FBE64-EBED-45B6-A11C-FCE1E0871AC9}"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9" name="Group 48">
            <a:extLst>
              <a:ext uri="{FF2B5EF4-FFF2-40B4-BE49-F238E27FC236}">
                <a16:creationId xmlns:a16="http://schemas.microsoft.com/office/drawing/2014/main" id="{00000000-0008-0000-0900-000031000000}"/>
              </a:ext>
            </a:extLst>
          </xdr:cNvPr>
          <xdr:cNvGrpSpPr/>
        </xdr:nvGrpSpPr>
        <xdr:grpSpPr>
          <a:xfrm>
            <a:off x="15990941" y="1905681"/>
            <a:ext cx="5562772" cy="501740"/>
            <a:chOff x="15990941" y="1905681"/>
            <a:chExt cx="5562772" cy="501740"/>
          </a:xfrm>
        </xdr:grpSpPr>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15990941" y="1990993"/>
              <a:ext cx="165122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Thời</a:t>
              </a:r>
              <a:r>
                <a:rPr lang="en-US" sz="1400" b="0" i="0" u="none" strike="noStrike" baseline="0">
                  <a:solidFill>
                    <a:schemeClr val="bg1"/>
                  </a:solidFill>
                  <a:latin typeface="Segoe UI Light"/>
                  <a:cs typeface="Segoe UI Light"/>
                </a:rPr>
                <a:t> gian áp dụng </a:t>
              </a:r>
              <a:endParaRPr lang="en-US" sz="1400" b="0" i="0" u="none" strike="noStrike">
                <a:solidFill>
                  <a:schemeClr val="bg1"/>
                </a:solidFill>
                <a:latin typeface="Segoe UI Light"/>
                <a:cs typeface="Segoe UI Light"/>
              </a:endParaRPr>
            </a:p>
          </xdr:txBody>
        </xdr:sp>
        <xdr:sp macro="" textlink="$BN$22">
          <xdr:nvSpPr>
            <xdr:cNvPr id="20" name="TextBox 19">
              <a:extLst>
                <a:ext uri="{FF2B5EF4-FFF2-40B4-BE49-F238E27FC236}">
                  <a16:creationId xmlns:a16="http://schemas.microsoft.com/office/drawing/2014/main" id="{00000000-0008-0000-0900-000014000000}"/>
                </a:ext>
              </a:extLst>
            </xdr:cNvPr>
            <xdr:cNvSpPr txBox="1"/>
          </xdr:nvSpPr>
          <xdr:spPr>
            <a:xfrm>
              <a:off x="17661894" y="1905681"/>
              <a:ext cx="1578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05E6699-6706-426C-929A-D177D1B6CAE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BO$22">
          <xdr:nvSpPr>
            <xdr:cNvPr id="21" name="TextBox 20">
              <a:extLst>
                <a:ext uri="{FF2B5EF4-FFF2-40B4-BE49-F238E27FC236}">
                  <a16:creationId xmlns:a16="http://schemas.microsoft.com/office/drawing/2014/main" id="{00000000-0008-0000-0900-000015000000}"/>
                </a:ext>
              </a:extLst>
            </xdr:cNvPr>
            <xdr:cNvSpPr txBox="1"/>
          </xdr:nvSpPr>
          <xdr:spPr>
            <a:xfrm>
              <a:off x="19637652" y="1905681"/>
              <a:ext cx="1916061"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2C7E6F1-D945-4970-811C-FB41431C5A0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7" name="TextBox 36">
              <a:extLst>
                <a:ext uri="{FF2B5EF4-FFF2-40B4-BE49-F238E27FC236}">
                  <a16:creationId xmlns:a16="http://schemas.microsoft.com/office/drawing/2014/main" id="{00000000-0008-0000-0900-000025000000}"/>
                </a:ext>
              </a:extLst>
            </xdr:cNvPr>
            <xdr:cNvSpPr txBox="1"/>
          </xdr:nvSpPr>
          <xdr:spPr>
            <a:xfrm>
              <a:off x="19165748" y="1990993"/>
              <a:ext cx="30136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a:t>
              </a:r>
              <a:endParaRPr lang="en-US" sz="1400" b="0" i="0" u="none" strike="noStrike">
                <a:solidFill>
                  <a:schemeClr val="bg1"/>
                </a:solidFill>
                <a:latin typeface="Segoe UI Light"/>
                <a:cs typeface="Segoe UI Light"/>
              </a:endParaRPr>
            </a:p>
          </xdr:txBody>
        </xdr:sp>
      </xdr:grpSp>
    </xdr:grpSp>
    <xdr:clientData/>
  </xdr:twoCellAnchor>
  <xdr:twoCellAnchor>
    <xdr:from>
      <xdr:col>22</xdr:col>
      <xdr:colOff>163287</xdr:colOff>
      <xdr:row>20</xdr:row>
      <xdr:rowOff>96609</xdr:rowOff>
    </xdr:from>
    <xdr:to>
      <xdr:col>26</xdr:col>
      <xdr:colOff>321859</xdr:colOff>
      <xdr:row>37</xdr:row>
      <xdr:rowOff>124145</xdr:rowOff>
    </xdr:to>
    <mc:AlternateContent xmlns:mc="http://schemas.openxmlformats.org/markup-compatibility/2006">
      <mc:Choice xmlns:cx1="http://schemas.microsoft.com/office/drawing/2015/9/8/chartex" Requires="cx1">
        <xdr:graphicFrame macro="">
          <xdr:nvGraphicFramePr>
            <xdr:cNvPr id="44" name="Chart 43">
              <a:extLst>
                <a:ext uri="{FF2B5EF4-FFF2-40B4-BE49-F238E27FC236}">
                  <a16:creationId xmlns:a16="http://schemas.microsoft.com/office/drawing/2014/main" id="{00000000-0008-0000-09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250887" y="4668609"/>
              <a:ext cx="2901772"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367393</xdr:colOff>
      <xdr:row>20</xdr:row>
      <xdr:rowOff>96609</xdr:rowOff>
    </xdr:from>
    <xdr:to>
      <xdr:col>30</xdr:col>
      <xdr:colOff>525964</xdr:colOff>
      <xdr:row>37</xdr:row>
      <xdr:rowOff>124145</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00000000-0008-0000-0900-00002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8198193" y="4668609"/>
              <a:ext cx="2901771"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610775</xdr:colOff>
      <xdr:row>37</xdr:row>
      <xdr:rowOff>163286</xdr:rowOff>
    </xdr:from>
    <xdr:to>
      <xdr:col>30</xdr:col>
      <xdr:colOff>71246</xdr:colOff>
      <xdr:row>39</xdr:row>
      <xdr:rowOff>31759</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29716454" y="8722179"/>
          <a:ext cx="4903328"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Cơ</a:t>
          </a:r>
          <a:r>
            <a:rPr lang="en-US" sz="1400" b="0" i="0" u="none" strike="noStrike" baseline="0">
              <a:solidFill>
                <a:schemeClr val="bg1"/>
              </a:solidFill>
              <a:latin typeface="Segoe UI Light"/>
              <a:cs typeface="Segoe UI Light"/>
            </a:rPr>
            <a:t> cấu doanh thu chương trình theo Khách hàng &amp; Sản phẩm</a:t>
          </a:r>
          <a:endParaRPr lang="en-US" sz="1400" b="0" i="0" u="none" strike="noStrike">
            <a:solidFill>
              <a:schemeClr val="bg1"/>
            </a:solidFill>
            <a:latin typeface="Segoe UI Light"/>
            <a:cs typeface="Segoe UI Light"/>
          </a:endParaRPr>
        </a:p>
      </xdr:txBody>
    </xdr:sp>
    <xdr:clientData/>
  </xdr:twoCellAnchor>
  <xdr:twoCellAnchor editAs="oneCell">
    <xdr:from>
      <xdr:col>0</xdr:col>
      <xdr:colOff>0</xdr:colOff>
      <xdr:row>0</xdr:row>
      <xdr:rowOff>0</xdr:rowOff>
    </xdr:from>
    <xdr:to>
      <xdr:col>2</xdr:col>
      <xdr:colOff>171450</xdr:colOff>
      <xdr:row>2</xdr:row>
      <xdr:rowOff>160020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291352</xdr:colOff>
      <xdr:row>0</xdr:row>
      <xdr:rowOff>56029</xdr:rowOff>
    </xdr:from>
    <xdr:to>
      <xdr:col>22</xdr:col>
      <xdr:colOff>190499</xdr:colOff>
      <xdr:row>3</xdr:row>
      <xdr:rowOff>201705</xdr:rowOff>
    </xdr:to>
    <mc:AlternateContent xmlns:mc="http://schemas.openxmlformats.org/markup-compatibility/2006" xmlns:tsle="http://schemas.microsoft.com/office/drawing/2012/timeslicer">
      <mc:Choice Requires="tsle">
        <xdr:graphicFrame macro="">
          <xdr:nvGraphicFramePr>
            <xdr:cNvPr id="43" name="Ngày lập 3">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2/timeslicer">
              <tsle:timeslicer name="Ngày lập 3"/>
            </a:graphicData>
          </a:graphic>
        </xdr:graphicFrame>
      </mc:Choice>
      <mc:Fallback xmlns="">
        <xdr:sp macro="" textlink="">
          <xdr:nvSpPr>
            <xdr:cNvPr id="0" name=""/>
            <xdr:cNvSpPr>
              <a:spLocks noTextEdit="1"/>
            </xdr:cNvSpPr>
          </xdr:nvSpPr>
          <xdr:spPr>
            <a:xfrm>
              <a:off x="2369534" y="56029"/>
              <a:ext cx="13060965" cy="8210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619125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 y="0"/>
          <a:ext cx="600075" cy="600075"/>
        </a:xfrm>
        <a:prstGeom prst="rect">
          <a:avLst/>
        </a:prstGeom>
      </xdr:spPr>
    </xdr:pic>
    <xdr:clientData/>
  </xdr:twoCellAnchor>
  <xdr:twoCellAnchor editAs="oneCell">
    <xdr:from>
      <xdr:col>1</xdr:col>
      <xdr:colOff>0</xdr:colOff>
      <xdr:row>0</xdr:row>
      <xdr:rowOff>0</xdr:rowOff>
    </xdr:from>
    <xdr:to>
      <xdr:col>1</xdr:col>
      <xdr:colOff>1162050</xdr:colOff>
      <xdr:row>2</xdr:row>
      <xdr:rowOff>7620</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425" y="0"/>
          <a:ext cx="1162050"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0</xdr:row>
          <xdr:rowOff>133350</xdr:rowOff>
        </xdr:from>
        <xdr:to>
          <xdr:col>14</xdr:col>
          <xdr:colOff>742949</xdr:colOff>
          <xdr:row>3</xdr:row>
          <xdr:rowOff>38100</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0601325" y="133350"/>
              <a:ext cx="3695699" cy="590550"/>
              <a:chOff x="6162676" y="3409950"/>
              <a:chExt cx="3695699" cy="361950"/>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0A00-000006000000}"/>
                  </a:ext>
                </a:extLst>
              </xdr:cNvPr>
              <xdr:cNvGrpSpPr/>
            </xdr:nvGrpSpPr>
            <xdr:grpSpPr>
              <a:xfrm>
                <a:off x="6162676" y="340995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A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A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A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19050</xdr:rowOff>
        </xdr:from>
        <xdr:to>
          <xdr:col>20</xdr:col>
          <xdr:colOff>838200</xdr:colOff>
          <xdr:row>1</xdr:row>
          <xdr:rowOff>47625</xdr:rowOff>
        </xdr:to>
        <xdr:grpSp>
          <xdr:nvGrpSpPr>
            <xdr:cNvPr id="3" name="Group 10">
              <a:extLst>
                <a:ext uri="{FF2B5EF4-FFF2-40B4-BE49-F238E27FC236}">
                  <a16:creationId xmlns:a16="http://schemas.microsoft.com/office/drawing/2014/main" id="{00000000-0008-0000-0A00-000003000000}"/>
                </a:ext>
              </a:extLst>
            </xdr:cNvPr>
            <xdr:cNvGrpSpPr>
              <a:grpSpLocks/>
            </xdr:cNvGrpSpPr>
          </xdr:nvGrpSpPr>
          <xdr:grpSpPr bwMode="auto">
            <a:xfrm>
              <a:off x="19431000" y="19050"/>
              <a:ext cx="771525" cy="257175"/>
              <a:chOff x="187261" y="17811"/>
              <a:chExt cx="7696" cy="2572"/>
            </a:xfrm>
          </xdr:grpSpPr>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A00-00000E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1" name="Button 15" hidden="1">
                <a:extLst>
                  <a:ext uri="{63B3BB69-23CF-44E3-9099-C40C66FF867C}">
                    <a14:compatExt spid="_x0000_s50191"/>
                  </a:ext>
                  <a:ext uri="{FF2B5EF4-FFF2-40B4-BE49-F238E27FC236}">
                    <a16:creationId xmlns:a16="http://schemas.microsoft.com/office/drawing/2014/main" id="{00000000-0008-0000-0A00-00000F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19050</xdr:colOff>
          <xdr:row>0</xdr:row>
          <xdr:rowOff>47625</xdr:rowOff>
        </xdr:from>
        <xdr:to>
          <xdr:col>24</xdr:col>
          <xdr:colOff>790575</xdr:colOff>
          <xdr:row>1</xdr:row>
          <xdr:rowOff>76200</xdr:rowOff>
        </xdr:to>
        <xdr:grpSp>
          <xdr:nvGrpSpPr>
            <xdr:cNvPr id="7" name="Group 10">
              <a:extLst>
                <a:ext uri="{FF2B5EF4-FFF2-40B4-BE49-F238E27FC236}">
                  <a16:creationId xmlns:a16="http://schemas.microsoft.com/office/drawing/2014/main" id="{00000000-0008-0000-0A00-000007000000}"/>
                </a:ext>
              </a:extLst>
            </xdr:cNvPr>
            <xdr:cNvGrpSpPr>
              <a:grpSpLocks/>
            </xdr:cNvGrpSpPr>
          </xdr:nvGrpSpPr>
          <xdr:grpSpPr bwMode="auto">
            <a:xfrm>
              <a:off x="23774400" y="47625"/>
              <a:ext cx="771525" cy="257175"/>
              <a:chOff x="187261" y="17811"/>
              <a:chExt cx="7696" cy="2572"/>
            </a:xfrm>
          </xdr:grpSpPr>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A00-000010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A00-000011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48</xdr:row>
          <xdr:rowOff>19049</xdr:rowOff>
        </xdr:from>
        <xdr:to>
          <xdr:col>0</xdr:col>
          <xdr:colOff>606674</xdr:colOff>
          <xdr:row>49</xdr:row>
          <xdr:rowOff>164828</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66674" y="10991849"/>
              <a:ext cx="540000" cy="374379"/>
              <a:chOff x="15878174" y="12115799"/>
              <a:chExt cx="540000" cy="374379"/>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A00-00001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A00-00001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52</xdr:row>
          <xdr:rowOff>28574</xdr:rowOff>
        </xdr:from>
        <xdr:to>
          <xdr:col>0</xdr:col>
          <xdr:colOff>606674</xdr:colOff>
          <xdr:row>53</xdr:row>
          <xdr:rowOff>174353</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66674" y="11915774"/>
              <a:ext cx="540000" cy="374379"/>
              <a:chOff x="15878174" y="12115799"/>
              <a:chExt cx="540000" cy="374379"/>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A00-00001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A00-00001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57</xdr:row>
          <xdr:rowOff>66674</xdr:rowOff>
        </xdr:from>
        <xdr:to>
          <xdr:col>0</xdr:col>
          <xdr:colOff>606674</xdr:colOff>
          <xdr:row>58</xdr:row>
          <xdr:rowOff>212453</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6674" y="13096874"/>
              <a:ext cx="540000" cy="374379"/>
              <a:chOff x="15878174" y="12115799"/>
              <a:chExt cx="540000" cy="374379"/>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A00-00001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A00-00001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61</xdr:row>
          <xdr:rowOff>28574</xdr:rowOff>
        </xdr:from>
        <xdr:to>
          <xdr:col>0</xdr:col>
          <xdr:colOff>606674</xdr:colOff>
          <xdr:row>62</xdr:row>
          <xdr:rowOff>174353</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66674" y="13973174"/>
              <a:ext cx="540000" cy="374379"/>
              <a:chOff x="15878174" y="12115799"/>
              <a:chExt cx="540000" cy="374379"/>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A00-00001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A00-00001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71</xdr:row>
          <xdr:rowOff>9524</xdr:rowOff>
        </xdr:from>
        <xdr:to>
          <xdr:col>0</xdr:col>
          <xdr:colOff>606674</xdr:colOff>
          <xdr:row>72</xdr:row>
          <xdr:rowOff>155303</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66674" y="16240124"/>
              <a:ext cx="540000" cy="374379"/>
              <a:chOff x="15878174" y="12115799"/>
              <a:chExt cx="540000" cy="374379"/>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A00-00001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A00-00001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75</xdr:row>
          <xdr:rowOff>28574</xdr:rowOff>
        </xdr:from>
        <xdr:to>
          <xdr:col>0</xdr:col>
          <xdr:colOff>606674</xdr:colOff>
          <xdr:row>76</xdr:row>
          <xdr:rowOff>174353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6674" y="17173574"/>
              <a:ext cx="540000" cy="374379"/>
              <a:chOff x="15878174" y="12115799"/>
              <a:chExt cx="540000" cy="374379"/>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A00-00001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A00-00001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80</xdr:row>
          <xdr:rowOff>57149</xdr:rowOff>
        </xdr:from>
        <xdr:to>
          <xdr:col>0</xdr:col>
          <xdr:colOff>606674</xdr:colOff>
          <xdr:row>81</xdr:row>
          <xdr:rowOff>202928</xdr:rowOff>
        </xdr:to>
        <xdr:grpSp>
          <xdr:nvGrpSpPr>
            <xdr:cNvPr id="18" name="Group 17">
              <a:extLst>
                <a:ext uri="{FF2B5EF4-FFF2-40B4-BE49-F238E27FC236}">
                  <a16:creationId xmlns:a16="http://schemas.microsoft.com/office/drawing/2014/main" id="{00000000-0008-0000-0A00-000012000000}"/>
                </a:ext>
              </a:extLst>
            </xdr:cNvPr>
            <xdr:cNvGrpSpPr/>
          </xdr:nvGrpSpPr>
          <xdr:grpSpPr>
            <a:xfrm>
              <a:off x="66674" y="18345149"/>
              <a:ext cx="540000" cy="374379"/>
              <a:chOff x="15878174" y="12115799"/>
              <a:chExt cx="540000" cy="374379"/>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A00-00002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A00-00002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85</xdr:row>
          <xdr:rowOff>57149</xdr:rowOff>
        </xdr:from>
        <xdr:to>
          <xdr:col>0</xdr:col>
          <xdr:colOff>606674</xdr:colOff>
          <xdr:row>86</xdr:row>
          <xdr:rowOff>202928</xdr:rowOff>
        </xdr:to>
        <xdr:grpSp>
          <xdr:nvGrpSpPr>
            <xdr:cNvPr id="19" name="Group 18">
              <a:extLst>
                <a:ext uri="{FF2B5EF4-FFF2-40B4-BE49-F238E27FC236}">
                  <a16:creationId xmlns:a16="http://schemas.microsoft.com/office/drawing/2014/main" id="{00000000-0008-0000-0A00-000013000000}"/>
                </a:ext>
              </a:extLst>
            </xdr:cNvPr>
            <xdr:cNvGrpSpPr/>
          </xdr:nvGrpSpPr>
          <xdr:grpSpPr>
            <a:xfrm>
              <a:off x="66674" y="19488149"/>
              <a:ext cx="540000" cy="374379"/>
              <a:chOff x="15878174" y="12115799"/>
              <a:chExt cx="540000" cy="374379"/>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A00-00002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A00-00002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90</xdr:row>
          <xdr:rowOff>57149</xdr:rowOff>
        </xdr:from>
        <xdr:to>
          <xdr:col>0</xdr:col>
          <xdr:colOff>606674</xdr:colOff>
          <xdr:row>91</xdr:row>
          <xdr:rowOff>202928</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66674" y="20631149"/>
              <a:ext cx="540000" cy="374379"/>
              <a:chOff x="15878174" y="12115799"/>
              <a:chExt cx="540000" cy="374379"/>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A00-00002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A00-00002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96</xdr:row>
          <xdr:rowOff>47624</xdr:rowOff>
        </xdr:from>
        <xdr:to>
          <xdr:col>0</xdr:col>
          <xdr:colOff>606674</xdr:colOff>
          <xdr:row>97</xdr:row>
          <xdr:rowOff>193403</xdr:rowOff>
        </xdr:to>
        <xdr:grpSp>
          <xdr:nvGrpSpPr>
            <xdr:cNvPr id="21" name="Group 20">
              <a:extLst>
                <a:ext uri="{FF2B5EF4-FFF2-40B4-BE49-F238E27FC236}">
                  <a16:creationId xmlns:a16="http://schemas.microsoft.com/office/drawing/2014/main" id="{00000000-0008-0000-0A00-000015000000}"/>
                </a:ext>
              </a:extLst>
            </xdr:cNvPr>
            <xdr:cNvGrpSpPr/>
          </xdr:nvGrpSpPr>
          <xdr:grpSpPr>
            <a:xfrm>
              <a:off x="66674" y="21993224"/>
              <a:ext cx="540000" cy="374379"/>
              <a:chOff x="15878174" y="12115799"/>
              <a:chExt cx="540000" cy="374379"/>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A00-00002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A00-00002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100</xdr:row>
          <xdr:rowOff>19049</xdr:rowOff>
        </xdr:from>
        <xdr:to>
          <xdr:col>0</xdr:col>
          <xdr:colOff>606674</xdr:colOff>
          <xdr:row>101</xdr:row>
          <xdr:rowOff>164828</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66674" y="22879049"/>
              <a:ext cx="540000" cy="374379"/>
              <a:chOff x="15878174" y="12115799"/>
              <a:chExt cx="540000" cy="374379"/>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A00-00002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A00-00002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105</xdr:row>
          <xdr:rowOff>19049</xdr:rowOff>
        </xdr:from>
        <xdr:to>
          <xdr:col>0</xdr:col>
          <xdr:colOff>606674</xdr:colOff>
          <xdr:row>106</xdr:row>
          <xdr:rowOff>164828</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66674" y="24022049"/>
              <a:ext cx="540000" cy="374379"/>
              <a:chOff x="15878174" y="12115799"/>
              <a:chExt cx="540000" cy="374379"/>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A00-00002A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A00-00002B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109</xdr:row>
          <xdr:rowOff>95249</xdr:rowOff>
        </xdr:from>
        <xdr:to>
          <xdr:col>0</xdr:col>
          <xdr:colOff>606674</xdr:colOff>
          <xdr:row>111</xdr:row>
          <xdr:rowOff>12428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66674" y="25012649"/>
              <a:ext cx="540000" cy="374379"/>
              <a:chOff x="15878174" y="12115799"/>
              <a:chExt cx="540000" cy="374379"/>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A00-00002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A00-00002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113</xdr:row>
          <xdr:rowOff>76199</xdr:rowOff>
        </xdr:from>
        <xdr:to>
          <xdr:col>0</xdr:col>
          <xdr:colOff>606674</xdr:colOff>
          <xdr:row>114</xdr:row>
          <xdr:rowOff>221978</xdr:rowOff>
        </xdr:to>
        <xdr:grpSp>
          <xdr:nvGrpSpPr>
            <xdr:cNvPr id="25" name="Group 24">
              <a:extLst>
                <a:ext uri="{FF2B5EF4-FFF2-40B4-BE49-F238E27FC236}">
                  <a16:creationId xmlns:a16="http://schemas.microsoft.com/office/drawing/2014/main" id="{00000000-0008-0000-0A00-000019000000}"/>
                </a:ext>
              </a:extLst>
            </xdr:cNvPr>
            <xdr:cNvGrpSpPr/>
          </xdr:nvGrpSpPr>
          <xdr:grpSpPr>
            <a:xfrm>
              <a:off x="66674" y="25907999"/>
              <a:ext cx="540000" cy="374379"/>
              <a:chOff x="15878174" y="12115799"/>
              <a:chExt cx="540000" cy="374379"/>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A00-00002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A00-00002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123</xdr:row>
          <xdr:rowOff>38099</xdr:rowOff>
        </xdr:from>
        <xdr:to>
          <xdr:col>0</xdr:col>
          <xdr:colOff>606674</xdr:colOff>
          <xdr:row>124</xdr:row>
          <xdr:rowOff>183878</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66674" y="28155899"/>
              <a:ext cx="540000" cy="374379"/>
              <a:chOff x="15878174" y="12115799"/>
              <a:chExt cx="540000" cy="374379"/>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A00-00003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A00-00003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127</xdr:row>
          <xdr:rowOff>57149</xdr:rowOff>
        </xdr:from>
        <xdr:to>
          <xdr:col>0</xdr:col>
          <xdr:colOff>606674</xdr:colOff>
          <xdr:row>128</xdr:row>
          <xdr:rowOff>202928</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66674" y="29089349"/>
              <a:ext cx="540000" cy="374379"/>
              <a:chOff x="15878174" y="12115799"/>
              <a:chExt cx="540000" cy="374379"/>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A00-00003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A00-00003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132</xdr:row>
          <xdr:rowOff>47624</xdr:rowOff>
        </xdr:from>
        <xdr:to>
          <xdr:col>0</xdr:col>
          <xdr:colOff>606674</xdr:colOff>
          <xdr:row>133</xdr:row>
          <xdr:rowOff>193403</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66674" y="30222824"/>
              <a:ext cx="540000" cy="374379"/>
              <a:chOff x="15878174" y="12115799"/>
              <a:chExt cx="540000" cy="374379"/>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A00-00003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A00-00003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156</xdr:row>
          <xdr:rowOff>38099</xdr:rowOff>
        </xdr:from>
        <xdr:to>
          <xdr:col>0</xdr:col>
          <xdr:colOff>606674</xdr:colOff>
          <xdr:row>157</xdr:row>
          <xdr:rowOff>183878</xdr:rowOff>
        </xdr:to>
        <xdr:grpSp>
          <xdr:nvGrpSpPr>
            <xdr:cNvPr id="29" name="Group 28">
              <a:extLst>
                <a:ext uri="{FF2B5EF4-FFF2-40B4-BE49-F238E27FC236}">
                  <a16:creationId xmlns:a16="http://schemas.microsoft.com/office/drawing/2014/main" id="{00000000-0008-0000-0A00-00001D000000}"/>
                </a:ext>
              </a:extLst>
            </xdr:cNvPr>
            <xdr:cNvGrpSpPr/>
          </xdr:nvGrpSpPr>
          <xdr:grpSpPr>
            <a:xfrm>
              <a:off x="66674" y="35699699"/>
              <a:ext cx="540000" cy="374379"/>
              <a:chOff x="15878174" y="12115799"/>
              <a:chExt cx="540000" cy="374379"/>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A00-00003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A00-00003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163</xdr:row>
          <xdr:rowOff>76199</xdr:rowOff>
        </xdr:from>
        <xdr:to>
          <xdr:col>0</xdr:col>
          <xdr:colOff>606674</xdr:colOff>
          <xdr:row>164</xdr:row>
          <xdr:rowOff>221978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66674" y="37337999"/>
              <a:ext cx="540000" cy="374379"/>
              <a:chOff x="15878174" y="12115799"/>
              <a:chExt cx="540000" cy="374379"/>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A00-00003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A00-00003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0</xdr:col>
      <xdr:colOff>66674</xdr:colOff>
      <xdr:row>197</xdr:row>
      <xdr:rowOff>38099</xdr:rowOff>
    </xdr:from>
    <xdr:to>
      <xdr:col>0</xdr:col>
      <xdr:colOff>606674</xdr:colOff>
      <xdr:row>198</xdr:row>
      <xdr:rowOff>183878</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66674" y="45072299"/>
          <a:ext cx="540000" cy="374379"/>
          <a:chOff x="15878174" y="12115799"/>
          <a:chExt cx="540000" cy="374379"/>
        </a:xfrm>
      </xdr:grpSpPr>
      <xdr:sp macro="" textlink="">
        <xdr:nvSpPr>
          <xdr:cNvPr id="50240" name="Button 64" hidden="1">
            <a:extLst>
              <a:ext uri="{63B3BB69-23CF-44E3-9099-C40C66FF867C}">
                <a14:compatExt xmlns:a14="http://schemas.microsoft.com/office/drawing/2010/main" spid="_x0000_s50240"/>
              </a:ext>
              <a:ext uri="{FF2B5EF4-FFF2-40B4-BE49-F238E27FC236}">
                <a16:creationId xmlns:a16="http://schemas.microsoft.com/office/drawing/2014/main" id="{00000000-0008-0000-0A00-00004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1" name="Button 65" hidden="1">
            <a:extLst>
              <a:ext uri="{63B3BB69-23CF-44E3-9099-C40C66FF867C}">
                <a14:compatExt xmlns:a14="http://schemas.microsoft.com/office/drawing/2010/main" spid="_x0000_s50241"/>
              </a:ext>
              <a:ext uri="{FF2B5EF4-FFF2-40B4-BE49-F238E27FC236}">
                <a16:creationId xmlns:a16="http://schemas.microsoft.com/office/drawing/2014/main" id="{00000000-0008-0000-0A00-00004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172</xdr:row>
      <xdr:rowOff>38100</xdr:rowOff>
    </xdr:from>
    <xdr:to>
      <xdr:col>0</xdr:col>
      <xdr:colOff>609600</xdr:colOff>
      <xdr:row>173</xdr:row>
      <xdr:rowOff>180975</xdr:rowOff>
    </xdr:to>
    <xdr:grpSp>
      <xdr:nvGrpSpPr>
        <xdr:cNvPr id="50243" name="Group 30">
          <a:extLst>
            <a:ext uri="{FF2B5EF4-FFF2-40B4-BE49-F238E27FC236}">
              <a16:creationId xmlns:a16="http://schemas.microsoft.com/office/drawing/2014/main" id="{00000000-0008-0000-0A00-000043C40000}"/>
            </a:ext>
          </a:extLst>
        </xdr:cNvPr>
        <xdr:cNvGrpSpPr>
          <a:grpSpLocks/>
        </xdr:cNvGrpSpPr>
      </xdr:nvGrpSpPr>
      <xdr:grpSpPr bwMode="auto">
        <a:xfrm>
          <a:off x="66675" y="39357300"/>
          <a:ext cx="542925" cy="371475"/>
          <a:chOff x="15878174" y="12115799"/>
          <a:chExt cx="540000" cy="374379"/>
        </a:xfrm>
      </xdr:grpSpPr>
      <xdr:sp macro="" textlink="">
        <xdr:nvSpPr>
          <xdr:cNvPr id="50244" name="Button 68" hidden="1">
            <a:extLst>
              <a:ext uri="{63B3BB69-23CF-44E3-9099-C40C66FF867C}">
                <a14:compatExt xmlns:a14="http://schemas.microsoft.com/office/drawing/2010/main" spid="_x0000_s50244"/>
              </a:ext>
              <a:ext uri="{FF2B5EF4-FFF2-40B4-BE49-F238E27FC236}">
                <a16:creationId xmlns:a16="http://schemas.microsoft.com/office/drawing/2014/main" id="{00000000-0008-0000-0A00-00004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5" name="Button 69" hidden="1">
            <a:extLst>
              <a:ext uri="{63B3BB69-23CF-44E3-9099-C40C66FF867C}">
                <a14:compatExt xmlns:a14="http://schemas.microsoft.com/office/drawing/2010/main" spid="_x0000_s50245"/>
              </a:ext>
              <a:ext uri="{FF2B5EF4-FFF2-40B4-BE49-F238E27FC236}">
                <a16:creationId xmlns:a16="http://schemas.microsoft.com/office/drawing/2014/main" id="{00000000-0008-0000-0A00-00004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177</xdr:row>
      <xdr:rowOff>38100</xdr:rowOff>
    </xdr:from>
    <xdr:to>
      <xdr:col>0</xdr:col>
      <xdr:colOff>609600</xdr:colOff>
      <xdr:row>178</xdr:row>
      <xdr:rowOff>180975</xdr:rowOff>
    </xdr:to>
    <xdr:grpSp>
      <xdr:nvGrpSpPr>
        <xdr:cNvPr id="50248" name="Group 30">
          <a:extLst>
            <a:ext uri="{FF2B5EF4-FFF2-40B4-BE49-F238E27FC236}">
              <a16:creationId xmlns:a16="http://schemas.microsoft.com/office/drawing/2014/main" id="{00000000-0008-0000-0A00-000048C40000}"/>
            </a:ext>
          </a:extLst>
        </xdr:cNvPr>
        <xdr:cNvGrpSpPr>
          <a:grpSpLocks/>
        </xdr:cNvGrpSpPr>
      </xdr:nvGrpSpPr>
      <xdr:grpSpPr bwMode="auto">
        <a:xfrm>
          <a:off x="66675" y="40500300"/>
          <a:ext cx="542925" cy="371475"/>
          <a:chOff x="15878174" y="12115799"/>
          <a:chExt cx="540000" cy="374379"/>
        </a:xfrm>
      </xdr:grpSpPr>
      <xdr:sp macro="" textlink="">
        <xdr:nvSpPr>
          <xdr:cNvPr id="50249" name="Button 73" hidden="1">
            <a:extLst>
              <a:ext uri="{63B3BB69-23CF-44E3-9099-C40C66FF867C}">
                <a14:compatExt xmlns:a14="http://schemas.microsoft.com/office/drawing/2010/main" spid="_x0000_s50249"/>
              </a:ext>
              <a:ext uri="{FF2B5EF4-FFF2-40B4-BE49-F238E27FC236}">
                <a16:creationId xmlns:a16="http://schemas.microsoft.com/office/drawing/2014/main" id="{00000000-0008-0000-0A00-00004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50" name="Button 74" hidden="1">
            <a:extLst>
              <a:ext uri="{63B3BB69-23CF-44E3-9099-C40C66FF867C}">
                <a14:compatExt xmlns:a14="http://schemas.microsoft.com/office/drawing/2010/main" spid="_x0000_s50250"/>
              </a:ext>
              <a:ext uri="{FF2B5EF4-FFF2-40B4-BE49-F238E27FC236}">
                <a16:creationId xmlns:a16="http://schemas.microsoft.com/office/drawing/2014/main" id="{00000000-0008-0000-0A00-00004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182</xdr:row>
      <xdr:rowOff>38100</xdr:rowOff>
    </xdr:from>
    <xdr:to>
      <xdr:col>0</xdr:col>
      <xdr:colOff>609600</xdr:colOff>
      <xdr:row>183</xdr:row>
      <xdr:rowOff>180975</xdr:rowOff>
    </xdr:to>
    <xdr:grpSp>
      <xdr:nvGrpSpPr>
        <xdr:cNvPr id="50264" name="Group 30">
          <a:extLst>
            <a:ext uri="{FF2B5EF4-FFF2-40B4-BE49-F238E27FC236}">
              <a16:creationId xmlns:a16="http://schemas.microsoft.com/office/drawing/2014/main" id="{00000000-0008-0000-0A00-000058C40000}"/>
            </a:ext>
          </a:extLst>
        </xdr:cNvPr>
        <xdr:cNvGrpSpPr>
          <a:grpSpLocks/>
        </xdr:cNvGrpSpPr>
      </xdr:nvGrpSpPr>
      <xdr:grpSpPr bwMode="auto">
        <a:xfrm>
          <a:off x="66675" y="41643300"/>
          <a:ext cx="542925" cy="371475"/>
          <a:chOff x="15878174" y="12115799"/>
          <a:chExt cx="540000" cy="374379"/>
        </a:xfrm>
      </xdr:grpSpPr>
      <xdr:sp macro="" textlink="">
        <xdr:nvSpPr>
          <xdr:cNvPr id="50265" name="Button 89" hidden="1">
            <a:extLst>
              <a:ext uri="{63B3BB69-23CF-44E3-9099-C40C66FF867C}">
                <a14:compatExt xmlns:a14="http://schemas.microsoft.com/office/drawing/2010/main" spid="_x0000_s50265"/>
              </a:ext>
              <a:ext uri="{FF2B5EF4-FFF2-40B4-BE49-F238E27FC236}">
                <a16:creationId xmlns:a16="http://schemas.microsoft.com/office/drawing/2014/main" id="{00000000-0008-0000-0A00-00005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66" name="Button 90" hidden="1">
            <a:extLst>
              <a:ext uri="{63B3BB69-23CF-44E3-9099-C40C66FF867C}">
                <a14:compatExt xmlns:a14="http://schemas.microsoft.com/office/drawing/2010/main" spid="_x0000_s50266"/>
              </a:ext>
              <a:ext uri="{FF2B5EF4-FFF2-40B4-BE49-F238E27FC236}">
                <a16:creationId xmlns:a16="http://schemas.microsoft.com/office/drawing/2014/main" id="{00000000-0008-0000-0A00-00005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187</xdr:row>
      <xdr:rowOff>38100</xdr:rowOff>
    </xdr:from>
    <xdr:to>
      <xdr:col>0</xdr:col>
      <xdr:colOff>609600</xdr:colOff>
      <xdr:row>188</xdr:row>
      <xdr:rowOff>180975</xdr:rowOff>
    </xdr:to>
    <xdr:grpSp>
      <xdr:nvGrpSpPr>
        <xdr:cNvPr id="50276" name="Group 30">
          <a:extLst>
            <a:ext uri="{FF2B5EF4-FFF2-40B4-BE49-F238E27FC236}">
              <a16:creationId xmlns:a16="http://schemas.microsoft.com/office/drawing/2014/main" id="{00000000-0008-0000-0A00-000064C40000}"/>
            </a:ext>
          </a:extLst>
        </xdr:cNvPr>
        <xdr:cNvGrpSpPr>
          <a:grpSpLocks/>
        </xdr:cNvGrpSpPr>
      </xdr:nvGrpSpPr>
      <xdr:grpSpPr bwMode="auto">
        <a:xfrm>
          <a:off x="66675" y="42786300"/>
          <a:ext cx="542925" cy="371475"/>
          <a:chOff x="15878174" y="12115799"/>
          <a:chExt cx="540000" cy="374379"/>
        </a:xfrm>
      </xdr:grpSpPr>
      <xdr:sp macro="" textlink="">
        <xdr:nvSpPr>
          <xdr:cNvPr id="50277" name="Button 101" hidden="1">
            <a:extLst>
              <a:ext uri="{63B3BB69-23CF-44E3-9099-C40C66FF867C}">
                <a14:compatExt xmlns:a14="http://schemas.microsoft.com/office/drawing/2010/main" spid="_x0000_s50277"/>
              </a:ext>
              <a:ext uri="{FF2B5EF4-FFF2-40B4-BE49-F238E27FC236}">
                <a16:creationId xmlns:a16="http://schemas.microsoft.com/office/drawing/2014/main" id="{00000000-0008-0000-0A00-000065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8" name="Button 102" hidden="1">
            <a:extLst>
              <a:ext uri="{63B3BB69-23CF-44E3-9099-C40C66FF867C}">
                <a14:compatExt xmlns:a14="http://schemas.microsoft.com/office/drawing/2010/main" spid="_x0000_s50278"/>
              </a:ext>
              <a:ext uri="{FF2B5EF4-FFF2-40B4-BE49-F238E27FC236}">
                <a16:creationId xmlns:a16="http://schemas.microsoft.com/office/drawing/2014/main" id="{00000000-0008-0000-0A00-000066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192</xdr:row>
      <xdr:rowOff>38100</xdr:rowOff>
    </xdr:from>
    <xdr:to>
      <xdr:col>0</xdr:col>
      <xdr:colOff>609600</xdr:colOff>
      <xdr:row>193</xdr:row>
      <xdr:rowOff>180975</xdr:rowOff>
    </xdr:to>
    <xdr:grpSp>
      <xdr:nvGrpSpPr>
        <xdr:cNvPr id="50282" name="Group 30">
          <a:extLst>
            <a:ext uri="{FF2B5EF4-FFF2-40B4-BE49-F238E27FC236}">
              <a16:creationId xmlns:a16="http://schemas.microsoft.com/office/drawing/2014/main" id="{00000000-0008-0000-0A00-00006AC40000}"/>
            </a:ext>
          </a:extLst>
        </xdr:cNvPr>
        <xdr:cNvGrpSpPr>
          <a:grpSpLocks/>
        </xdr:cNvGrpSpPr>
      </xdr:nvGrpSpPr>
      <xdr:grpSpPr bwMode="auto">
        <a:xfrm>
          <a:off x="66675" y="43929300"/>
          <a:ext cx="542925" cy="371475"/>
          <a:chOff x="15878174" y="12115799"/>
          <a:chExt cx="540000" cy="374379"/>
        </a:xfrm>
      </xdr:grpSpPr>
      <xdr:sp macro="" textlink="">
        <xdr:nvSpPr>
          <xdr:cNvPr id="50283" name="Button 107" hidden="1">
            <a:extLst>
              <a:ext uri="{63B3BB69-23CF-44E3-9099-C40C66FF867C}">
                <a14:compatExt xmlns:a14="http://schemas.microsoft.com/office/drawing/2010/main" spid="_x0000_s50283"/>
              </a:ext>
              <a:ext uri="{FF2B5EF4-FFF2-40B4-BE49-F238E27FC236}">
                <a16:creationId xmlns:a16="http://schemas.microsoft.com/office/drawing/2014/main" id="{00000000-0008-0000-0A00-00006B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84" name="Button 108" hidden="1">
            <a:extLst>
              <a:ext uri="{63B3BB69-23CF-44E3-9099-C40C66FF867C}">
                <a14:compatExt xmlns:a14="http://schemas.microsoft.com/office/drawing/2010/main" spid="_x0000_s50284"/>
              </a:ext>
              <a:ext uri="{FF2B5EF4-FFF2-40B4-BE49-F238E27FC236}">
                <a16:creationId xmlns:a16="http://schemas.microsoft.com/office/drawing/2014/main" id="{00000000-0008-0000-0A00-00006C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AlternateContent xmlns:mc="http://schemas.openxmlformats.org/markup-compatibility/2006">
    <mc:Choice xmlns:a14="http://schemas.microsoft.com/office/drawing/2010/main" Requires="a14">
      <xdr:twoCellAnchor>
        <xdr:from>
          <xdr:col>0</xdr:col>
          <xdr:colOff>66675</xdr:colOff>
          <xdr:row>197</xdr:row>
          <xdr:rowOff>38100</xdr:rowOff>
        </xdr:from>
        <xdr:to>
          <xdr:col>0</xdr:col>
          <xdr:colOff>609600</xdr:colOff>
          <xdr:row>198</xdr:row>
          <xdr:rowOff>180975</xdr:rowOff>
        </xdr:to>
        <xdr:grpSp>
          <xdr:nvGrpSpPr>
            <xdr:cNvPr id="50242" name="Group 30">
              <a:extLst>
                <a:ext uri="{FF2B5EF4-FFF2-40B4-BE49-F238E27FC236}">
                  <a16:creationId xmlns:a16="http://schemas.microsoft.com/office/drawing/2014/main" id="{00000000-0008-0000-0A00-000042C40000}"/>
                </a:ext>
              </a:extLst>
            </xdr:cNvPr>
            <xdr:cNvGrpSpPr>
              <a:grpSpLocks/>
            </xdr:cNvGrpSpPr>
          </xdr:nvGrpSpPr>
          <xdr:grpSpPr bwMode="auto">
            <a:xfrm>
              <a:off x="66675" y="45072300"/>
              <a:ext cx="542925" cy="371475"/>
              <a:chOff x="158781" y="121157"/>
              <a:chExt cx="5400" cy="3744"/>
            </a:xfrm>
          </xdr:grpSpPr>
          <xdr:sp macro="" textlink="">
            <xdr:nvSpPr>
              <xdr:cNvPr id="15" name="Button 64" hidden="1">
                <a:extLst>
                  <a:ext uri="{63B3BB69-23CF-44E3-9099-C40C66FF867C}">
                    <a14:compatExt spid="_x0000_s50240"/>
                  </a:ext>
                  <a:ext uri="{FF2B5EF4-FFF2-40B4-BE49-F238E27FC236}">
                    <a16:creationId xmlns:a16="http://schemas.microsoft.com/office/drawing/2014/main" id="{00000000-0008-0000-0A00-00000F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2" name="Button 65" hidden="1">
                <a:extLst>
                  <a:ext uri="{63B3BB69-23CF-44E3-9099-C40C66FF867C}">
                    <a14:compatExt spid="_x0000_s50241"/>
                  </a:ext>
                  <a:ext uri="{FF2B5EF4-FFF2-40B4-BE49-F238E27FC236}">
                    <a16:creationId xmlns:a16="http://schemas.microsoft.com/office/drawing/2014/main" id="{00000000-0008-0000-0A00-000020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172</xdr:row>
          <xdr:rowOff>38100</xdr:rowOff>
        </xdr:from>
        <xdr:to>
          <xdr:col>0</xdr:col>
          <xdr:colOff>609600</xdr:colOff>
          <xdr:row>173</xdr:row>
          <xdr:rowOff>180975</xdr:rowOff>
        </xdr:to>
        <xdr:grpSp>
          <xdr:nvGrpSpPr>
            <xdr:cNvPr id="50247" name="Group 71">
              <a:extLst>
                <a:ext uri="{FF2B5EF4-FFF2-40B4-BE49-F238E27FC236}">
                  <a16:creationId xmlns:a16="http://schemas.microsoft.com/office/drawing/2014/main" id="{00000000-0008-0000-0A00-000047C40000}"/>
                </a:ext>
              </a:extLst>
            </xdr:cNvPr>
            <xdr:cNvGrpSpPr>
              <a:grpSpLocks/>
            </xdr:cNvGrpSpPr>
          </xdr:nvGrpSpPr>
          <xdr:grpSpPr bwMode="auto">
            <a:xfrm>
              <a:off x="66675" y="39357300"/>
              <a:ext cx="542925" cy="371475"/>
              <a:chOff x="158781" y="121157"/>
              <a:chExt cx="5400" cy="3744"/>
            </a:xfrm>
          </xdr:grpSpPr>
          <xdr:sp macro="" textlink="">
            <xdr:nvSpPr>
              <xdr:cNvPr id="33" name="Button 68" hidden="1">
                <a:extLst>
                  <a:ext uri="{63B3BB69-23CF-44E3-9099-C40C66FF867C}">
                    <a14:compatExt spid="_x0000_s50244"/>
                  </a:ext>
                  <a:ext uri="{FF2B5EF4-FFF2-40B4-BE49-F238E27FC236}">
                    <a16:creationId xmlns:a16="http://schemas.microsoft.com/office/drawing/2014/main" id="{00000000-0008-0000-0A00-000021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4" name="Button 69" hidden="1">
                <a:extLst>
                  <a:ext uri="{63B3BB69-23CF-44E3-9099-C40C66FF867C}">
                    <a14:compatExt spid="_x0000_s50245"/>
                  </a:ext>
                  <a:ext uri="{FF2B5EF4-FFF2-40B4-BE49-F238E27FC236}">
                    <a16:creationId xmlns:a16="http://schemas.microsoft.com/office/drawing/2014/main" id="{00000000-0008-0000-0A00-000022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177</xdr:row>
          <xdr:rowOff>38100</xdr:rowOff>
        </xdr:from>
        <xdr:to>
          <xdr:col>0</xdr:col>
          <xdr:colOff>609600</xdr:colOff>
          <xdr:row>178</xdr:row>
          <xdr:rowOff>180975</xdr:rowOff>
        </xdr:to>
        <xdr:grpSp>
          <xdr:nvGrpSpPr>
            <xdr:cNvPr id="50261" name="Group 85">
              <a:extLst>
                <a:ext uri="{FF2B5EF4-FFF2-40B4-BE49-F238E27FC236}">
                  <a16:creationId xmlns:a16="http://schemas.microsoft.com/office/drawing/2014/main" id="{00000000-0008-0000-0A00-000055C40000}"/>
                </a:ext>
              </a:extLst>
            </xdr:cNvPr>
            <xdr:cNvGrpSpPr>
              <a:grpSpLocks/>
            </xdr:cNvGrpSpPr>
          </xdr:nvGrpSpPr>
          <xdr:grpSpPr bwMode="auto">
            <a:xfrm>
              <a:off x="66675" y="40500300"/>
              <a:ext cx="542925" cy="371475"/>
              <a:chOff x="158781" y="121157"/>
              <a:chExt cx="5400" cy="3744"/>
            </a:xfrm>
          </xdr:grpSpPr>
          <xdr:sp macro="" textlink="">
            <xdr:nvSpPr>
              <xdr:cNvPr id="35" name="Button 73" hidden="1">
                <a:extLst>
                  <a:ext uri="{63B3BB69-23CF-44E3-9099-C40C66FF867C}">
                    <a14:compatExt spid="_x0000_s50249"/>
                  </a:ext>
                  <a:ext uri="{FF2B5EF4-FFF2-40B4-BE49-F238E27FC236}">
                    <a16:creationId xmlns:a16="http://schemas.microsoft.com/office/drawing/2014/main" id="{00000000-0008-0000-0A00-000023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6" name="Button 74" hidden="1">
                <a:extLst>
                  <a:ext uri="{63B3BB69-23CF-44E3-9099-C40C66FF867C}">
                    <a14:compatExt spid="_x0000_s50250"/>
                  </a:ext>
                  <a:ext uri="{FF2B5EF4-FFF2-40B4-BE49-F238E27FC236}">
                    <a16:creationId xmlns:a16="http://schemas.microsoft.com/office/drawing/2014/main" id="{00000000-0008-0000-0A00-000024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182</xdr:row>
          <xdr:rowOff>38100</xdr:rowOff>
        </xdr:from>
        <xdr:to>
          <xdr:col>0</xdr:col>
          <xdr:colOff>609600</xdr:colOff>
          <xdr:row>183</xdr:row>
          <xdr:rowOff>180975</xdr:rowOff>
        </xdr:to>
        <xdr:grpSp>
          <xdr:nvGrpSpPr>
            <xdr:cNvPr id="50267" name="Group 91">
              <a:extLst>
                <a:ext uri="{FF2B5EF4-FFF2-40B4-BE49-F238E27FC236}">
                  <a16:creationId xmlns:a16="http://schemas.microsoft.com/office/drawing/2014/main" id="{00000000-0008-0000-0A00-00005BC40000}"/>
                </a:ext>
              </a:extLst>
            </xdr:cNvPr>
            <xdr:cNvGrpSpPr>
              <a:grpSpLocks/>
            </xdr:cNvGrpSpPr>
          </xdr:nvGrpSpPr>
          <xdr:grpSpPr bwMode="auto">
            <a:xfrm>
              <a:off x="66675" y="41643300"/>
              <a:ext cx="542925" cy="371475"/>
              <a:chOff x="158781" y="121157"/>
              <a:chExt cx="5400" cy="3744"/>
            </a:xfrm>
          </xdr:grpSpPr>
          <xdr:sp macro="" textlink="">
            <xdr:nvSpPr>
              <xdr:cNvPr id="37" name="Button 89" hidden="1">
                <a:extLst>
                  <a:ext uri="{63B3BB69-23CF-44E3-9099-C40C66FF867C}">
                    <a14:compatExt spid="_x0000_s50265"/>
                  </a:ext>
                  <a:ext uri="{FF2B5EF4-FFF2-40B4-BE49-F238E27FC236}">
                    <a16:creationId xmlns:a16="http://schemas.microsoft.com/office/drawing/2014/main" id="{00000000-0008-0000-0A00-000025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8" name="Button 90" hidden="1">
                <a:extLst>
                  <a:ext uri="{63B3BB69-23CF-44E3-9099-C40C66FF867C}">
                    <a14:compatExt spid="_x0000_s50266"/>
                  </a:ext>
                  <a:ext uri="{FF2B5EF4-FFF2-40B4-BE49-F238E27FC236}">
                    <a16:creationId xmlns:a16="http://schemas.microsoft.com/office/drawing/2014/main" id="{00000000-0008-0000-0A00-000026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0</xdr:rowOff>
        </xdr:from>
        <xdr:to>
          <xdr:col>0</xdr:col>
          <xdr:colOff>609600</xdr:colOff>
          <xdr:row>187</xdr:row>
          <xdr:rowOff>0</xdr:rowOff>
        </xdr:to>
        <xdr:grpSp>
          <xdr:nvGrpSpPr>
            <xdr:cNvPr id="50273" name="Group 97">
              <a:extLst>
                <a:ext uri="{FF2B5EF4-FFF2-40B4-BE49-F238E27FC236}">
                  <a16:creationId xmlns:a16="http://schemas.microsoft.com/office/drawing/2014/main" id="{00000000-0008-0000-0A00-000061C40000}"/>
                </a:ext>
              </a:extLst>
            </xdr:cNvPr>
            <xdr:cNvGrpSpPr>
              <a:grpSpLocks/>
            </xdr:cNvGrpSpPr>
          </xdr:nvGrpSpPr>
          <xdr:grpSpPr bwMode="auto">
            <a:xfrm>
              <a:off x="66675" y="42748200"/>
              <a:ext cx="542925" cy="0"/>
              <a:chOff x="158781" y="0"/>
              <a:chExt cx="182056" cy="0"/>
            </a:xfrm>
          </xdr:grpSpPr>
          <xdr:sp macro="" textlink="">
            <xdr:nvSpPr>
              <xdr:cNvPr id="50271" name="Button 95" hidden="1">
                <a:extLst>
                  <a:ext uri="{63B3BB69-23CF-44E3-9099-C40C66FF867C}">
                    <a14:compatExt spid="_x0000_s50271"/>
                  </a:ext>
                  <a:ext uri="{FF2B5EF4-FFF2-40B4-BE49-F238E27FC236}">
                    <a16:creationId xmlns:a16="http://schemas.microsoft.com/office/drawing/2014/main" id="{00000000-0008-0000-0A00-00005FC40000}"/>
                  </a:ext>
                </a:extLst>
              </xdr:cNvPr>
              <xdr:cNvSpPr/>
            </xdr:nvSpPr>
            <xdr:spPr bwMode="auto">
              <a:xfrm>
                <a:off x="335437"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2" name="Button 96" hidden="1">
                <a:extLst>
                  <a:ext uri="{63B3BB69-23CF-44E3-9099-C40C66FF867C}">
                    <a14:compatExt spid="_x0000_s50272"/>
                  </a:ext>
                  <a:ext uri="{FF2B5EF4-FFF2-40B4-BE49-F238E27FC236}">
                    <a16:creationId xmlns:a16="http://schemas.microsoft.com/office/drawing/2014/main" id="{00000000-0008-0000-0A00-000060C40000}"/>
                  </a:ext>
                </a:extLst>
              </xdr:cNvPr>
              <xdr:cNvSpPr/>
            </xdr:nvSpPr>
            <xdr:spPr bwMode="auto">
              <a:xfrm>
                <a:off x="158781"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38100</xdr:rowOff>
        </xdr:from>
        <xdr:to>
          <xdr:col>0</xdr:col>
          <xdr:colOff>609600</xdr:colOff>
          <xdr:row>188</xdr:row>
          <xdr:rowOff>180975</xdr:rowOff>
        </xdr:to>
        <xdr:grpSp>
          <xdr:nvGrpSpPr>
            <xdr:cNvPr id="50279" name="Group 103">
              <a:extLst>
                <a:ext uri="{FF2B5EF4-FFF2-40B4-BE49-F238E27FC236}">
                  <a16:creationId xmlns:a16="http://schemas.microsoft.com/office/drawing/2014/main" id="{00000000-0008-0000-0A00-000067C40000}"/>
                </a:ext>
              </a:extLst>
            </xdr:cNvPr>
            <xdr:cNvGrpSpPr>
              <a:grpSpLocks/>
            </xdr:cNvGrpSpPr>
          </xdr:nvGrpSpPr>
          <xdr:grpSpPr bwMode="auto">
            <a:xfrm>
              <a:off x="66675" y="42786300"/>
              <a:ext cx="542925" cy="371475"/>
              <a:chOff x="158781" y="121157"/>
              <a:chExt cx="5400" cy="3744"/>
            </a:xfrm>
          </xdr:grpSpPr>
          <xdr:sp macro="" textlink="">
            <xdr:nvSpPr>
              <xdr:cNvPr id="39" name="Button 101" hidden="1">
                <a:extLst>
                  <a:ext uri="{63B3BB69-23CF-44E3-9099-C40C66FF867C}">
                    <a14:compatExt spid="_x0000_s50277"/>
                  </a:ext>
                  <a:ext uri="{FF2B5EF4-FFF2-40B4-BE49-F238E27FC236}">
                    <a16:creationId xmlns:a16="http://schemas.microsoft.com/office/drawing/2014/main" id="{00000000-0008-0000-0A00-000027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0" name="Button 102" hidden="1">
                <a:extLst>
                  <a:ext uri="{63B3BB69-23CF-44E3-9099-C40C66FF867C}">
                    <a14:compatExt spid="_x0000_s50278"/>
                  </a:ext>
                  <a:ext uri="{FF2B5EF4-FFF2-40B4-BE49-F238E27FC236}">
                    <a16:creationId xmlns:a16="http://schemas.microsoft.com/office/drawing/2014/main" id="{00000000-0008-0000-0A00-000028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192</xdr:row>
          <xdr:rowOff>38100</xdr:rowOff>
        </xdr:from>
        <xdr:to>
          <xdr:col>0</xdr:col>
          <xdr:colOff>609600</xdr:colOff>
          <xdr:row>193</xdr:row>
          <xdr:rowOff>180975</xdr:rowOff>
        </xdr:to>
        <xdr:grpSp>
          <xdr:nvGrpSpPr>
            <xdr:cNvPr id="50289" name="Group 113">
              <a:extLst>
                <a:ext uri="{FF2B5EF4-FFF2-40B4-BE49-F238E27FC236}">
                  <a16:creationId xmlns:a16="http://schemas.microsoft.com/office/drawing/2014/main" id="{00000000-0008-0000-0A00-000071C40000}"/>
                </a:ext>
              </a:extLst>
            </xdr:cNvPr>
            <xdr:cNvGrpSpPr>
              <a:grpSpLocks/>
            </xdr:cNvGrpSpPr>
          </xdr:nvGrpSpPr>
          <xdr:grpSpPr bwMode="auto">
            <a:xfrm>
              <a:off x="66675" y="43929300"/>
              <a:ext cx="542925" cy="371475"/>
              <a:chOff x="158781" y="121157"/>
              <a:chExt cx="5400" cy="3744"/>
            </a:xfrm>
          </xdr:grpSpPr>
          <xdr:sp macro="" textlink="">
            <xdr:nvSpPr>
              <xdr:cNvPr id="41" name="Button 107" hidden="1">
                <a:extLst>
                  <a:ext uri="{63B3BB69-23CF-44E3-9099-C40C66FF867C}">
                    <a14:compatExt spid="_x0000_s50283"/>
                  </a:ext>
                  <a:ext uri="{FF2B5EF4-FFF2-40B4-BE49-F238E27FC236}">
                    <a16:creationId xmlns:a16="http://schemas.microsoft.com/office/drawing/2014/main" id="{00000000-0008-0000-0A00-000029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2" name="Button 108" hidden="1">
                <a:extLst>
                  <a:ext uri="{63B3BB69-23CF-44E3-9099-C40C66FF867C}">
                    <a14:compatExt spid="_x0000_s50284"/>
                  </a:ext>
                  <a:ext uri="{FF2B5EF4-FFF2-40B4-BE49-F238E27FC236}">
                    <a16:creationId xmlns:a16="http://schemas.microsoft.com/office/drawing/2014/main" id="{00000000-0008-0000-0A00-00002A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2047875</xdr:colOff>
          <xdr:row>2</xdr:row>
          <xdr:rowOff>9525</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790575" y="104775"/>
              <a:ext cx="1990725" cy="361950"/>
              <a:chOff x="8191500" y="3409950"/>
              <a:chExt cx="1990725" cy="361950"/>
            </a:xfrm>
          </xdr:grpSpPr>
          <xdr:grpSp>
            <xdr:nvGrpSpPr>
              <xdr:cNvPr id="13" name="Group 12">
                <a:extLst>
                  <a:ext uri="{FF2B5EF4-FFF2-40B4-BE49-F238E27FC236}">
                    <a16:creationId xmlns:a16="http://schemas.microsoft.com/office/drawing/2014/main" id="{00000000-0008-0000-0B00-00000D000000}"/>
                  </a:ext>
                </a:extLst>
              </xdr:cNvPr>
              <xdr:cNvGrpSpPr/>
            </xdr:nvGrpSpPr>
            <xdr:grpSpPr>
              <a:xfrm>
                <a:off x="8302013" y="3452813"/>
                <a:ext cx="1769699" cy="276225"/>
                <a:chOff x="8305801" y="3457575"/>
                <a:chExt cx="1769699" cy="276225"/>
              </a:xfrm>
            </xdr:grpSpPr>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3" name="Option Button 3" hidden="1">
                  <a:extLst>
                    <a:ext uri="{63B3BB69-23CF-44E3-9099-C40C66FF867C}">
                      <a14:compatExt spid="_x0000_s51203"/>
                    </a:ext>
                    <a:ext uri="{FF2B5EF4-FFF2-40B4-BE49-F238E27FC236}">
                      <a16:creationId xmlns:a16="http://schemas.microsoft.com/office/drawing/2014/main" id="{00000000-0008-0000-0B00-000003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4" name="Option Button 4" hidden="1">
                  <a:extLst>
                    <a:ext uri="{63B3BB69-23CF-44E3-9099-C40C66FF867C}">
                      <a14:compatExt spid="_x0000_s51204"/>
                    </a:ext>
                    <a:ext uri="{FF2B5EF4-FFF2-40B4-BE49-F238E27FC236}">
                      <a16:creationId xmlns:a16="http://schemas.microsoft.com/office/drawing/2014/main" id="{00000000-0008-0000-0B00-000004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05" name="Group Box 5" hidden="1">
                <a:extLst>
                  <a:ext uri="{63B3BB69-23CF-44E3-9099-C40C66FF867C}">
                    <a14:compatExt spid="_x0000_s51205"/>
                  </a:ext>
                  <a:ext uri="{FF2B5EF4-FFF2-40B4-BE49-F238E27FC236}">
                    <a16:creationId xmlns:a16="http://schemas.microsoft.com/office/drawing/2014/main" id="{00000000-0008-0000-0B00-000005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0</xdr:row>
          <xdr:rowOff>47625</xdr:rowOff>
        </xdr:from>
        <xdr:to>
          <xdr:col>19</xdr:col>
          <xdr:colOff>400050</xdr:colOff>
          <xdr:row>1</xdr:row>
          <xdr:rowOff>76200</xdr:rowOff>
        </xdr:to>
        <xdr:grpSp>
          <xdr:nvGrpSpPr>
            <xdr:cNvPr id="2" name="Group 10">
              <a:extLst>
                <a:ext uri="{FF2B5EF4-FFF2-40B4-BE49-F238E27FC236}">
                  <a16:creationId xmlns:a16="http://schemas.microsoft.com/office/drawing/2014/main" id="{00000000-0008-0000-0B00-000002000000}"/>
                </a:ext>
              </a:extLst>
            </xdr:cNvPr>
            <xdr:cNvGrpSpPr>
              <a:grpSpLocks/>
            </xdr:cNvGrpSpPr>
          </xdr:nvGrpSpPr>
          <xdr:grpSpPr bwMode="auto">
            <a:xfrm>
              <a:off x="17421225" y="47625"/>
              <a:ext cx="771525" cy="257175"/>
              <a:chOff x="187261" y="17811"/>
              <a:chExt cx="7696" cy="2572"/>
            </a:xfrm>
          </xdr:grpSpPr>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0B00-000006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B00-000007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304800</xdr:colOff>
          <xdr:row>0</xdr:row>
          <xdr:rowOff>28575</xdr:rowOff>
        </xdr:from>
        <xdr:to>
          <xdr:col>22</xdr:col>
          <xdr:colOff>390525</xdr:colOff>
          <xdr:row>1</xdr:row>
          <xdr:rowOff>57150</xdr:rowOff>
        </xdr:to>
        <xdr:grpSp>
          <xdr:nvGrpSpPr>
            <xdr:cNvPr id="3" name="Group 10">
              <a:extLst>
                <a:ext uri="{FF2B5EF4-FFF2-40B4-BE49-F238E27FC236}">
                  <a16:creationId xmlns:a16="http://schemas.microsoft.com/office/drawing/2014/main" id="{00000000-0008-0000-0B00-000003000000}"/>
                </a:ext>
              </a:extLst>
            </xdr:cNvPr>
            <xdr:cNvGrpSpPr>
              <a:grpSpLocks/>
            </xdr:cNvGrpSpPr>
          </xdr:nvGrpSpPr>
          <xdr:grpSpPr bwMode="auto">
            <a:xfrm>
              <a:off x="20774025" y="28575"/>
              <a:ext cx="771525" cy="257175"/>
              <a:chOff x="187261" y="17811"/>
              <a:chExt cx="7696" cy="2572"/>
            </a:xfrm>
          </xdr:grpSpPr>
          <xdr:sp macro="" textlink="">
            <xdr:nvSpPr>
              <xdr:cNvPr id="51208" name="Button 8" hidden="1">
                <a:extLst>
                  <a:ext uri="{63B3BB69-23CF-44E3-9099-C40C66FF867C}">
                    <a14:compatExt spid="_x0000_s51208"/>
                  </a:ext>
                  <a:ext uri="{FF2B5EF4-FFF2-40B4-BE49-F238E27FC236}">
                    <a16:creationId xmlns:a16="http://schemas.microsoft.com/office/drawing/2014/main" id="{00000000-0008-0000-0B00-000008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9" name="Button 9" hidden="1">
                <a:extLst>
                  <a:ext uri="{63B3BB69-23CF-44E3-9099-C40C66FF867C}">
                    <a14:compatExt spid="_x0000_s51209"/>
                  </a:ext>
                  <a:ext uri="{FF2B5EF4-FFF2-40B4-BE49-F238E27FC236}">
                    <a16:creationId xmlns:a16="http://schemas.microsoft.com/office/drawing/2014/main" id="{00000000-0008-0000-0B00-000009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19051</xdr:colOff>
          <xdr:row>0</xdr:row>
          <xdr:rowOff>104775</xdr:rowOff>
        </xdr:from>
        <xdr:to>
          <xdr:col>8</xdr:col>
          <xdr:colOff>3124200</xdr:colOff>
          <xdr:row>2</xdr:row>
          <xdr:rowOff>9525</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797242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C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C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C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C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C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C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C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C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C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C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C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C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C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10</xdr:col>
      <xdr:colOff>152400</xdr:colOff>
      <xdr:row>0</xdr:row>
      <xdr:rowOff>114300</xdr:rowOff>
    </xdr:from>
    <xdr:to>
      <xdr:col>10</xdr:col>
      <xdr:colOff>921975</xdr:colOff>
      <xdr:row>1</xdr:row>
      <xdr:rowOff>142875</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274445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C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C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15</xdr:col>
          <xdr:colOff>152400</xdr:colOff>
          <xdr:row>0</xdr:row>
          <xdr:rowOff>114300</xdr:rowOff>
        </xdr:from>
        <xdr:to>
          <xdr:col>15</xdr:col>
          <xdr:colOff>923925</xdr:colOff>
          <xdr:row>1</xdr:row>
          <xdr:rowOff>142875</xdr:rowOff>
        </xdr:to>
        <xdr:grpSp>
          <xdr:nvGrpSpPr>
            <xdr:cNvPr id="52237" name="Group 10">
              <a:extLst>
                <a:ext uri="{FF2B5EF4-FFF2-40B4-BE49-F238E27FC236}">
                  <a16:creationId xmlns:a16="http://schemas.microsoft.com/office/drawing/2014/main" id="{00000000-0008-0000-0C00-00000DCC0000}"/>
                </a:ext>
              </a:extLst>
            </xdr:cNvPr>
            <xdr:cNvGrpSpPr>
              <a:grpSpLocks/>
            </xdr:cNvGrpSpPr>
          </xdr:nvGrpSpPr>
          <xdr:grpSpPr bwMode="auto">
            <a:xfrm>
              <a:off x="17830800" y="114300"/>
              <a:ext cx="771525" cy="257175"/>
              <a:chOff x="18725693"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C00-00000ECC0000}"/>
                  </a:ext>
                </a:extLst>
              </xdr:cNvPr>
              <xdr:cNvSpPr/>
            </xdr:nvSpPr>
            <xdr:spPr bwMode="auto">
              <a:xfrm>
                <a:off x="18725693"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C00-00000FCC0000}"/>
                  </a:ext>
                </a:extLst>
              </xdr:cNvPr>
              <xdr:cNvSpPr/>
            </xdr:nvSpPr>
            <xdr:spPr bwMode="auto">
              <a:xfrm>
                <a:off x="19135292"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0</xdr:row>
          <xdr:rowOff>114300</xdr:rowOff>
        </xdr:from>
        <xdr:to>
          <xdr:col>10</xdr:col>
          <xdr:colOff>923925</xdr:colOff>
          <xdr:row>1</xdr:row>
          <xdr:rowOff>142875</xdr:rowOff>
        </xdr:to>
        <xdr:grpSp>
          <xdr:nvGrpSpPr>
            <xdr:cNvPr id="52236" name="Group 10">
              <a:extLst>
                <a:ext uri="{FF2B5EF4-FFF2-40B4-BE49-F238E27FC236}">
                  <a16:creationId xmlns:a16="http://schemas.microsoft.com/office/drawing/2014/main" id="{00000000-0008-0000-0C00-00000CCC0000}"/>
                </a:ext>
              </a:extLst>
            </xdr:cNvPr>
            <xdr:cNvGrpSpPr>
              <a:grpSpLocks/>
            </xdr:cNvGrpSpPr>
          </xdr:nvGrpSpPr>
          <xdr:grpSpPr bwMode="auto">
            <a:xfrm>
              <a:off x="1274445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C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C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619125</xdr:colOff>
          <xdr:row>20</xdr:row>
          <xdr:rowOff>142875</xdr:rowOff>
        </xdr:from>
        <xdr:to>
          <xdr:col>19</xdr:col>
          <xdr:colOff>704850</xdr:colOff>
          <xdr:row>21</xdr:row>
          <xdr:rowOff>171450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6229350" y="4714875"/>
              <a:ext cx="990600" cy="257175"/>
              <a:chOff x="3324225" y="361950"/>
              <a:chExt cx="990600" cy="257175"/>
            </a:xfrm>
          </xdr:grpSpPr>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D00-000009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D00-00000A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20</xdr:row>
          <xdr:rowOff>0</xdr:rowOff>
        </xdr:from>
        <xdr:to>
          <xdr:col>38</xdr:col>
          <xdr:colOff>133350</xdr:colOff>
          <xdr:row>21</xdr:row>
          <xdr:rowOff>28575</xdr:rowOff>
        </xdr:to>
        <xdr:sp macro="" textlink="">
          <xdr:nvSpPr>
            <xdr:cNvPr id="53263" name="Button 15" hidden="1">
              <a:extLst>
                <a:ext uri="{63B3BB69-23CF-44E3-9099-C40C66FF867C}">
                  <a14:compatExt spid="_x0000_s53263"/>
                </a:ext>
                <a:ext uri="{FF2B5EF4-FFF2-40B4-BE49-F238E27FC236}">
                  <a16:creationId xmlns:a16="http://schemas.microsoft.com/office/drawing/2014/main" id="{00000000-0008-0000-0D00-00000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57151</xdr:colOff>
          <xdr:row>0</xdr:row>
          <xdr:rowOff>104775</xdr:rowOff>
        </xdr:from>
        <xdr:to>
          <xdr:col>16</xdr:col>
          <xdr:colOff>57150</xdr:colOff>
          <xdr:row>2</xdr:row>
          <xdr:rowOff>9525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333501" y="1047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D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D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D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D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D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D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D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D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D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20</xdr:row>
          <xdr:rowOff>104775</xdr:rowOff>
        </xdr:from>
        <xdr:to>
          <xdr:col>11</xdr:col>
          <xdr:colOff>1038225</xdr:colOff>
          <xdr:row>21</xdr:row>
          <xdr:rowOff>133350</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238125" y="4676775"/>
              <a:ext cx="990600"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D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D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628650</xdr:colOff>
          <xdr:row>20</xdr:row>
          <xdr:rowOff>161925</xdr:rowOff>
        </xdr:from>
        <xdr:to>
          <xdr:col>26</xdr:col>
          <xdr:colOff>790575</xdr:colOff>
          <xdr:row>21</xdr:row>
          <xdr:rowOff>190500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11687175" y="4733925"/>
              <a:ext cx="990600" cy="257175"/>
              <a:chOff x="3324225" y="361950"/>
              <a:chExt cx="990600" cy="257175"/>
            </a:xfrm>
          </xdr:grpSpPr>
          <xdr:sp macro="" textlink="">
            <xdr:nvSpPr>
              <xdr:cNvPr id="53279" name="Button 31" hidden="1">
                <a:extLst>
                  <a:ext uri="{63B3BB69-23CF-44E3-9099-C40C66FF867C}">
                    <a14:compatExt spid="_x0000_s53279"/>
                  </a:ext>
                  <a:ext uri="{FF2B5EF4-FFF2-40B4-BE49-F238E27FC236}">
                    <a16:creationId xmlns:a16="http://schemas.microsoft.com/office/drawing/2014/main" id="{00000000-0008-0000-0D00-00001F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0" name="Button 32" hidden="1">
                <a:extLst>
                  <a:ext uri="{63B3BB69-23CF-44E3-9099-C40C66FF867C}">
                    <a14:compatExt spid="_x0000_s53280"/>
                  </a:ext>
                  <a:ext uri="{FF2B5EF4-FFF2-40B4-BE49-F238E27FC236}">
                    <a16:creationId xmlns:a16="http://schemas.microsoft.com/office/drawing/2014/main" id="{00000000-0008-0000-0D00-000020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114300</xdr:colOff>
          <xdr:row>18</xdr:row>
          <xdr:rowOff>171450</xdr:rowOff>
        </xdr:from>
        <xdr:to>
          <xdr:col>34</xdr:col>
          <xdr:colOff>95250</xdr:colOff>
          <xdr:row>19</xdr:row>
          <xdr:rowOff>200025</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6735425" y="4286250"/>
              <a:ext cx="990600" cy="257175"/>
              <a:chOff x="3324225" y="361950"/>
              <a:chExt cx="990600" cy="257175"/>
            </a:xfrm>
          </xdr:grpSpPr>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D00-000021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2" name="Button 34" hidden="1">
                <a:extLst>
                  <a:ext uri="{63B3BB69-23CF-44E3-9099-C40C66FF867C}">
                    <a14:compatExt spid="_x0000_s53282"/>
                  </a:ext>
                  <a:ext uri="{FF2B5EF4-FFF2-40B4-BE49-F238E27FC236}">
                    <a16:creationId xmlns:a16="http://schemas.microsoft.com/office/drawing/2014/main" id="{00000000-0008-0000-0D00-000022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31</xdr:col>
      <xdr:colOff>47625</xdr:colOff>
      <xdr:row>2</xdr:row>
      <xdr:rowOff>152400</xdr:rowOff>
    </xdr:from>
    <xdr:to>
      <xdr:col>39</xdr:col>
      <xdr:colOff>190500</xdr:colOff>
      <xdr:row>18</xdr:row>
      <xdr:rowOff>94800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161925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447675</xdr:colOff>
          <xdr:row>0</xdr:row>
          <xdr:rowOff>161925</xdr:rowOff>
        </xdr:from>
        <xdr:to>
          <xdr:col>1</xdr:col>
          <xdr:colOff>1504950</xdr:colOff>
          <xdr:row>4</xdr:row>
          <xdr:rowOff>47625</xdr:rowOff>
        </xdr:to>
        <xdr:grpSp>
          <xdr:nvGrpSpPr>
            <xdr:cNvPr id="4" name="Group 3">
              <a:extLst>
                <a:ext uri="{FF2B5EF4-FFF2-40B4-BE49-F238E27FC236}">
                  <a16:creationId xmlns:a16="http://schemas.microsoft.com/office/drawing/2014/main" id="{00000000-0008-0000-0E00-000004000000}"/>
                </a:ext>
              </a:extLst>
            </xdr:cNvPr>
            <xdr:cNvGrpSpPr/>
          </xdr:nvGrpSpPr>
          <xdr:grpSpPr>
            <a:xfrm>
              <a:off x="447675" y="161925"/>
              <a:ext cx="1990725" cy="762000"/>
              <a:chOff x="2105025" y="5133975"/>
              <a:chExt cx="1990725" cy="762000"/>
            </a:xfrm>
          </xdr:grpSpPr>
          <xdr:grpSp>
            <xdr:nvGrpSpPr>
              <xdr:cNvPr id="8" name="Group 7">
                <a:extLst>
                  <a:ext uri="{FF2B5EF4-FFF2-40B4-BE49-F238E27FC236}">
                    <a16:creationId xmlns:a16="http://schemas.microsoft.com/office/drawing/2014/main" id="{00000000-0008-0000-0E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E00-00000B000000}"/>
                    </a:ext>
                  </a:extLst>
                </xdr:cNvPr>
                <xdr:cNvGrpSpPr/>
              </xdr:nvGrpSpPr>
              <xdr:grpSpPr>
                <a:xfrm>
                  <a:off x="8302013" y="3452813"/>
                  <a:ext cx="1769699" cy="276225"/>
                  <a:chOff x="8305801" y="3457575"/>
                  <a:chExt cx="1769699" cy="276225"/>
                </a:xfrm>
              </xdr:grpSpPr>
              <xdr:sp macro="" textlink="">
                <xdr:nvSpPr>
                  <xdr:cNvPr id="54279" name="Option Button 7" hidden="1">
                    <a:extLst>
                      <a:ext uri="{63B3BB69-23CF-44E3-9099-C40C66FF867C}">
                        <a14:compatExt spid="_x0000_s54279"/>
                      </a:ext>
                      <a:ext uri="{FF2B5EF4-FFF2-40B4-BE49-F238E27FC236}">
                        <a16:creationId xmlns:a16="http://schemas.microsoft.com/office/drawing/2014/main" id="{00000000-0008-0000-0E00-000007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80" name="Option Button 8" hidden="1">
                    <a:extLst>
                      <a:ext uri="{63B3BB69-23CF-44E3-9099-C40C66FF867C}">
                        <a14:compatExt spid="_x0000_s54280"/>
                      </a:ext>
                      <a:ext uri="{FF2B5EF4-FFF2-40B4-BE49-F238E27FC236}">
                        <a16:creationId xmlns:a16="http://schemas.microsoft.com/office/drawing/2014/main" id="{00000000-0008-0000-0E00-000008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81" name="Option Button 9" hidden="1">
                    <a:extLst>
                      <a:ext uri="{63B3BB69-23CF-44E3-9099-C40C66FF867C}">
                        <a14:compatExt spid="_x0000_s54281"/>
                      </a:ext>
                      <a:ext uri="{FF2B5EF4-FFF2-40B4-BE49-F238E27FC236}">
                        <a16:creationId xmlns:a16="http://schemas.microsoft.com/office/drawing/2014/main" id="{00000000-0008-0000-0E00-000009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82" name="Option Button 10" hidden="1">
                    <a:extLst>
                      <a:ext uri="{63B3BB69-23CF-44E3-9099-C40C66FF867C}">
                        <a14:compatExt spid="_x0000_s54282"/>
                      </a:ext>
                      <a:ext uri="{FF2B5EF4-FFF2-40B4-BE49-F238E27FC236}">
                        <a16:creationId xmlns:a16="http://schemas.microsoft.com/office/drawing/2014/main" id="{00000000-0008-0000-0E00-00000A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83" name="Group Box 11" hidden="1">
                  <a:extLst>
                    <a:ext uri="{63B3BB69-23CF-44E3-9099-C40C66FF867C}">
                      <a14:compatExt spid="_x0000_s54283"/>
                    </a:ext>
                    <a:ext uri="{FF2B5EF4-FFF2-40B4-BE49-F238E27FC236}">
                      <a16:creationId xmlns:a16="http://schemas.microsoft.com/office/drawing/2014/main" id="{00000000-0008-0000-0E00-00000B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E00-000009000000}"/>
                  </a:ext>
                </a:extLst>
              </xdr:cNvPr>
              <xdr:cNvGrpSpPr/>
            </xdr:nvGrpSpPr>
            <xdr:grpSpPr>
              <a:xfrm>
                <a:off x="2105025" y="5133975"/>
                <a:ext cx="1657350" cy="361950"/>
                <a:chOff x="6162676" y="3409950"/>
                <a:chExt cx="1657350" cy="361950"/>
              </a:xfrm>
            </xdr:grpSpPr>
            <xdr:sp macro="" textlink="">
              <xdr:nvSpPr>
                <xdr:cNvPr id="54284" name="Group Box 12" hidden="1">
                  <a:extLst>
                    <a:ext uri="{63B3BB69-23CF-44E3-9099-C40C66FF867C}">
                      <a14:compatExt spid="_x0000_s54284"/>
                    </a:ext>
                    <a:ext uri="{FF2B5EF4-FFF2-40B4-BE49-F238E27FC236}">
                      <a16:creationId xmlns:a16="http://schemas.microsoft.com/office/drawing/2014/main" id="{00000000-0008-0000-0E00-00000C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E00-00000A000000}"/>
                    </a:ext>
                  </a:extLst>
                </xdr:cNvPr>
                <xdr:cNvGrpSpPr/>
              </xdr:nvGrpSpPr>
              <xdr:grpSpPr>
                <a:xfrm>
                  <a:off x="6243639" y="3500925"/>
                  <a:ext cx="1495425" cy="180000"/>
                  <a:chOff x="6029325" y="4257675"/>
                  <a:chExt cx="1495425" cy="257175"/>
                </a:xfrm>
              </xdr:grpSpPr>
              <xdr:sp macro="" textlink="">
                <xdr:nvSpPr>
                  <xdr:cNvPr id="54285" name="Button 13" hidden="1">
                    <a:extLst>
                      <a:ext uri="{63B3BB69-23CF-44E3-9099-C40C66FF867C}">
                        <a14:compatExt spid="_x0000_s54285"/>
                      </a:ext>
                      <a:ext uri="{FF2B5EF4-FFF2-40B4-BE49-F238E27FC236}">
                        <a16:creationId xmlns:a16="http://schemas.microsoft.com/office/drawing/2014/main" id="{00000000-0008-0000-0E00-00000D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286" name="Button 14" hidden="1">
                    <a:extLst>
                      <a:ext uri="{63B3BB69-23CF-44E3-9099-C40C66FF867C}">
                        <a14:compatExt spid="_x0000_s54286"/>
                      </a:ext>
                      <a:ext uri="{FF2B5EF4-FFF2-40B4-BE49-F238E27FC236}">
                        <a16:creationId xmlns:a16="http://schemas.microsoft.com/office/drawing/2014/main" id="{00000000-0008-0000-0E00-00000E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287" name="Button 15" hidden="1">
                    <a:extLst>
                      <a:ext uri="{63B3BB69-23CF-44E3-9099-C40C66FF867C}">
                        <a14:compatExt spid="_x0000_s54287"/>
                      </a:ext>
                      <a:ext uri="{FF2B5EF4-FFF2-40B4-BE49-F238E27FC236}">
                        <a16:creationId xmlns:a16="http://schemas.microsoft.com/office/drawing/2014/main" id="{00000000-0008-0000-0E00-00000F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22</xdr:row>
          <xdr:rowOff>66675</xdr:rowOff>
        </xdr:from>
        <xdr:to>
          <xdr:col>1</xdr:col>
          <xdr:colOff>1295400</xdr:colOff>
          <xdr:row>23</xdr:row>
          <xdr:rowOff>104775</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38250" y="4886325"/>
              <a:ext cx="99060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E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E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22</xdr:row>
          <xdr:rowOff>38100</xdr:rowOff>
        </xdr:from>
        <xdr:to>
          <xdr:col>9</xdr:col>
          <xdr:colOff>180975</xdr:colOff>
          <xdr:row>23</xdr:row>
          <xdr:rowOff>76200</xdr:rowOff>
        </xdr:to>
        <xdr:grpSp>
          <xdr:nvGrpSpPr>
            <xdr:cNvPr id="24" name="Group 23">
              <a:extLst>
                <a:ext uri="{FF2B5EF4-FFF2-40B4-BE49-F238E27FC236}">
                  <a16:creationId xmlns:a16="http://schemas.microsoft.com/office/drawing/2014/main" id="{00000000-0008-0000-0E00-000018000000}"/>
                </a:ext>
              </a:extLst>
            </xdr:cNvPr>
            <xdr:cNvGrpSpPr/>
          </xdr:nvGrpSpPr>
          <xdr:grpSpPr>
            <a:xfrm>
              <a:off x="7915275" y="4857750"/>
              <a:ext cx="1095375" cy="257175"/>
              <a:chOff x="8201025" y="3448050"/>
              <a:chExt cx="1095375" cy="257175"/>
            </a:xfrm>
          </xdr:grpSpPr>
          <xdr:sp macro="" textlink="">
            <xdr:nvSpPr>
              <xdr:cNvPr id="54290" name="Button 18" hidden="1">
                <a:extLst>
                  <a:ext uri="{63B3BB69-23CF-44E3-9099-C40C66FF867C}">
                    <a14:compatExt spid="_x0000_s54290"/>
                  </a:ext>
                  <a:ext uri="{FF2B5EF4-FFF2-40B4-BE49-F238E27FC236}">
                    <a16:creationId xmlns:a16="http://schemas.microsoft.com/office/drawing/2014/main" id="{00000000-0008-0000-0E00-000012D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4291" name="Button 19" hidden="1">
                <a:extLst>
                  <a:ext uri="{63B3BB69-23CF-44E3-9099-C40C66FF867C}">
                    <a14:compatExt spid="_x0000_s54291"/>
                  </a:ext>
                  <a:ext uri="{FF2B5EF4-FFF2-40B4-BE49-F238E27FC236}">
                    <a16:creationId xmlns:a16="http://schemas.microsoft.com/office/drawing/2014/main" id="{00000000-0008-0000-0E00-000013D4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628651</xdr:colOff>
      <xdr:row>5</xdr:row>
      <xdr:rowOff>0</xdr:rowOff>
    </xdr:from>
    <xdr:to>
      <xdr:col>8</xdr:col>
      <xdr:colOff>38101</xdr:colOff>
      <xdr:row>21</xdr:row>
      <xdr:rowOff>94800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0</xdr:col>
      <xdr:colOff>657225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123825</xdr:colOff>
          <xdr:row>1</xdr:row>
          <xdr:rowOff>200025</xdr:rowOff>
        </xdr:from>
        <xdr:to>
          <xdr:col>1</xdr:col>
          <xdr:colOff>790575</xdr:colOff>
          <xdr:row>5</xdr:row>
          <xdr:rowOff>47625</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23825" y="428625"/>
              <a:ext cx="1990725" cy="762000"/>
              <a:chOff x="2105025" y="5133975"/>
              <a:chExt cx="1990725" cy="762000"/>
            </a:xfrm>
          </xdr:grpSpPr>
          <xdr:grpSp>
            <xdr:nvGrpSpPr>
              <xdr:cNvPr id="8" name="Group 7">
                <a:extLst>
                  <a:ext uri="{FF2B5EF4-FFF2-40B4-BE49-F238E27FC236}">
                    <a16:creationId xmlns:a16="http://schemas.microsoft.com/office/drawing/2014/main" id="{00000000-0008-0000-0F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F00-00000B000000}"/>
                    </a:ext>
                  </a:extLst>
                </xdr:cNvPr>
                <xdr:cNvGrpSpPr/>
              </xdr:nvGrpSpPr>
              <xdr:grpSpPr>
                <a:xfrm>
                  <a:off x="8302013" y="3452813"/>
                  <a:ext cx="1769699" cy="276225"/>
                  <a:chOff x="8305801" y="3457575"/>
                  <a:chExt cx="1769699" cy="276225"/>
                </a:xfrm>
              </xdr:grpSpPr>
              <xdr:sp macro="" textlink="">
                <xdr:nvSpPr>
                  <xdr:cNvPr id="55302" name="Option Button 6" hidden="1">
                    <a:extLst>
                      <a:ext uri="{63B3BB69-23CF-44E3-9099-C40C66FF867C}">
                        <a14:compatExt spid="_x0000_s55302"/>
                      </a:ext>
                      <a:ext uri="{FF2B5EF4-FFF2-40B4-BE49-F238E27FC236}">
                        <a16:creationId xmlns:a16="http://schemas.microsoft.com/office/drawing/2014/main" id="{00000000-0008-0000-0F00-000006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03" name="Option Button 7" hidden="1">
                    <a:extLst>
                      <a:ext uri="{63B3BB69-23CF-44E3-9099-C40C66FF867C}">
                        <a14:compatExt spid="_x0000_s55303"/>
                      </a:ext>
                      <a:ext uri="{FF2B5EF4-FFF2-40B4-BE49-F238E27FC236}">
                        <a16:creationId xmlns:a16="http://schemas.microsoft.com/office/drawing/2014/main" id="{00000000-0008-0000-0F00-000007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04" name="Option Button 8" hidden="1">
                    <a:extLst>
                      <a:ext uri="{63B3BB69-23CF-44E3-9099-C40C66FF867C}">
                        <a14:compatExt spid="_x0000_s55304"/>
                      </a:ext>
                      <a:ext uri="{FF2B5EF4-FFF2-40B4-BE49-F238E27FC236}">
                        <a16:creationId xmlns:a16="http://schemas.microsoft.com/office/drawing/2014/main" id="{00000000-0008-0000-0F00-000008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05" name="Option Button 9" hidden="1">
                    <a:extLst>
                      <a:ext uri="{63B3BB69-23CF-44E3-9099-C40C66FF867C}">
                        <a14:compatExt spid="_x0000_s55305"/>
                      </a:ext>
                      <a:ext uri="{FF2B5EF4-FFF2-40B4-BE49-F238E27FC236}">
                        <a16:creationId xmlns:a16="http://schemas.microsoft.com/office/drawing/2014/main" id="{00000000-0008-0000-0F00-000009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06" name="Group Box 10" hidden="1">
                  <a:extLst>
                    <a:ext uri="{63B3BB69-23CF-44E3-9099-C40C66FF867C}">
                      <a14:compatExt spid="_x0000_s55306"/>
                    </a:ext>
                    <a:ext uri="{FF2B5EF4-FFF2-40B4-BE49-F238E27FC236}">
                      <a16:creationId xmlns:a16="http://schemas.microsoft.com/office/drawing/2014/main" id="{00000000-0008-0000-0F00-00000A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F00-000009000000}"/>
                  </a:ext>
                </a:extLst>
              </xdr:cNvPr>
              <xdr:cNvGrpSpPr/>
            </xdr:nvGrpSpPr>
            <xdr:grpSpPr>
              <a:xfrm>
                <a:off x="2105025" y="5133975"/>
                <a:ext cx="1657350" cy="361950"/>
                <a:chOff x="6162676" y="3409950"/>
                <a:chExt cx="1657350" cy="361950"/>
              </a:xfrm>
            </xdr:grpSpPr>
            <xdr:sp macro="" textlink="">
              <xdr:nvSpPr>
                <xdr:cNvPr id="55307" name="Group Box 11" hidden="1">
                  <a:extLst>
                    <a:ext uri="{63B3BB69-23CF-44E3-9099-C40C66FF867C}">
                      <a14:compatExt spid="_x0000_s55307"/>
                    </a:ext>
                    <a:ext uri="{FF2B5EF4-FFF2-40B4-BE49-F238E27FC236}">
                      <a16:creationId xmlns:a16="http://schemas.microsoft.com/office/drawing/2014/main" id="{00000000-0008-0000-0F00-00000B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F00-00000A000000}"/>
                    </a:ext>
                  </a:extLst>
                </xdr:cNvPr>
                <xdr:cNvGrpSpPr/>
              </xdr:nvGrpSpPr>
              <xdr:grpSpPr>
                <a:xfrm>
                  <a:off x="6243639" y="3500925"/>
                  <a:ext cx="1495425" cy="180000"/>
                  <a:chOff x="6029325" y="4257675"/>
                  <a:chExt cx="1495425" cy="257175"/>
                </a:xfrm>
              </xdr:grpSpPr>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0F00-00000C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09" name="Button 13" hidden="1">
                    <a:extLst>
                      <a:ext uri="{63B3BB69-23CF-44E3-9099-C40C66FF867C}">
                        <a14:compatExt spid="_x0000_s55309"/>
                      </a:ext>
                      <a:ext uri="{FF2B5EF4-FFF2-40B4-BE49-F238E27FC236}">
                        <a16:creationId xmlns:a16="http://schemas.microsoft.com/office/drawing/2014/main" id="{00000000-0008-0000-0F00-00000D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10" name="Button 14" hidden="1">
                    <a:extLst>
                      <a:ext uri="{63B3BB69-23CF-44E3-9099-C40C66FF867C}">
                        <a14:compatExt spid="_x0000_s55310"/>
                      </a:ext>
                      <a:ext uri="{FF2B5EF4-FFF2-40B4-BE49-F238E27FC236}">
                        <a16:creationId xmlns:a16="http://schemas.microsoft.com/office/drawing/2014/main" id="{00000000-0008-0000-0F00-00000E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26</xdr:row>
          <xdr:rowOff>38100</xdr:rowOff>
        </xdr:from>
        <xdr:to>
          <xdr:col>0</xdr:col>
          <xdr:colOff>1181100</xdr:colOff>
          <xdr:row>27</xdr:row>
          <xdr:rowOff>66675</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190500" y="5981700"/>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F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F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26</xdr:row>
          <xdr:rowOff>38100</xdr:rowOff>
        </xdr:from>
        <xdr:to>
          <xdr:col>9</xdr:col>
          <xdr:colOff>180975</xdr:colOff>
          <xdr:row>27</xdr:row>
          <xdr:rowOff>66675</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8124825" y="5981700"/>
              <a:ext cx="1095375" cy="257175"/>
              <a:chOff x="8201025" y="3448050"/>
              <a:chExt cx="1095375" cy="257175"/>
            </a:xfrm>
          </xdr:grpSpPr>
          <xdr:sp macro="" textlink="">
            <xdr:nvSpPr>
              <xdr:cNvPr id="55313" name="Button 17" hidden="1">
                <a:extLst>
                  <a:ext uri="{63B3BB69-23CF-44E3-9099-C40C66FF867C}">
                    <a14:compatExt spid="_x0000_s55313"/>
                  </a:ext>
                  <a:ext uri="{FF2B5EF4-FFF2-40B4-BE49-F238E27FC236}">
                    <a16:creationId xmlns:a16="http://schemas.microsoft.com/office/drawing/2014/main" id="{00000000-0008-0000-0F00-000011D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5314" name="Button 18" hidden="1">
                <a:extLst>
                  <a:ext uri="{63B3BB69-23CF-44E3-9099-C40C66FF867C}">
                    <a14:compatExt spid="_x0000_s55314"/>
                  </a:ext>
                  <a:ext uri="{FF2B5EF4-FFF2-40B4-BE49-F238E27FC236}">
                    <a16:creationId xmlns:a16="http://schemas.microsoft.com/office/drawing/2014/main" id="{00000000-0008-0000-0F00-000012D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981075</xdr:colOff>
      <xdr:row>9</xdr:row>
      <xdr:rowOff>133350</xdr:rowOff>
    </xdr:from>
    <xdr:to>
      <xdr:col>8</xdr:col>
      <xdr:colOff>133350</xdr:colOff>
      <xdr:row>25</xdr:row>
      <xdr:rowOff>75750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47625</xdr:rowOff>
        </xdr:from>
        <xdr:to>
          <xdr:col>6</xdr:col>
          <xdr:colOff>38100</xdr:colOff>
          <xdr:row>3</xdr:row>
          <xdr:rowOff>76200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933450" y="504825"/>
              <a:ext cx="1104900"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0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10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38100</xdr:colOff>
          <xdr:row>2</xdr:row>
          <xdr:rowOff>66675</xdr:rowOff>
        </xdr:from>
        <xdr:to>
          <xdr:col>18</xdr:col>
          <xdr:colOff>38100</xdr:colOff>
          <xdr:row>3</xdr:row>
          <xdr:rowOff>95250</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11991975" y="523875"/>
              <a:ext cx="1190625" cy="257175"/>
              <a:chOff x="8201025" y="3448050"/>
              <a:chExt cx="1190625" cy="257175"/>
            </a:xfrm>
          </xdr:grpSpPr>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000-000003D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1000-000004DC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4</xdr:col>
      <xdr:colOff>38100</xdr:colOff>
      <xdr:row>0</xdr:row>
      <xdr:rowOff>0</xdr:rowOff>
    </xdr:from>
    <xdr:to>
      <xdr:col>4</xdr:col>
      <xdr:colOff>638175</xdr:colOff>
      <xdr:row>2</xdr:row>
      <xdr:rowOff>142875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28576</xdr:colOff>
          <xdr:row>0</xdr:row>
          <xdr:rowOff>66675</xdr:rowOff>
        </xdr:from>
        <xdr:to>
          <xdr:col>8</xdr:col>
          <xdr:colOff>1000125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952501" y="66675"/>
              <a:ext cx="3695699" cy="361950"/>
              <a:chOff x="6162676" y="3409950"/>
              <a:chExt cx="3695699"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13" y="3452813"/>
                  <a:ext cx="1769699" cy="276225"/>
                  <a:chOff x="8305801" y="3457575"/>
                  <a:chExt cx="1769699"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1000-000006D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10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10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1000-000009D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1000-00000AD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6" y="3409950"/>
                <a:ext cx="1657350" cy="361950"/>
                <a:chOff x="6162676" y="3409950"/>
                <a:chExt cx="1657350"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1000-00000BD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25" cy="180000"/>
                  <a:chOff x="6029325" y="4257675"/>
                  <a:chExt cx="149542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1000-00000CD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10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000-00000ED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5</xdr:col>
      <xdr:colOff>9525</xdr:colOff>
      <xdr:row>4</xdr:row>
      <xdr:rowOff>171450</xdr:rowOff>
    </xdr:from>
    <xdr:to>
      <xdr:col>12</xdr:col>
      <xdr:colOff>65775</xdr:colOff>
      <xdr:row>20</xdr:row>
      <xdr:rowOff>113850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314325</xdr:colOff>
          <xdr:row>1</xdr:row>
          <xdr:rowOff>190500</xdr:rowOff>
        </xdr:from>
        <xdr:to>
          <xdr:col>11</xdr:col>
          <xdr:colOff>857250</xdr:colOff>
          <xdr:row>2</xdr:row>
          <xdr:rowOff>219075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0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12</xdr:col>
      <xdr:colOff>109537</xdr:colOff>
      <xdr:row>4</xdr:row>
      <xdr:rowOff>171450</xdr:rowOff>
    </xdr:from>
    <xdr:to>
      <xdr:col>15</xdr:col>
      <xdr:colOff>775837</xdr:colOff>
      <xdr:row>20</xdr:row>
      <xdr:rowOff>113850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76200</xdr:colOff>
          <xdr:row>0</xdr:row>
          <xdr:rowOff>76200</xdr:rowOff>
        </xdr:from>
        <xdr:to>
          <xdr:col>31</xdr:col>
          <xdr:colOff>600075</xdr:colOff>
          <xdr:row>1</xdr:row>
          <xdr:rowOff>104775</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12011025" y="76200"/>
              <a:ext cx="952500" cy="257175"/>
              <a:chOff x="8201025" y="3448050"/>
              <a:chExt cx="1190625" cy="257175"/>
            </a:xfrm>
          </xdr:grpSpPr>
          <xdr:sp macro="" textlink="">
            <xdr:nvSpPr>
              <xdr:cNvPr id="57381" name="Button 37" hidden="1">
                <a:extLst>
                  <a:ext uri="{63B3BB69-23CF-44E3-9099-C40C66FF867C}">
                    <a14:compatExt spid="_x0000_s57381"/>
                  </a:ext>
                  <a:ext uri="{FF2B5EF4-FFF2-40B4-BE49-F238E27FC236}">
                    <a16:creationId xmlns:a16="http://schemas.microsoft.com/office/drawing/2014/main" id="{00000000-0008-0000-1100-000025E0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2" name="Button 38" hidden="1">
                <a:extLst>
                  <a:ext uri="{63B3BB69-23CF-44E3-9099-C40C66FF867C}">
                    <a14:compatExt spid="_x0000_s57382"/>
                  </a:ext>
                  <a:ext uri="{FF2B5EF4-FFF2-40B4-BE49-F238E27FC236}">
                    <a16:creationId xmlns:a16="http://schemas.microsoft.com/office/drawing/2014/main" id="{00000000-0008-0000-1100-000026E0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16</xdr:col>
      <xdr:colOff>0</xdr:colOff>
      <xdr:row>0</xdr:row>
      <xdr:rowOff>0</xdr:rowOff>
    </xdr:from>
    <xdr:to>
      <xdr:col>16</xdr:col>
      <xdr:colOff>600075</xdr:colOff>
      <xdr:row>2</xdr:row>
      <xdr:rowOff>142875</xdr:rowOff>
    </xdr:to>
    <xdr:pic>
      <xdr:nvPicPr>
        <xdr:cNvPr id="25" name="Graphic 24" descr="Arrow: Straight with solid fill">
          <a:hlinkClick xmlns:r="http://schemas.openxmlformats.org/officeDocument/2006/relationships" r:id="rId1"/>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19049</xdr:colOff>
          <xdr:row>0</xdr:row>
          <xdr:rowOff>38100</xdr:rowOff>
        </xdr:from>
        <xdr:to>
          <xdr:col>21</xdr:col>
          <xdr:colOff>838199</xdr:colOff>
          <xdr:row>1</xdr:row>
          <xdr:rowOff>171450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942974" y="38100"/>
              <a:ext cx="4457700" cy="361950"/>
              <a:chOff x="6162674" y="3409950"/>
              <a:chExt cx="3695700" cy="361950"/>
            </a:xfrm>
          </xdr:grpSpPr>
          <xdr:grpSp>
            <xdr:nvGrpSpPr>
              <xdr:cNvPr id="27" name="Group 26">
                <a:extLst>
                  <a:ext uri="{FF2B5EF4-FFF2-40B4-BE49-F238E27FC236}">
                    <a16:creationId xmlns:a16="http://schemas.microsoft.com/office/drawing/2014/main" id="{00000000-0008-0000-1100-00001B000000}"/>
                  </a:ext>
                </a:extLst>
              </xdr:cNvPr>
              <xdr:cNvGrpSpPr/>
            </xdr:nvGrpSpPr>
            <xdr:grpSpPr>
              <a:xfrm>
                <a:off x="7867648" y="3409950"/>
                <a:ext cx="1990726" cy="361950"/>
                <a:chOff x="8191498" y="3409950"/>
                <a:chExt cx="1990726" cy="361950"/>
              </a:xfrm>
            </xdr:grpSpPr>
            <xdr:grpSp>
              <xdr:nvGrpSpPr>
                <xdr:cNvPr id="34" name="Group 33">
                  <a:extLst>
                    <a:ext uri="{FF2B5EF4-FFF2-40B4-BE49-F238E27FC236}">
                      <a16:creationId xmlns:a16="http://schemas.microsoft.com/office/drawing/2014/main" id="{00000000-0008-0000-1100-000022000000}"/>
                    </a:ext>
                  </a:extLst>
                </xdr:cNvPr>
                <xdr:cNvGrpSpPr/>
              </xdr:nvGrpSpPr>
              <xdr:grpSpPr>
                <a:xfrm>
                  <a:off x="8302014" y="3452813"/>
                  <a:ext cx="1769698" cy="276225"/>
                  <a:chOff x="8305802" y="3457575"/>
                  <a:chExt cx="1769698" cy="276225"/>
                </a:xfrm>
              </xdr:grpSpPr>
              <xdr:sp macro="" textlink="">
                <xdr:nvSpPr>
                  <xdr:cNvPr id="57360" name="Option Button 16" hidden="1">
                    <a:extLst>
                      <a:ext uri="{63B3BB69-23CF-44E3-9099-C40C66FF867C}">
                        <a14:compatExt spid="_x0000_s57360"/>
                      </a:ext>
                      <a:ext uri="{FF2B5EF4-FFF2-40B4-BE49-F238E27FC236}">
                        <a16:creationId xmlns:a16="http://schemas.microsoft.com/office/drawing/2014/main" id="{00000000-0008-0000-1100-000010E00000}"/>
                      </a:ext>
                    </a:extLst>
                  </xdr:cNvPr>
                  <xdr:cNvSpPr/>
                </xdr:nvSpPr>
                <xdr:spPr bwMode="auto">
                  <a:xfrm>
                    <a:off x="83058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7361" name="Option Button 17" hidden="1">
                    <a:extLst>
                      <a:ext uri="{63B3BB69-23CF-44E3-9099-C40C66FF867C}">
                        <a14:compatExt spid="_x0000_s57361"/>
                      </a:ext>
                      <a:ext uri="{FF2B5EF4-FFF2-40B4-BE49-F238E27FC236}">
                        <a16:creationId xmlns:a16="http://schemas.microsoft.com/office/drawing/2014/main" id="{00000000-0008-0000-1100-000011E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7362" name="Option Button 18" hidden="1">
                    <a:extLst>
                      <a:ext uri="{63B3BB69-23CF-44E3-9099-C40C66FF867C}">
                        <a14:compatExt spid="_x0000_s57362"/>
                      </a:ext>
                      <a:ext uri="{FF2B5EF4-FFF2-40B4-BE49-F238E27FC236}">
                        <a16:creationId xmlns:a16="http://schemas.microsoft.com/office/drawing/2014/main" id="{00000000-0008-0000-1100-000012E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7363" name="Option Button 19" hidden="1">
                    <a:extLst>
                      <a:ext uri="{63B3BB69-23CF-44E3-9099-C40C66FF867C}">
                        <a14:compatExt spid="_x0000_s57363"/>
                      </a:ext>
                      <a:ext uri="{FF2B5EF4-FFF2-40B4-BE49-F238E27FC236}">
                        <a16:creationId xmlns:a16="http://schemas.microsoft.com/office/drawing/2014/main" id="{00000000-0008-0000-1100-000013E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7364" name="Group Box 20" hidden="1">
                  <a:extLst>
                    <a:ext uri="{63B3BB69-23CF-44E3-9099-C40C66FF867C}">
                      <a14:compatExt spid="_x0000_s57364"/>
                    </a:ext>
                    <a:ext uri="{FF2B5EF4-FFF2-40B4-BE49-F238E27FC236}">
                      <a16:creationId xmlns:a16="http://schemas.microsoft.com/office/drawing/2014/main" id="{00000000-0008-0000-1100-000014E00000}"/>
                    </a:ext>
                  </a:extLst>
                </xdr:cNvPr>
                <xdr:cNvSpPr/>
              </xdr:nvSpPr>
              <xdr:spPr bwMode="auto">
                <a:xfrm>
                  <a:off x="8191498" y="3409950"/>
                  <a:ext cx="1990726"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8" name="Group 27">
                <a:extLst>
                  <a:ext uri="{FF2B5EF4-FFF2-40B4-BE49-F238E27FC236}">
                    <a16:creationId xmlns:a16="http://schemas.microsoft.com/office/drawing/2014/main" id="{00000000-0008-0000-1100-00001C000000}"/>
                  </a:ext>
                </a:extLst>
              </xdr:cNvPr>
              <xdr:cNvGrpSpPr/>
            </xdr:nvGrpSpPr>
            <xdr:grpSpPr>
              <a:xfrm>
                <a:off x="6162674" y="3409950"/>
                <a:ext cx="1657350" cy="361950"/>
                <a:chOff x="6162674" y="3409950"/>
                <a:chExt cx="1657350" cy="361950"/>
              </a:xfrm>
            </xdr:grpSpPr>
            <xdr:sp macro="" textlink="">
              <xdr:nvSpPr>
                <xdr:cNvPr id="57365" name="Group Box 21" hidden="1">
                  <a:extLst>
                    <a:ext uri="{63B3BB69-23CF-44E3-9099-C40C66FF867C}">
                      <a14:compatExt spid="_x0000_s57365"/>
                    </a:ext>
                    <a:ext uri="{FF2B5EF4-FFF2-40B4-BE49-F238E27FC236}">
                      <a16:creationId xmlns:a16="http://schemas.microsoft.com/office/drawing/2014/main" id="{00000000-0008-0000-1100-000015E00000}"/>
                    </a:ext>
                  </a:extLst>
                </xdr:cNvPr>
                <xdr:cNvSpPr/>
              </xdr:nvSpPr>
              <xdr:spPr bwMode="auto">
                <a:xfrm>
                  <a:off x="6162674"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0" name="Group 29">
                  <a:extLst>
                    <a:ext uri="{FF2B5EF4-FFF2-40B4-BE49-F238E27FC236}">
                      <a16:creationId xmlns:a16="http://schemas.microsoft.com/office/drawing/2014/main" id="{00000000-0008-0000-1100-00001E000000}"/>
                    </a:ext>
                  </a:extLst>
                </xdr:cNvPr>
                <xdr:cNvGrpSpPr/>
              </xdr:nvGrpSpPr>
              <xdr:grpSpPr>
                <a:xfrm>
                  <a:off x="6243637" y="3500925"/>
                  <a:ext cx="1495428" cy="180000"/>
                  <a:chOff x="6029323" y="4257675"/>
                  <a:chExt cx="1495428" cy="257175"/>
                </a:xfrm>
              </xdr:grpSpPr>
              <xdr:sp macro="" textlink="">
                <xdr:nvSpPr>
                  <xdr:cNvPr id="57366" name="Button 22" hidden="1">
                    <a:extLst>
                      <a:ext uri="{63B3BB69-23CF-44E3-9099-C40C66FF867C}">
                        <a14:compatExt spid="_x0000_s57366"/>
                      </a:ext>
                      <a:ext uri="{FF2B5EF4-FFF2-40B4-BE49-F238E27FC236}">
                        <a16:creationId xmlns:a16="http://schemas.microsoft.com/office/drawing/2014/main" id="{00000000-0008-0000-1100-000016E00000}"/>
                      </a:ext>
                    </a:extLst>
                  </xdr:cNvPr>
                  <xdr:cNvSpPr/>
                </xdr:nvSpPr>
                <xdr:spPr bwMode="auto">
                  <a:xfrm>
                    <a:off x="6029323"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7367" name="Button 23" hidden="1">
                    <a:extLst>
                      <a:ext uri="{63B3BB69-23CF-44E3-9099-C40C66FF867C}">
                        <a14:compatExt spid="_x0000_s57367"/>
                      </a:ext>
                      <a:ext uri="{FF2B5EF4-FFF2-40B4-BE49-F238E27FC236}">
                        <a16:creationId xmlns:a16="http://schemas.microsoft.com/office/drawing/2014/main" id="{00000000-0008-0000-1100-000017E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7368" name="Button 24" hidden="1">
                    <a:extLst>
                      <a:ext uri="{63B3BB69-23CF-44E3-9099-C40C66FF867C}">
                        <a14:compatExt spid="_x0000_s57368"/>
                      </a:ext>
                      <a:ext uri="{FF2B5EF4-FFF2-40B4-BE49-F238E27FC236}">
                        <a16:creationId xmlns:a16="http://schemas.microsoft.com/office/drawing/2014/main" id="{00000000-0008-0000-1100-000018E00000}"/>
                      </a:ext>
                    </a:extLst>
                  </xdr:cNvPr>
                  <xdr:cNvSpPr/>
                </xdr:nvSpPr>
                <xdr:spPr bwMode="auto">
                  <a:xfrm>
                    <a:off x="705802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38100</xdr:colOff>
          <xdr:row>0</xdr:row>
          <xdr:rowOff>85725</xdr:rowOff>
        </xdr:from>
        <xdr:to>
          <xdr:col>22</xdr:col>
          <xdr:colOff>990600</xdr:colOff>
          <xdr:row>1</xdr:row>
          <xdr:rowOff>114300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5705475" y="85725"/>
              <a:ext cx="952500" cy="257175"/>
              <a:chOff x="771525" y="1314450"/>
              <a:chExt cx="1104900" cy="257175"/>
            </a:xfrm>
          </xdr:grpSpPr>
          <xdr:sp macro="" textlink="">
            <xdr:nvSpPr>
              <xdr:cNvPr id="57377" name="Button 33" hidden="1">
                <a:extLst>
                  <a:ext uri="{63B3BB69-23CF-44E3-9099-C40C66FF867C}">
                    <a14:compatExt spid="_x0000_s57377"/>
                  </a:ext>
                  <a:ext uri="{FF2B5EF4-FFF2-40B4-BE49-F238E27FC236}">
                    <a16:creationId xmlns:a16="http://schemas.microsoft.com/office/drawing/2014/main" id="{00000000-0008-0000-1100-000021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78" name="Button 34" hidden="1">
                <a:extLst>
                  <a:ext uri="{63B3BB69-23CF-44E3-9099-C40C66FF867C}">
                    <a14:compatExt spid="_x0000_s57378"/>
                  </a:ext>
                  <a:ext uri="{FF2B5EF4-FFF2-40B4-BE49-F238E27FC236}">
                    <a16:creationId xmlns:a16="http://schemas.microsoft.com/office/drawing/2014/main" id="{00000000-0008-0000-1100-000022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47625</xdr:colOff>
          <xdr:row>0</xdr:row>
          <xdr:rowOff>38100</xdr:rowOff>
        </xdr:from>
        <xdr:to>
          <xdr:col>37</xdr:col>
          <xdr:colOff>1028700</xdr:colOff>
          <xdr:row>1</xdr:row>
          <xdr:rowOff>66675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17287875" y="38100"/>
              <a:ext cx="981075" cy="257175"/>
              <a:chOff x="8200965" y="3448050"/>
              <a:chExt cx="1190644" cy="257175"/>
            </a:xfrm>
          </xdr:grpSpPr>
          <xdr:sp macro="" textlink="">
            <xdr:nvSpPr>
              <xdr:cNvPr id="57387" name="Button 43" hidden="1">
                <a:extLst>
                  <a:ext uri="{63B3BB69-23CF-44E3-9099-C40C66FF867C}">
                    <a14:compatExt spid="_x0000_s57387"/>
                  </a:ext>
                  <a:ext uri="{FF2B5EF4-FFF2-40B4-BE49-F238E27FC236}">
                    <a16:creationId xmlns:a16="http://schemas.microsoft.com/office/drawing/2014/main" id="{00000000-0008-0000-1100-00002BE00000}"/>
                  </a:ext>
                </a:extLst>
              </xdr:cNvPr>
              <xdr:cNvSpPr/>
            </xdr:nvSpPr>
            <xdr:spPr bwMode="auto">
              <a:xfrm>
                <a:off x="8200965" y="3448050"/>
                <a:ext cx="51434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8" name="Button 44" hidden="1">
                <a:extLst>
                  <a:ext uri="{63B3BB69-23CF-44E3-9099-C40C66FF867C}">
                    <a14:compatExt spid="_x0000_s57388"/>
                  </a:ext>
                  <a:ext uri="{FF2B5EF4-FFF2-40B4-BE49-F238E27FC236}">
                    <a16:creationId xmlns:a16="http://schemas.microsoft.com/office/drawing/2014/main" id="{00000000-0008-0000-1100-00002CE00000}"/>
                  </a:ext>
                </a:extLst>
              </xdr:cNvPr>
              <xdr:cNvSpPr/>
            </xdr:nvSpPr>
            <xdr:spPr bwMode="auto">
              <a:xfrm>
                <a:off x="8848684"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142875</xdr:colOff>
          <xdr:row>0</xdr:row>
          <xdr:rowOff>38100</xdr:rowOff>
        </xdr:from>
        <xdr:to>
          <xdr:col>35</xdr:col>
          <xdr:colOff>542925</xdr:colOff>
          <xdr:row>1</xdr:row>
          <xdr:rowOff>66675</xdr:rowOff>
        </xdr:to>
        <xdr:grpSp>
          <xdr:nvGrpSpPr>
            <xdr:cNvPr id="15" name="Group 14">
              <a:extLst>
                <a:ext uri="{FF2B5EF4-FFF2-40B4-BE49-F238E27FC236}">
                  <a16:creationId xmlns:a16="http://schemas.microsoft.com/office/drawing/2014/main" id="{00000000-0008-0000-1100-00000F000000}"/>
                </a:ext>
              </a:extLst>
            </xdr:cNvPr>
            <xdr:cNvGrpSpPr/>
          </xdr:nvGrpSpPr>
          <xdr:grpSpPr>
            <a:xfrm>
              <a:off x="15201900" y="38100"/>
              <a:ext cx="952500" cy="257175"/>
              <a:chOff x="771525" y="1314450"/>
              <a:chExt cx="1104900" cy="257175"/>
            </a:xfrm>
          </xdr:grpSpPr>
          <xdr:sp macro="" textlink="">
            <xdr:nvSpPr>
              <xdr:cNvPr id="57394" name="Button 50" hidden="1">
                <a:extLst>
                  <a:ext uri="{63B3BB69-23CF-44E3-9099-C40C66FF867C}">
                    <a14:compatExt spid="_x0000_s57394"/>
                  </a:ext>
                  <a:ext uri="{FF2B5EF4-FFF2-40B4-BE49-F238E27FC236}">
                    <a16:creationId xmlns:a16="http://schemas.microsoft.com/office/drawing/2014/main" id="{00000000-0008-0000-1100-000032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95" name="Button 51" hidden="1">
                <a:extLst>
                  <a:ext uri="{63B3BB69-23CF-44E3-9099-C40C66FF867C}">
                    <a14:compatExt spid="_x0000_s57395"/>
                  </a:ext>
                  <a:ext uri="{FF2B5EF4-FFF2-40B4-BE49-F238E27FC236}">
                    <a16:creationId xmlns:a16="http://schemas.microsoft.com/office/drawing/2014/main" id="{00000000-0008-0000-1100-000033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28575</xdr:colOff>
      <xdr:row>2</xdr:row>
      <xdr:rowOff>76200</xdr:rowOff>
    </xdr:from>
    <xdr:to>
      <xdr:col>25</xdr:col>
      <xdr:colOff>141975</xdr:colOff>
      <xdr:row>18</xdr:row>
      <xdr:rowOff>18600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247650</xdr:colOff>
      <xdr:row>2</xdr:row>
      <xdr:rowOff>76200</xdr:rowOff>
    </xdr:from>
    <xdr:to>
      <xdr:col>29</xdr:col>
      <xdr:colOff>904425</xdr:colOff>
      <xdr:row>18</xdr:row>
      <xdr:rowOff>18600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2</xdr:row>
      <xdr:rowOff>76200</xdr:rowOff>
    </xdr:from>
    <xdr:to>
      <xdr:col>38</xdr:col>
      <xdr:colOff>818250</xdr:colOff>
      <xdr:row>18</xdr:row>
      <xdr:rowOff>18600</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914400</xdr:colOff>
      <xdr:row>2</xdr:row>
      <xdr:rowOff>76200</xdr:rowOff>
    </xdr:from>
    <xdr:to>
      <xdr:col>47</xdr:col>
      <xdr:colOff>399375</xdr:colOff>
      <xdr:row>18</xdr:row>
      <xdr:rowOff>18600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47625</xdr:colOff>
          <xdr:row>0</xdr:row>
          <xdr:rowOff>76200</xdr:rowOff>
        </xdr:from>
        <xdr:to>
          <xdr:col>24</xdr:col>
          <xdr:colOff>590550</xdr:colOff>
          <xdr:row>1</xdr:row>
          <xdr:rowOff>104775</xdr:rowOff>
        </xdr:to>
        <xdr:sp macro="" textlink="">
          <xdr:nvSpPr>
            <xdr:cNvPr id="57400" name="Button 56" hidden="1">
              <a:extLst>
                <a:ext uri="{63B3BB69-23CF-44E3-9099-C40C66FF867C}">
                  <a14:compatExt spid="_x0000_s57400"/>
                </a:ext>
                <a:ext uri="{FF2B5EF4-FFF2-40B4-BE49-F238E27FC236}">
                  <a16:creationId xmlns:a16="http://schemas.microsoft.com/office/drawing/2014/main" id="{00000000-0008-0000-1100-000038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16</xdr:col>
      <xdr:colOff>423862</xdr:colOff>
      <xdr:row>0</xdr:row>
      <xdr:rowOff>119062</xdr:rowOff>
    </xdr:from>
    <xdr:to>
      <xdr:col>21</xdr:col>
      <xdr:colOff>594862</xdr:colOff>
      <xdr:row>17</xdr:row>
      <xdr:rowOff>156712</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47625</xdr:colOff>
      <xdr:row>18</xdr:row>
      <xdr:rowOff>47625</xdr:rowOff>
    </xdr:from>
    <xdr:to>
      <xdr:col>32</xdr:col>
      <xdr:colOff>389625</xdr:colOff>
      <xdr:row>35</xdr:row>
      <xdr:rowOff>85275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485774</xdr:colOff>
      <xdr:row>0</xdr:row>
      <xdr:rowOff>104774</xdr:rowOff>
    </xdr:from>
    <xdr:to>
      <xdr:col>39</xdr:col>
      <xdr:colOff>361274</xdr:colOff>
      <xdr:row>4</xdr:row>
      <xdr:rowOff>166574</xdr:rowOff>
    </xdr:to>
    <mc:AlternateContent xmlns:mc="http://schemas.openxmlformats.org/markup-compatibility/2006" xmlns:tsle="http://schemas.microsoft.com/office/drawing/2012/timeslicer">
      <mc:Choice Requires="tsle">
        <xdr:graphicFrame macro="">
          <xdr:nvGraphicFramePr>
            <xdr:cNvPr id="12" name="Ngày xuất nhập">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2/timeslicer">
              <tsle:timeslicer name="Ngày xuất nhập"/>
            </a:graphicData>
          </a:graphic>
        </xdr:graphicFrame>
      </mc:Choice>
      <mc:Fallback xmlns="">
        <xdr:sp macro="" textlink="">
          <xdr:nvSpPr>
            <xdr:cNvPr id="0" name=""/>
            <xdr:cNvSpPr>
              <a:spLocks noTextEdit="1"/>
            </xdr:cNvSpPr>
          </xdr:nvSpPr>
          <xdr:spPr>
            <a:xfrm>
              <a:off x="11649074" y="104774"/>
              <a:ext cx="5400000" cy="900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22</xdr:col>
      <xdr:colOff>47625</xdr:colOff>
      <xdr:row>0</xdr:row>
      <xdr:rowOff>119062</xdr:rowOff>
    </xdr:from>
    <xdr:to>
      <xdr:col>32</xdr:col>
      <xdr:colOff>389625</xdr:colOff>
      <xdr:row>17</xdr:row>
      <xdr:rowOff>156712</xdr:rowOff>
    </xdr:to>
    <xdr:graphicFrame macro="">
      <xdr:nvGraphicFramePr>
        <xdr:cNvPr id="13" name="Chart 12">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423862</xdr:colOff>
      <xdr:row>18</xdr:row>
      <xdr:rowOff>47625</xdr:rowOff>
    </xdr:from>
    <xdr:to>
      <xdr:col>21</xdr:col>
      <xdr:colOff>594862</xdr:colOff>
      <xdr:row>35</xdr:row>
      <xdr:rowOff>85275</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33</xdr:col>
          <xdr:colOff>28575</xdr:colOff>
          <xdr:row>6</xdr:row>
          <xdr:rowOff>95250</xdr:rowOff>
        </xdr:from>
        <xdr:to>
          <xdr:col>34</xdr:col>
          <xdr:colOff>333375</xdr:colOff>
          <xdr:row>7</xdr:row>
          <xdr:rowOff>142875</xdr:rowOff>
        </xdr:to>
        <xdr:grpSp>
          <xdr:nvGrpSpPr>
            <xdr:cNvPr id="15" name="Group 14">
              <a:extLst>
                <a:ext uri="{FF2B5EF4-FFF2-40B4-BE49-F238E27FC236}">
                  <a16:creationId xmlns:a16="http://schemas.microsoft.com/office/drawing/2014/main" id="{00000000-0008-0000-1200-00000F000000}"/>
                </a:ext>
              </a:extLst>
            </xdr:cNvPr>
            <xdr:cNvGrpSpPr/>
          </xdr:nvGrpSpPr>
          <xdr:grpSpPr>
            <a:xfrm>
              <a:off x="11877675" y="1352550"/>
              <a:ext cx="990600" cy="257175"/>
              <a:chOff x="771525" y="1314450"/>
              <a:chExt cx="990600" cy="257175"/>
            </a:xfrm>
          </xdr:grpSpPr>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1200-0000030402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1200-0000040402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666750</xdr:colOff>
          <xdr:row>6</xdr:row>
          <xdr:rowOff>66675</xdr:rowOff>
        </xdr:from>
        <xdr:to>
          <xdr:col>42</xdr:col>
          <xdr:colOff>647700</xdr:colOff>
          <xdr:row>7</xdr:row>
          <xdr:rowOff>114300</xdr:rowOff>
        </xdr:to>
        <xdr:grpSp>
          <xdr:nvGrpSpPr>
            <xdr:cNvPr id="16" name="Group 15">
              <a:extLst>
                <a:ext uri="{FF2B5EF4-FFF2-40B4-BE49-F238E27FC236}">
                  <a16:creationId xmlns:a16="http://schemas.microsoft.com/office/drawing/2014/main" id="{00000000-0008-0000-1200-000010000000}"/>
                </a:ext>
              </a:extLst>
            </xdr:cNvPr>
            <xdr:cNvGrpSpPr/>
          </xdr:nvGrpSpPr>
          <xdr:grpSpPr>
            <a:xfrm>
              <a:off x="18087975" y="1323975"/>
              <a:ext cx="1095375" cy="257175"/>
              <a:chOff x="8201025" y="3448050"/>
              <a:chExt cx="1095375" cy="257175"/>
            </a:xfrm>
          </xdr:grpSpPr>
          <xdr:sp macro="" textlink="">
            <xdr:nvSpPr>
              <xdr:cNvPr id="132101" name="Button 5" hidden="1">
                <a:extLst>
                  <a:ext uri="{63B3BB69-23CF-44E3-9099-C40C66FF867C}">
                    <a14:compatExt spid="_x0000_s132101"/>
                  </a:ext>
                  <a:ext uri="{FF2B5EF4-FFF2-40B4-BE49-F238E27FC236}">
                    <a16:creationId xmlns:a16="http://schemas.microsoft.com/office/drawing/2014/main" id="{00000000-0008-0000-1200-0000050402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32102" name="Button 6" hidden="1">
                <a:extLst>
                  <a:ext uri="{63B3BB69-23CF-44E3-9099-C40C66FF867C}">
                    <a14:compatExt spid="_x0000_s132102"/>
                  </a:ext>
                  <a:ext uri="{FF2B5EF4-FFF2-40B4-BE49-F238E27FC236}">
                    <a16:creationId xmlns:a16="http://schemas.microsoft.com/office/drawing/2014/main" id="{00000000-0008-0000-1200-0000060402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495300</xdr:colOff>
          <xdr:row>0</xdr:row>
          <xdr:rowOff>180975</xdr:rowOff>
        </xdr:from>
        <xdr:to>
          <xdr:col>32</xdr:col>
          <xdr:colOff>352425</xdr:colOff>
          <xdr:row>2</xdr:row>
          <xdr:rowOff>19050</xdr:rowOff>
        </xdr:to>
        <xdr:sp macro="" textlink="">
          <xdr:nvSpPr>
            <xdr:cNvPr id="132103" name="Button 7" hidden="1">
              <a:extLst>
                <a:ext uri="{63B3BB69-23CF-44E3-9099-C40C66FF867C}">
                  <a14:compatExt spid="_x0000_s132103"/>
                </a:ext>
                <a:ext uri="{FF2B5EF4-FFF2-40B4-BE49-F238E27FC236}">
                  <a16:creationId xmlns:a16="http://schemas.microsoft.com/office/drawing/2014/main" id="{00000000-0008-0000-1200-0000070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editAs="oneCell">
    <xdr:from>
      <xdr:col>14</xdr:col>
      <xdr:colOff>38100</xdr:colOff>
      <xdr:row>0</xdr:row>
      <xdr:rowOff>0</xdr:rowOff>
    </xdr:from>
    <xdr:to>
      <xdr:col>16</xdr:col>
      <xdr:colOff>447675</xdr:colOff>
      <xdr:row>2</xdr:row>
      <xdr:rowOff>180975</xdr:rowOff>
    </xdr:to>
    <xdr:pic>
      <xdr:nvPicPr>
        <xdr:cNvPr id="17" name="Graphic 16" descr="Arrow: Straight with solid fill">
          <a:hlinkClick xmlns:r="http://schemas.openxmlformats.org/officeDocument/2006/relationships" r:id="rId5"/>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 y="0"/>
          <a:ext cx="600075" cy="6000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333375</xdr:colOff>
          <xdr:row>2</xdr:row>
          <xdr:rowOff>104775</xdr:rowOff>
        </xdr:from>
        <xdr:to>
          <xdr:col>19</xdr:col>
          <xdr:colOff>180975</xdr:colOff>
          <xdr:row>3</xdr:row>
          <xdr:rowOff>133350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591175" y="561975"/>
              <a:ext cx="1104900" cy="257175"/>
              <a:chOff x="771525" y="1314450"/>
              <a:chExt cx="1104900" cy="257175"/>
            </a:xfrm>
          </xdr:grpSpPr>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628650</xdr:colOff>
          <xdr:row>2</xdr:row>
          <xdr:rowOff>104775</xdr:rowOff>
        </xdr:from>
        <xdr:to>
          <xdr:col>20</xdr:col>
          <xdr:colOff>847725</xdr:colOff>
          <xdr:row>3</xdr:row>
          <xdr:rowOff>133350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7143750" y="561975"/>
              <a:ext cx="1190625" cy="257175"/>
              <a:chOff x="8201025" y="3448050"/>
              <a:chExt cx="1190625" cy="257175"/>
            </a:xfrm>
          </xdr:grpSpPr>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1300-000004E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17" name="Graphic 16" descr="Arrow: Straight with solid fill">
          <a:hlinkClick xmlns:r="http://schemas.openxmlformats.org/officeDocument/2006/relationships" r:id="rId1"/>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495312</xdr:colOff>
          <xdr:row>0</xdr:row>
          <xdr:rowOff>123825</xdr:rowOff>
        </xdr:from>
        <xdr:to>
          <xdr:col>20</xdr:col>
          <xdr:colOff>1266803</xdr:colOff>
          <xdr:row>2</xdr:row>
          <xdr:rowOff>28575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5076837" y="123825"/>
              <a:ext cx="3676616" cy="361950"/>
              <a:chOff x="6162687" y="3409950"/>
              <a:chExt cx="3695666" cy="361950"/>
            </a:xfrm>
          </xdr:grpSpPr>
          <xdr:grpSp>
            <xdr:nvGrpSpPr>
              <xdr:cNvPr id="19" name="Group 18">
                <a:extLst>
                  <a:ext uri="{FF2B5EF4-FFF2-40B4-BE49-F238E27FC236}">
                    <a16:creationId xmlns:a16="http://schemas.microsoft.com/office/drawing/2014/main" id="{00000000-0008-0000-1300-000013000000}"/>
                  </a:ext>
                </a:extLst>
              </xdr:cNvPr>
              <xdr:cNvGrpSpPr/>
            </xdr:nvGrpSpPr>
            <xdr:grpSpPr>
              <a:xfrm>
                <a:off x="7867635" y="3409950"/>
                <a:ext cx="1990718" cy="361950"/>
                <a:chOff x="8191485" y="3409950"/>
                <a:chExt cx="1990718" cy="361950"/>
              </a:xfrm>
            </xdr:grpSpPr>
            <xdr:grpSp>
              <xdr:nvGrpSpPr>
                <xdr:cNvPr id="26" name="Group 25">
                  <a:extLst>
                    <a:ext uri="{FF2B5EF4-FFF2-40B4-BE49-F238E27FC236}">
                      <a16:creationId xmlns:a16="http://schemas.microsoft.com/office/drawing/2014/main" id="{00000000-0008-0000-1300-00001A000000}"/>
                    </a:ext>
                  </a:extLst>
                </xdr:cNvPr>
                <xdr:cNvGrpSpPr/>
              </xdr:nvGrpSpPr>
              <xdr:grpSpPr>
                <a:xfrm>
                  <a:off x="8302013" y="3452813"/>
                  <a:ext cx="1769699" cy="276225"/>
                  <a:chOff x="8305801" y="3457575"/>
                  <a:chExt cx="1769699" cy="276225"/>
                </a:xfrm>
              </xdr:grpSpPr>
              <xdr:sp macro="" textlink="">
                <xdr:nvSpPr>
                  <xdr:cNvPr id="58378" name="Option Button 10" hidden="1">
                    <a:extLst>
                      <a:ext uri="{63B3BB69-23CF-44E3-9099-C40C66FF867C}">
                        <a14:compatExt spid="_x0000_s58378"/>
                      </a:ext>
                      <a:ext uri="{FF2B5EF4-FFF2-40B4-BE49-F238E27FC236}">
                        <a16:creationId xmlns:a16="http://schemas.microsoft.com/office/drawing/2014/main" id="{00000000-0008-0000-1300-00000AE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8379" name="Option Button 11" hidden="1">
                    <a:extLst>
                      <a:ext uri="{63B3BB69-23CF-44E3-9099-C40C66FF867C}">
                        <a14:compatExt spid="_x0000_s58379"/>
                      </a:ext>
                      <a:ext uri="{FF2B5EF4-FFF2-40B4-BE49-F238E27FC236}">
                        <a16:creationId xmlns:a16="http://schemas.microsoft.com/office/drawing/2014/main" id="{00000000-0008-0000-1300-00000BE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8380" name="Option Button 12" hidden="1">
                    <a:extLst>
                      <a:ext uri="{63B3BB69-23CF-44E3-9099-C40C66FF867C}">
                        <a14:compatExt spid="_x0000_s58380"/>
                      </a:ext>
                      <a:ext uri="{FF2B5EF4-FFF2-40B4-BE49-F238E27FC236}">
                        <a16:creationId xmlns:a16="http://schemas.microsoft.com/office/drawing/2014/main" id="{00000000-0008-0000-1300-00000CE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8381" name="Option Button 13" hidden="1">
                    <a:extLst>
                      <a:ext uri="{63B3BB69-23CF-44E3-9099-C40C66FF867C}">
                        <a14:compatExt spid="_x0000_s58381"/>
                      </a:ext>
                      <a:ext uri="{FF2B5EF4-FFF2-40B4-BE49-F238E27FC236}">
                        <a16:creationId xmlns:a16="http://schemas.microsoft.com/office/drawing/2014/main" id="{00000000-0008-0000-1300-00000DE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8382" name="Group Box 14" hidden="1">
                  <a:extLst>
                    <a:ext uri="{63B3BB69-23CF-44E3-9099-C40C66FF867C}">
                      <a14:compatExt spid="_x0000_s58382"/>
                    </a:ext>
                    <a:ext uri="{FF2B5EF4-FFF2-40B4-BE49-F238E27FC236}">
                      <a16:creationId xmlns:a16="http://schemas.microsoft.com/office/drawing/2014/main" id="{00000000-0008-0000-1300-00000EE40000}"/>
                    </a:ext>
                  </a:extLst>
                </xdr:cNvPr>
                <xdr:cNvSpPr/>
              </xdr:nvSpPr>
              <xdr:spPr bwMode="auto">
                <a:xfrm>
                  <a:off x="8191485" y="3409950"/>
                  <a:ext cx="1990718"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300-000014000000}"/>
                  </a:ext>
                </a:extLst>
              </xdr:cNvPr>
              <xdr:cNvGrpSpPr/>
            </xdr:nvGrpSpPr>
            <xdr:grpSpPr>
              <a:xfrm>
                <a:off x="6162687" y="3409950"/>
                <a:ext cx="1657361" cy="361950"/>
                <a:chOff x="6162687" y="3409950"/>
                <a:chExt cx="1657361" cy="361950"/>
              </a:xfrm>
            </xdr:grpSpPr>
            <xdr:sp macro="" textlink="">
              <xdr:nvSpPr>
                <xdr:cNvPr id="58383" name="Group Box 15" hidden="1">
                  <a:extLst>
                    <a:ext uri="{63B3BB69-23CF-44E3-9099-C40C66FF867C}">
                      <a14:compatExt spid="_x0000_s58383"/>
                    </a:ext>
                    <a:ext uri="{FF2B5EF4-FFF2-40B4-BE49-F238E27FC236}">
                      <a16:creationId xmlns:a16="http://schemas.microsoft.com/office/drawing/2014/main" id="{00000000-0008-0000-1300-00000FE40000}"/>
                    </a:ext>
                  </a:extLst>
                </xdr:cNvPr>
                <xdr:cNvSpPr/>
              </xdr:nvSpPr>
              <xdr:spPr bwMode="auto">
                <a:xfrm>
                  <a:off x="6162687" y="3409950"/>
                  <a:ext cx="1657361"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300-000016000000}"/>
                    </a:ext>
                  </a:extLst>
                </xdr:cNvPr>
                <xdr:cNvGrpSpPr/>
              </xdr:nvGrpSpPr>
              <xdr:grpSpPr>
                <a:xfrm>
                  <a:off x="6243639" y="3500925"/>
                  <a:ext cx="1495425" cy="180000"/>
                  <a:chOff x="6029325" y="4257675"/>
                  <a:chExt cx="1495425" cy="257175"/>
                </a:xfrm>
              </xdr:grpSpPr>
              <xdr:sp macro="" textlink="">
                <xdr:nvSpPr>
                  <xdr:cNvPr id="58384" name="Button 16" hidden="1">
                    <a:extLst>
                      <a:ext uri="{63B3BB69-23CF-44E3-9099-C40C66FF867C}">
                        <a14:compatExt spid="_x0000_s58384"/>
                      </a:ext>
                      <a:ext uri="{FF2B5EF4-FFF2-40B4-BE49-F238E27FC236}">
                        <a16:creationId xmlns:a16="http://schemas.microsoft.com/office/drawing/2014/main" id="{00000000-0008-0000-1300-000010E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8385" name="Button 17" hidden="1">
                    <a:extLst>
                      <a:ext uri="{63B3BB69-23CF-44E3-9099-C40C66FF867C}">
                        <a14:compatExt spid="_x0000_s58385"/>
                      </a:ext>
                      <a:ext uri="{FF2B5EF4-FFF2-40B4-BE49-F238E27FC236}">
                        <a16:creationId xmlns:a16="http://schemas.microsoft.com/office/drawing/2014/main" id="{00000000-0008-0000-1300-000011E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8386" name="Button 18" hidden="1">
                    <a:extLst>
                      <a:ext uri="{63B3BB69-23CF-44E3-9099-C40C66FF867C}">
                        <a14:compatExt spid="_x0000_s58386"/>
                      </a:ext>
                      <a:ext uri="{FF2B5EF4-FFF2-40B4-BE49-F238E27FC236}">
                        <a16:creationId xmlns:a16="http://schemas.microsoft.com/office/drawing/2014/main" id="{00000000-0008-0000-1300-000012E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12</xdr:col>
      <xdr:colOff>0</xdr:colOff>
      <xdr:row>4</xdr:row>
      <xdr:rowOff>33337</xdr:rowOff>
    </xdr:from>
    <xdr:to>
      <xdr:col>24</xdr:col>
      <xdr:colOff>219075</xdr:colOff>
      <xdr:row>19</xdr:row>
      <xdr:rowOff>204337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57150</xdr:colOff>
          <xdr:row>5</xdr:row>
          <xdr:rowOff>152400</xdr:rowOff>
        </xdr:from>
        <xdr:to>
          <xdr:col>12</xdr:col>
          <xdr:colOff>600075</xdr:colOff>
          <xdr:row>6</xdr:row>
          <xdr:rowOff>180975</xdr:rowOff>
        </xdr:to>
        <xdr:sp macro="" textlink="">
          <xdr:nvSpPr>
            <xdr:cNvPr id="58387" name="Button 19" hidden="1">
              <a:extLst>
                <a:ext uri="{63B3BB69-23CF-44E3-9099-C40C66FF867C}">
                  <a14:compatExt spid="_x0000_s58387"/>
                </a:ext>
                <a:ext uri="{FF2B5EF4-FFF2-40B4-BE49-F238E27FC236}">
                  <a16:creationId xmlns:a16="http://schemas.microsoft.com/office/drawing/2014/main" id="{00000000-0008-0000-1300-000013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45</xdr:col>
      <xdr:colOff>0</xdr:colOff>
      <xdr:row>0</xdr:row>
      <xdr:rowOff>0</xdr:rowOff>
    </xdr:from>
    <xdr:to>
      <xdr:col>45</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57148</xdr:colOff>
          <xdr:row>0</xdr:row>
          <xdr:rowOff>104775</xdr:rowOff>
        </xdr:from>
        <xdr:to>
          <xdr:col>50</xdr:col>
          <xdr:colOff>857247</xdr:colOff>
          <xdr:row>2</xdr:row>
          <xdr:rowOff>9525</xdr:rowOff>
        </xdr:to>
        <xdr:grpSp>
          <xdr:nvGrpSpPr>
            <xdr:cNvPr id="13" name="Group 12">
              <a:extLst>
                <a:ext uri="{FF2B5EF4-FFF2-40B4-BE49-F238E27FC236}">
                  <a16:creationId xmlns:a16="http://schemas.microsoft.com/office/drawing/2014/main" id="{00000000-0008-0000-1400-00000D000000}"/>
                </a:ext>
              </a:extLst>
            </xdr:cNvPr>
            <xdr:cNvGrpSpPr/>
          </xdr:nvGrpSpPr>
          <xdr:grpSpPr>
            <a:xfrm>
              <a:off x="12753973" y="104775"/>
              <a:ext cx="3324224" cy="361950"/>
              <a:chOff x="6162676" y="3409950"/>
              <a:chExt cx="3695704" cy="361950"/>
            </a:xfrm>
          </xdr:grpSpPr>
          <xdr:grpSp>
            <xdr:nvGrpSpPr>
              <xdr:cNvPr id="14" name="Group 13">
                <a:extLst>
                  <a:ext uri="{FF2B5EF4-FFF2-40B4-BE49-F238E27FC236}">
                    <a16:creationId xmlns:a16="http://schemas.microsoft.com/office/drawing/2014/main" id="{00000000-0008-0000-1400-00000E000000}"/>
                  </a:ext>
                </a:extLst>
              </xdr:cNvPr>
              <xdr:cNvGrpSpPr/>
            </xdr:nvGrpSpPr>
            <xdr:grpSpPr>
              <a:xfrm>
                <a:off x="7867656" y="3409950"/>
                <a:ext cx="1990724" cy="361950"/>
                <a:chOff x="8191506" y="3409950"/>
                <a:chExt cx="1990724" cy="361950"/>
              </a:xfrm>
            </xdr:grpSpPr>
            <xdr:grpSp>
              <xdr:nvGrpSpPr>
                <xdr:cNvPr id="21" name="Group 20">
                  <a:extLst>
                    <a:ext uri="{FF2B5EF4-FFF2-40B4-BE49-F238E27FC236}">
                      <a16:creationId xmlns:a16="http://schemas.microsoft.com/office/drawing/2014/main" id="{00000000-0008-0000-1400-000015000000}"/>
                    </a:ext>
                  </a:extLst>
                </xdr:cNvPr>
                <xdr:cNvGrpSpPr/>
              </xdr:nvGrpSpPr>
              <xdr:grpSpPr>
                <a:xfrm>
                  <a:off x="8302011" y="3452813"/>
                  <a:ext cx="1769704" cy="276225"/>
                  <a:chOff x="8305799" y="3457575"/>
                  <a:chExt cx="1769704"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1400-000007E80000}"/>
                      </a:ext>
                    </a:extLst>
                  </xdr:cNvPr>
                  <xdr:cNvSpPr/>
                </xdr:nvSpPr>
                <xdr:spPr bwMode="auto">
                  <a:xfrm>
                    <a:off x="8305799" y="3457575"/>
                    <a:ext cx="590549"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1400-000008E80000}"/>
                      </a:ext>
                    </a:extLst>
                  </xdr:cNvPr>
                  <xdr:cNvSpPr/>
                </xdr:nvSpPr>
                <xdr:spPr bwMode="auto">
                  <a:xfrm>
                    <a:off x="87757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14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1400-00000AE80000}"/>
                      </a:ext>
                    </a:extLst>
                  </xdr:cNvPr>
                  <xdr:cNvSpPr/>
                </xdr:nvSpPr>
                <xdr:spPr bwMode="auto">
                  <a:xfrm>
                    <a:off x="971550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1400-00000BE80000}"/>
                    </a:ext>
                  </a:extLst>
                </xdr:cNvPr>
                <xdr:cNvSpPr/>
              </xdr:nvSpPr>
              <xdr:spPr bwMode="auto">
                <a:xfrm>
                  <a:off x="8191506" y="3409950"/>
                  <a:ext cx="199072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400-00000F000000}"/>
                  </a:ext>
                </a:extLst>
              </xdr:cNvPr>
              <xdr:cNvGrpSpPr/>
            </xdr:nvGrpSpPr>
            <xdr:grpSpPr>
              <a:xfrm>
                <a:off x="6162676" y="3409950"/>
                <a:ext cx="1657349" cy="361950"/>
                <a:chOff x="6162676" y="3409950"/>
                <a:chExt cx="1657349"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1400-00000CE80000}"/>
                    </a:ext>
                  </a:extLst>
                </xdr:cNvPr>
                <xdr:cNvSpPr/>
              </xdr:nvSpPr>
              <xdr:spPr bwMode="auto">
                <a:xfrm>
                  <a:off x="6162676" y="3409950"/>
                  <a:ext cx="165734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400-000011000000}"/>
                    </a:ext>
                  </a:extLst>
                </xdr:cNvPr>
                <xdr:cNvGrpSpPr/>
              </xdr:nvGrpSpPr>
              <xdr:grpSpPr>
                <a:xfrm>
                  <a:off x="6243639" y="3500925"/>
                  <a:ext cx="1495427" cy="180000"/>
                  <a:chOff x="6029325" y="4257675"/>
                  <a:chExt cx="1495427"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1400-00000DE80000}"/>
                      </a:ext>
                    </a:extLst>
                  </xdr:cNvPr>
                  <xdr:cNvSpPr/>
                </xdr:nvSpPr>
                <xdr:spPr bwMode="auto">
                  <a:xfrm>
                    <a:off x="6029325"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1400-00000EE80000}"/>
                      </a:ext>
                    </a:extLst>
                  </xdr:cNvPr>
                  <xdr:cNvSpPr/>
                </xdr:nvSpPr>
                <xdr:spPr bwMode="auto">
                  <a:xfrm>
                    <a:off x="6544314"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1400-00000FE80000}"/>
                      </a:ext>
                    </a:extLst>
                  </xdr:cNvPr>
                  <xdr:cNvSpPr/>
                </xdr:nvSpPr>
                <xdr:spPr bwMode="auto">
                  <a:xfrm>
                    <a:off x="7058027"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76200</xdr:rowOff>
        </xdr:from>
        <xdr:to>
          <xdr:col>45</xdr:col>
          <xdr:colOff>990600</xdr:colOff>
          <xdr:row>21</xdr:row>
          <xdr:rowOff>104775</xdr:rowOff>
        </xdr:to>
        <xdr:grpSp>
          <xdr:nvGrpSpPr>
            <xdr:cNvPr id="23" name="Group 22">
              <a:extLst>
                <a:ext uri="{FF2B5EF4-FFF2-40B4-BE49-F238E27FC236}">
                  <a16:creationId xmlns:a16="http://schemas.microsoft.com/office/drawing/2014/main" id="{00000000-0008-0000-1400-000017000000}"/>
                </a:ext>
              </a:extLst>
            </xdr:cNvPr>
            <xdr:cNvGrpSpPr/>
          </xdr:nvGrpSpPr>
          <xdr:grpSpPr>
            <a:xfrm>
              <a:off x="11677650" y="4610100"/>
              <a:ext cx="990600" cy="23812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14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14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71</xdr:col>
          <xdr:colOff>66675</xdr:colOff>
          <xdr:row>20</xdr:row>
          <xdr:rowOff>47625</xdr:rowOff>
        </xdr:from>
        <xdr:to>
          <xdr:col>72</xdr:col>
          <xdr:colOff>476250</xdr:colOff>
          <xdr:row>21</xdr:row>
          <xdr:rowOff>76200</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28632150" y="4581525"/>
              <a:ext cx="1095375" cy="238125"/>
              <a:chOff x="8201025" y="3448050"/>
              <a:chExt cx="1095375" cy="257175"/>
            </a:xfrm>
          </xdr:grpSpPr>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1400-000012E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9411" name="Button 19" hidden="1">
                <a:extLst>
                  <a:ext uri="{63B3BB69-23CF-44E3-9099-C40C66FF867C}">
                    <a14:compatExt spid="_x0000_s59411"/>
                  </a:ext>
                  <a:ext uri="{FF2B5EF4-FFF2-40B4-BE49-F238E27FC236}">
                    <a16:creationId xmlns:a16="http://schemas.microsoft.com/office/drawing/2014/main" id="{00000000-0008-0000-1400-000013E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13</xdr:col>
      <xdr:colOff>23812</xdr:colOff>
      <xdr:row>2</xdr:row>
      <xdr:rowOff>114300</xdr:rowOff>
    </xdr:from>
    <xdr:to>
      <xdr:col>23</xdr:col>
      <xdr:colOff>13612</xdr:colOff>
      <xdr:row>18</xdr:row>
      <xdr:rowOff>75750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33337</xdr:colOff>
      <xdr:row>2</xdr:row>
      <xdr:rowOff>114300</xdr:rowOff>
    </xdr:from>
    <xdr:to>
      <xdr:col>59</xdr:col>
      <xdr:colOff>604162</xdr:colOff>
      <xdr:row>18</xdr:row>
      <xdr:rowOff>75750</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28574</xdr:colOff>
      <xdr:row>2</xdr:row>
      <xdr:rowOff>114300</xdr:rowOff>
    </xdr:from>
    <xdr:to>
      <xdr:col>43</xdr:col>
      <xdr:colOff>27899</xdr:colOff>
      <xdr:row>18</xdr:row>
      <xdr:rowOff>75750</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647700</xdr:colOff>
      <xdr:row>2</xdr:row>
      <xdr:rowOff>114300</xdr:rowOff>
    </xdr:from>
    <xdr:to>
      <xdr:col>72</xdr:col>
      <xdr:colOff>351975</xdr:colOff>
      <xdr:row>18</xdr:row>
      <xdr:rowOff>75750</xdr:rowOff>
    </xdr:to>
    <xdr:graphicFrame macro="">
      <xdr:nvGraphicFramePr>
        <xdr:cNvPr id="5" name="Chart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85725</xdr:colOff>
          <xdr:row>2</xdr:row>
          <xdr:rowOff>142875</xdr:rowOff>
        </xdr:from>
        <xdr:to>
          <xdr:col>45</xdr:col>
          <xdr:colOff>628650</xdr:colOff>
          <xdr:row>3</xdr:row>
          <xdr:rowOff>171450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14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438150</xdr:colOff>
          <xdr:row>1</xdr:row>
          <xdr:rowOff>219075</xdr:rowOff>
        </xdr:from>
        <xdr:to>
          <xdr:col>29</xdr:col>
          <xdr:colOff>295275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1500-000005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16" name="Graphic 15" descr="Arrow: Straight with solid fill">
          <a:hlinkClick xmlns:r="http://schemas.openxmlformats.org/officeDocument/2006/relationships" r:id="rId1"/>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7</xdr:col>
          <xdr:colOff>409575</xdr:colOff>
          <xdr:row>1</xdr:row>
          <xdr:rowOff>180975</xdr:rowOff>
        </xdr:to>
        <xdr:grpSp>
          <xdr:nvGrpSpPr>
            <xdr:cNvPr id="17" name="Group 16">
              <a:extLst>
                <a:ext uri="{FF2B5EF4-FFF2-40B4-BE49-F238E27FC236}">
                  <a16:creationId xmlns:a16="http://schemas.microsoft.com/office/drawing/2014/main" id="{00000000-0008-0000-1500-000011000000}"/>
                </a:ext>
              </a:extLst>
            </xdr:cNvPr>
            <xdr:cNvGrpSpPr/>
          </xdr:nvGrpSpPr>
          <xdr:grpSpPr>
            <a:xfrm>
              <a:off x="790576" y="104775"/>
              <a:ext cx="3695699" cy="361950"/>
              <a:chOff x="6162676" y="3409950"/>
              <a:chExt cx="3695699" cy="361950"/>
            </a:xfrm>
          </xdr:grpSpPr>
          <xdr:grpSp>
            <xdr:nvGrpSpPr>
              <xdr:cNvPr id="18" name="Group 17">
                <a:extLst>
                  <a:ext uri="{FF2B5EF4-FFF2-40B4-BE49-F238E27FC236}">
                    <a16:creationId xmlns:a16="http://schemas.microsoft.com/office/drawing/2014/main" id="{00000000-0008-0000-1500-000012000000}"/>
                  </a:ext>
                </a:extLst>
              </xdr:cNvPr>
              <xdr:cNvGrpSpPr/>
            </xdr:nvGrpSpPr>
            <xdr:grpSpPr>
              <a:xfrm>
                <a:off x="7867650" y="3409950"/>
                <a:ext cx="1990725" cy="361950"/>
                <a:chOff x="8191500" y="3409950"/>
                <a:chExt cx="1990725" cy="361950"/>
              </a:xfrm>
            </xdr:grpSpPr>
            <xdr:grpSp>
              <xdr:nvGrpSpPr>
                <xdr:cNvPr id="25" name="Group 24">
                  <a:extLst>
                    <a:ext uri="{FF2B5EF4-FFF2-40B4-BE49-F238E27FC236}">
                      <a16:creationId xmlns:a16="http://schemas.microsoft.com/office/drawing/2014/main" id="{00000000-0008-0000-1500-000019000000}"/>
                    </a:ext>
                  </a:extLst>
                </xdr:cNvPr>
                <xdr:cNvGrpSpPr/>
              </xdr:nvGrpSpPr>
              <xdr:grpSpPr>
                <a:xfrm>
                  <a:off x="8302013" y="3452813"/>
                  <a:ext cx="1769699" cy="276225"/>
                  <a:chOff x="8305801" y="3457575"/>
                  <a:chExt cx="1769699" cy="276225"/>
                </a:xfrm>
              </xdr:grpSpPr>
              <xdr:sp macro="" textlink="">
                <xdr:nvSpPr>
                  <xdr:cNvPr id="60427" name="Option Button 11" hidden="1">
                    <a:extLst>
                      <a:ext uri="{63B3BB69-23CF-44E3-9099-C40C66FF867C}">
                        <a14:compatExt spid="_x0000_s60427"/>
                      </a:ext>
                      <a:ext uri="{FF2B5EF4-FFF2-40B4-BE49-F238E27FC236}">
                        <a16:creationId xmlns:a16="http://schemas.microsoft.com/office/drawing/2014/main" id="{00000000-0008-0000-1500-00000BE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0428" name="Option Button 12" hidden="1">
                    <a:extLst>
                      <a:ext uri="{63B3BB69-23CF-44E3-9099-C40C66FF867C}">
                        <a14:compatExt spid="_x0000_s60428"/>
                      </a:ext>
                      <a:ext uri="{FF2B5EF4-FFF2-40B4-BE49-F238E27FC236}">
                        <a16:creationId xmlns:a16="http://schemas.microsoft.com/office/drawing/2014/main" id="{00000000-0008-0000-1500-00000CE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0429" name="Option Button 13" hidden="1">
                    <a:extLst>
                      <a:ext uri="{63B3BB69-23CF-44E3-9099-C40C66FF867C}">
                        <a14:compatExt spid="_x0000_s60429"/>
                      </a:ext>
                      <a:ext uri="{FF2B5EF4-FFF2-40B4-BE49-F238E27FC236}">
                        <a16:creationId xmlns:a16="http://schemas.microsoft.com/office/drawing/2014/main" id="{00000000-0008-0000-1500-00000DE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0430" name="Option Button 14" hidden="1">
                    <a:extLst>
                      <a:ext uri="{63B3BB69-23CF-44E3-9099-C40C66FF867C}">
                        <a14:compatExt spid="_x0000_s60430"/>
                      </a:ext>
                      <a:ext uri="{FF2B5EF4-FFF2-40B4-BE49-F238E27FC236}">
                        <a16:creationId xmlns:a16="http://schemas.microsoft.com/office/drawing/2014/main" id="{00000000-0008-0000-1500-00000EE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0431" name="Group Box 15" hidden="1">
                  <a:extLst>
                    <a:ext uri="{63B3BB69-23CF-44E3-9099-C40C66FF867C}">
                      <a14:compatExt spid="_x0000_s60431"/>
                    </a:ext>
                    <a:ext uri="{FF2B5EF4-FFF2-40B4-BE49-F238E27FC236}">
                      <a16:creationId xmlns:a16="http://schemas.microsoft.com/office/drawing/2014/main" id="{00000000-0008-0000-1500-00000FE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9" name="Group 18">
                <a:extLst>
                  <a:ext uri="{FF2B5EF4-FFF2-40B4-BE49-F238E27FC236}">
                    <a16:creationId xmlns:a16="http://schemas.microsoft.com/office/drawing/2014/main" id="{00000000-0008-0000-1500-000013000000}"/>
                  </a:ext>
                </a:extLst>
              </xdr:cNvPr>
              <xdr:cNvGrpSpPr/>
            </xdr:nvGrpSpPr>
            <xdr:grpSpPr>
              <a:xfrm>
                <a:off x="6162676" y="3409950"/>
                <a:ext cx="1657350" cy="361950"/>
                <a:chOff x="6162676" y="3409950"/>
                <a:chExt cx="1657350" cy="361950"/>
              </a:xfrm>
            </xdr:grpSpPr>
            <xdr:sp macro="" textlink="">
              <xdr:nvSpPr>
                <xdr:cNvPr id="60432" name="Group Box 16" hidden="1">
                  <a:extLst>
                    <a:ext uri="{63B3BB69-23CF-44E3-9099-C40C66FF867C}">
                      <a14:compatExt spid="_x0000_s60432"/>
                    </a:ext>
                    <a:ext uri="{FF2B5EF4-FFF2-40B4-BE49-F238E27FC236}">
                      <a16:creationId xmlns:a16="http://schemas.microsoft.com/office/drawing/2014/main" id="{00000000-0008-0000-1500-000010E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1" name="Group 20">
                  <a:extLst>
                    <a:ext uri="{FF2B5EF4-FFF2-40B4-BE49-F238E27FC236}">
                      <a16:creationId xmlns:a16="http://schemas.microsoft.com/office/drawing/2014/main" id="{00000000-0008-0000-1500-000015000000}"/>
                    </a:ext>
                  </a:extLst>
                </xdr:cNvPr>
                <xdr:cNvGrpSpPr/>
              </xdr:nvGrpSpPr>
              <xdr:grpSpPr>
                <a:xfrm>
                  <a:off x="6243639" y="3500925"/>
                  <a:ext cx="1495425" cy="180000"/>
                  <a:chOff x="6029325" y="4257675"/>
                  <a:chExt cx="1495425" cy="257175"/>
                </a:xfrm>
              </xdr:grpSpPr>
              <xdr:sp macro="" textlink="">
                <xdr:nvSpPr>
                  <xdr:cNvPr id="60433" name="Button 17" hidden="1">
                    <a:extLst>
                      <a:ext uri="{63B3BB69-23CF-44E3-9099-C40C66FF867C}">
                        <a14:compatExt spid="_x0000_s60433"/>
                      </a:ext>
                      <a:ext uri="{FF2B5EF4-FFF2-40B4-BE49-F238E27FC236}">
                        <a16:creationId xmlns:a16="http://schemas.microsoft.com/office/drawing/2014/main" id="{00000000-0008-0000-1500-000011E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0434" name="Button 18" hidden="1">
                    <a:extLst>
                      <a:ext uri="{63B3BB69-23CF-44E3-9099-C40C66FF867C}">
                        <a14:compatExt spid="_x0000_s60434"/>
                      </a:ext>
                      <a:ext uri="{FF2B5EF4-FFF2-40B4-BE49-F238E27FC236}">
                        <a16:creationId xmlns:a16="http://schemas.microsoft.com/office/drawing/2014/main" id="{00000000-0008-0000-1500-000012E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0435" name="Button 19" hidden="1">
                    <a:extLst>
                      <a:ext uri="{63B3BB69-23CF-44E3-9099-C40C66FF867C}">
                        <a14:compatExt spid="_x0000_s60435"/>
                      </a:ext>
                      <a:ext uri="{FF2B5EF4-FFF2-40B4-BE49-F238E27FC236}">
                        <a16:creationId xmlns:a16="http://schemas.microsoft.com/office/drawing/2014/main" id="{00000000-0008-0000-1500-000013E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85725</xdr:rowOff>
        </xdr:from>
        <xdr:to>
          <xdr:col>8</xdr:col>
          <xdr:colOff>990600</xdr:colOff>
          <xdr:row>1</xdr:row>
          <xdr:rowOff>57150</xdr:rowOff>
        </xdr:to>
        <xdr:grpSp>
          <xdr:nvGrpSpPr>
            <xdr:cNvPr id="24" name="Group 23">
              <a:extLst>
                <a:ext uri="{FF2B5EF4-FFF2-40B4-BE49-F238E27FC236}">
                  <a16:creationId xmlns:a16="http://schemas.microsoft.com/office/drawing/2014/main" id="{00000000-0008-0000-1500-000018000000}"/>
                </a:ext>
              </a:extLst>
            </xdr:cNvPr>
            <xdr:cNvGrpSpPr/>
          </xdr:nvGrpSpPr>
          <xdr:grpSpPr>
            <a:xfrm>
              <a:off x="4953000" y="85725"/>
              <a:ext cx="990600" cy="257175"/>
              <a:chOff x="771525" y="1314450"/>
              <a:chExt cx="990600" cy="257175"/>
            </a:xfrm>
          </xdr:grpSpPr>
          <xdr:sp macro="" textlink="">
            <xdr:nvSpPr>
              <xdr:cNvPr id="60436" name="Button 20" hidden="1">
                <a:extLst>
                  <a:ext uri="{63B3BB69-23CF-44E3-9099-C40C66FF867C}">
                    <a14:compatExt spid="_x0000_s60436"/>
                  </a:ext>
                  <a:ext uri="{FF2B5EF4-FFF2-40B4-BE49-F238E27FC236}">
                    <a16:creationId xmlns:a16="http://schemas.microsoft.com/office/drawing/2014/main" id="{00000000-0008-0000-1500-000014E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0437" name="Button 21" hidden="1">
                <a:extLst>
                  <a:ext uri="{63B3BB69-23CF-44E3-9099-C40C66FF867C}">
                    <a14:compatExt spid="_x0000_s60437"/>
                  </a:ext>
                  <a:ext uri="{FF2B5EF4-FFF2-40B4-BE49-F238E27FC236}">
                    <a16:creationId xmlns:a16="http://schemas.microsoft.com/office/drawing/2014/main" id="{00000000-0008-0000-1500-000015E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123825</xdr:colOff>
          <xdr:row>0</xdr:row>
          <xdr:rowOff>123825</xdr:rowOff>
        </xdr:from>
        <xdr:to>
          <xdr:col>29</xdr:col>
          <xdr:colOff>533400</xdr:colOff>
          <xdr:row>1</xdr:row>
          <xdr:rowOff>95250</xdr:rowOff>
        </xdr:to>
        <xdr:grpSp>
          <xdr:nvGrpSpPr>
            <xdr:cNvPr id="26" name="Group 25">
              <a:extLst>
                <a:ext uri="{FF2B5EF4-FFF2-40B4-BE49-F238E27FC236}">
                  <a16:creationId xmlns:a16="http://schemas.microsoft.com/office/drawing/2014/main" id="{00000000-0008-0000-1500-00001A000000}"/>
                </a:ext>
              </a:extLst>
            </xdr:cNvPr>
            <xdr:cNvGrpSpPr/>
          </xdr:nvGrpSpPr>
          <xdr:grpSpPr>
            <a:xfrm>
              <a:off x="27822525" y="123825"/>
              <a:ext cx="1095375" cy="257175"/>
              <a:chOff x="8201025" y="3448050"/>
              <a:chExt cx="1095375" cy="257175"/>
            </a:xfrm>
          </xdr:grpSpPr>
          <xdr:sp macro="" textlink="">
            <xdr:nvSpPr>
              <xdr:cNvPr id="60438" name="Button 22" hidden="1">
                <a:extLst>
                  <a:ext uri="{63B3BB69-23CF-44E3-9099-C40C66FF867C}">
                    <a14:compatExt spid="_x0000_s60438"/>
                  </a:ext>
                  <a:ext uri="{FF2B5EF4-FFF2-40B4-BE49-F238E27FC236}">
                    <a16:creationId xmlns:a16="http://schemas.microsoft.com/office/drawing/2014/main" id="{00000000-0008-0000-1500-000016E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0439" name="Button 23" hidden="1">
                <a:extLst>
                  <a:ext uri="{63B3BB69-23CF-44E3-9099-C40C66FF867C}">
                    <a14:compatExt spid="_x0000_s60439"/>
                  </a:ext>
                  <a:ext uri="{FF2B5EF4-FFF2-40B4-BE49-F238E27FC236}">
                    <a16:creationId xmlns:a16="http://schemas.microsoft.com/office/drawing/2014/main" id="{00000000-0008-0000-1500-000017EC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57150</xdr:rowOff>
        </xdr:from>
        <xdr:to>
          <xdr:col>15</xdr:col>
          <xdr:colOff>323850</xdr:colOff>
          <xdr:row>1</xdr:row>
          <xdr:rowOff>85725</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733425" y="57150"/>
              <a:ext cx="0" cy="257175"/>
              <a:chOff x="0" y="57148"/>
              <a:chExt cx="0" cy="1514477"/>
            </a:xfrm>
          </xdr:grpSpPr>
          <xdr:sp macro="" textlink="">
            <xdr:nvSpPr>
              <xdr:cNvPr id="61447" name="Button 7" hidden="1">
                <a:extLst>
                  <a:ext uri="{63B3BB69-23CF-44E3-9099-C40C66FF867C}">
                    <a14:compatExt spid="_x0000_s61447"/>
                  </a:ext>
                  <a:ext uri="{FF2B5EF4-FFF2-40B4-BE49-F238E27FC236}">
                    <a16:creationId xmlns:a16="http://schemas.microsoft.com/office/drawing/2014/main" id="{00000000-0008-0000-1600-000007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48" name="Button 8" hidden="1">
                <a:extLst>
                  <a:ext uri="{63B3BB69-23CF-44E3-9099-C40C66FF867C}">
                    <a14:compatExt spid="_x0000_s61448"/>
                  </a:ext>
                  <a:ext uri="{FF2B5EF4-FFF2-40B4-BE49-F238E27FC236}">
                    <a16:creationId xmlns:a16="http://schemas.microsoft.com/office/drawing/2014/main" id="{00000000-0008-0000-1600-000008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57150</xdr:rowOff>
        </xdr:from>
        <xdr:to>
          <xdr:col>10</xdr:col>
          <xdr:colOff>581025</xdr:colOff>
          <xdr:row>1</xdr:row>
          <xdr:rowOff>85725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733425" y="57150"/>
              <a:ext cx="0" cy="257175"/>
              <a:chOff x="0" y="57148"/>
              <a:chExt cx="0" cy="1514477"/>
            </a:xfrm>
          </xdr:grpSpPr>
          <xdr:sp macro="" textlink="">
            <xdr:nvSpPr>
              <xdr:cNvPr id="61449" name="Button 9" hidden="1">
                <a:extLst>
                  <a:ext uri="{63B3BB69-23CF-44E3-9099-C40C66FF867C}">
                    <a14:compatExt spid="_x0000_s61449"/>
                  </a:ext>
                  <a:ext uri="{FF2B5EF4-FFF2-40B4-BE49-F238E27FC236}">
                    <a16:creationId xmlns:a16="http://schemas.microsoft.com/office/drawing/2014/main" id="{00000000-0008-0000-1600-000009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1600-00000A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0</xdr:row>
          <xdr:rowOff>57150</xdr:rowOff>
        </xdr:from>
        <xdr:to>
          <xdr:col>2</xdr:col>
          <xdr:colOff>542925</xdr:colOff>
          <xdr:row>1</xdr:row>
          <xdr:rowOff>85725</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733425" y="57150"/>
              <a:ext cx="0" cy="257175"/>
              <a:chOff x="0" y="57148"/>
              <a:chExt cx="0" cy="1514477"/>
            </a:xfrm>
          </xdr:grpSpPr>
          <xdr:sp macro="" textlink="">
            <xdr:nvSpPr>
              <xdr:cNvPr id="61451" name="Button 11" hidden="1">
                <a:extLst>
                  <a:ext uri="{63B3BB69-23CF-44E3-9099-C40C66FF867C}">
                    <a14:compatExt spid="_x0000_s61451"/>
                  </a:ext>
                  <a:ext uri="{FF2B5EF4-FFF2-40B4-BE49-F238E27FC236}">
                    <a16:creationId xmlns:a16="http://schemas.microsoft.com/office/drawing/2014/main" id="{00000000-0008-0000-1600-00000B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2" name="Button 12" hidden="1">
                <a:extLst>
                  <a:ext uri="{63B3BB69-23CF-44E3-9099-C40C66FF867C}">
                    <a14:compatExt spid="_x0000_s61452"/>
                  </a:ext>
                  <a:ext uri="{FF2B5EF4-FFF2-40B4-BE49-F238E27FC236}">
                    <a16:creationId xmlns:a16="http://schemas.microsoft.com/office/drawing/2014/main" id="{00000000-0008-0000-1600-00000C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866775"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6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16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16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16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16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16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866775"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16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6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16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16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16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1685925"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16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16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152400</xdr:colOff>
          <xdr:row>5</xdr:row>
          <xdr:rowOff>171450</xdr:rowOff>
        </xdr:from>
        <xdr:to>
          <xdr:col>66</xdr:col>
          <xdr:colOff>9525</xdr:colOff>
          <xdr:row>6</xdr:row>
          <xdr:rowOff>200025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16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600-00001D000000}"/>
                </a:ext>
              </a:extLst>
            </xdr:cNvPr>
            <xdr:cNvGrpSpPr/>
          </xdr:nvGrpSpPr>
          <xdr:grpSpPr>
            <a:xfrm>
              <a:off x="2068830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16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16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762000</xdr:colOff>
          <xdr:row>1</xdr:row>
          <xdr:rowOff>161925</xdr:rowOff>
        </xdr:from>
        <xdr:to>
          <xdr:col>5</xdr:col>
          <xdr:colOff>851253</xdr:colOff>
          <xdr:row>2</xdr:row>
          <xdr:rowOff>172745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4438650" y="390525"/>
              <a:ext cx="1108428" cy="239420"/>
              <a:chOff x="8201081" y="3448050"/>
              <a:chExt cx="1190631" cy="257175"/>
            </a:xfrm>
          </xdr:grpSpPr>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1700-000003F40000}"/>
                  </a:ext>
                </a:extLst>
              </xdr:cNvPr>
              <xdr:cNvSpPr/>
            </xdr:nvSpPr>
            <xdr:spPr bwMode="auto">
              <a:xfrm>
                <a:off x="8201081" y="3448050"/>
                <a:ext cx="51435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1700-000004F40000}"/>
                  </a:ext>
                </a:extLst>
              </xdr:cNvPr>
              <xdr:cNvSpPr/>
            </xdr:nvSpPr>
            <xdr:spPr bwMode="auto">
              <a:xfrm>
                <a:off x="8848789" y="3448050"/>
                <a:ext cx="54292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485775</xdr:colOff>
          <xdr:row>0</xdr:row>
          <xdr:rowOff>123825</xdr:rowOff>
        </xdr:from>
        <xdr:to>
          <xdr:col>16</xdr:col>
          <xdr:colOff>990600</xdr:colOff>
          <xdr:row>1</xdr:row>
          <xdr:rowOff>152400</xdr:rowOff>
        </xdr:to>
        <xdr:grpSp>
          <xdr:nvGrpSpPr>
            <xdr:cNvPr id="8" name="Group 7">
              <a:extLst>
                <a:ext uri="{FF2B5EF4-FFF2-40B4-BE49-F238E27FC236}">
                  <a16:creationId xmlns:a16="http://schemas.microsoft.com/office/drawing/2014/main" id="{00000000-0008-0000-1700-000008000000}"/>
                </a:ext>
              </a:extLst>
            </xdr:cNvPr>
            <xdr:cNvGrpSpPr/>
          </xdr:nvGrpSpPr>
          <xdr:grpSpPr>
            <a:xfrm>
              <a:off x="11801475" y="123825"/>
              <a:ext cx="1190625" cy="257175"/>
              <a:chOff x="8201025" y="3448050"/>
              <a:chExt cx="1190625" cy="257175"/>
            </a:xfrm>
          </xdr:grpSpPr>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1700-000007F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1700-000008F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1</xdr:row>
          <xdr:rowOff>190500</xdr:rowOff>
        </xdr:from>
        <xdr:to>
          <xdr:col>18</xdr:col>
          <xdr:colOff>85725</xdr:colOff>
          <xdr:row>2</xdr:row>
          <xdr:rowOff>219075</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1700-00000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1</xdr:col>
      <xdr:colOff>57150</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619125</xdr:colOff>
          <xdr:row>2</xdr:row>
          <xdr:rowOff>9525</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600076"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7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17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17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17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17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17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17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7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17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17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17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76200</xdr:rowOff>
        </xdr:from>
        <xdr:to>
          <xdr:col>5</xdr:col>
          <xdr:colOff>847725</xdr:colOff>
          <xdr:row>1</xdr:row>
          <xdr:rowOff>104775</xdr:rowOff>
        </xdr:to>
        <xdr:grpSp>
          <xdr:nvGrpSpPr>
            <xdr:cNvPr id="30" name="Group 29">
              <a:extLst>
                <a:ext uri="{FF2B5EF4-FFF2-40B4-BE49-F238E27FC236}">
                  <a16:creationId xmlns:a16="http://schemas.microsoft.com/office/drawing/2014/main" id="{00000000-0008-0000-1700-00001E000000}"/>
                </a:ext>
              </a:extLst>
            </xdr:cNvPr>
            <xdr:cNvGrpSpPr/>
          </xdr:nvGrpSpPr>
          <xdr:grpSpPr>
            <a:xfrm>
              <a:off x="4438650"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17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17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133350</xdr:rowOff>
        </xdr:from>
        <xdr:to>
          <xdr:col>10</xdr:col>
          <xdr:colOff>266700</xdr:colOff>
          <xdr:row>1</xdr:row>
          <xdr:rowOff>161925</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353175" y="133350"/>
              <a:ext cx="1104900" cy="257175"/>
              <a:chOff x="771525" y="1314450"/>
              <a:chExt cx="1104900" cy="257175"/>
            </a:xfrm>
          </xdr:grpSpPr>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1700-000019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90" name="Button 26" hidden="1">
                <a:extLst>
                  <a:ext uri="{63B3BB69-23CF-44E3-9099-C40C66FF867C}">
                    <a14:compatExt spid="_x0000_s62490"/>
                  </a:ext>
                  <a:ext uri="{FF2B5EF4-FFF2-40B4-BE49-F238E27FC236}">
                    <a16:creationId xmlns:a16="http://schemas.microsoft.com/office/drawing/2014/main" id="{00000000-0008-0000-1700-00001A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8</xdr:col>
      <xdr:colOff>38100</xdr:colOff>
      <xdr:row>2</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28576</xdr:colOff>
          <xdr:row>0</xdr:row>
          <xdr:rowOff>85725</xdr:rowOff>
        </xdr:from>
        <xdr:to>
          <xdr:col>12</xdr:col>
          <xdr:colOff>1104900</xdr:colOff>
          <xdr:row>1</xdr:row>
          <xdr:rowOff>152400</xdr:rowOff>
        </xdr:to>
        <xdr:grpSp>
          <xdr:nvGrpSpPr>
            <xdr:cNvPr id="7" name="Group 6">
              <a:extLst>
                <a:ext uri="{FF2B5EF4-FFF2-40B4-BE49-F238E27FC236}">
                  <a16:creationId xmlns:a16="http://schemas.microsoft.com/office/drawing/2014/main" id="{00000000-0008-0000-1800-000007000000}"/>
                </a:ext>
              </a:extLst>
            </xdr:cNvPr>
            <xdr:cNvGrpSpPr/>
          </xdr:nvGrpSpPr>
          <xdr:grpSpPr>
            <a:xfrm>
              <a:off x="781051" y="85725"/>
              <a:ext cx="3695699" cy="361950"/>
              <a:chOff x="6162676" y="3409950"/>
              <a:chExt cx="3695699" cy="361950"/>
            </a:xfrm>
          </xdr:grpSpPr>
          <xdr:grpSp>
            <xdr:nvGrpSpPr>
              <xdr:cNvPr id="8" name="Group 7">
                <a:extLst>
                  <a:ext uri="{FF2B5EF4-FFF2-40B4-BE49-F238E27FC236}">
                    <a16:creationId xmlns:a16="http://schemas.microsoft.com/office/drawing/2014/main" id="{00000000-0008-0000-18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800-00000B000000}"/>
                    </a:ext>
                  </a:extLst>
                </xdr:cNvPr>
                <xdr:cNvGrpSpPr/>
              </xdr:nvGrpSpPr>
              <xdr:grpSpPr>
                <a:xfrm>
                  <a:off x="8302013" y="3452813"/>
                  <a:ext cx="1769699" cy="276225"/>
                  <a:chOff x="8305801" y="3457575"/>
                  <a:chExt cx="1769699" cy="276225"/>
                </a:xfrm>
              </xdr:grpSpPr>
              <xdr:sp macro="" textlink="">
                <xdr:nvSpPr>
                  <xdr:cNvPr id="63494" name="Option Button 6" hidden="1">
                    <a:extLst>
                      <a:ext uri="{63B3BB69-23CF-44E3-9099-C40C66FF867C}">
                        <a14:compatExt spid="_x0000_s63494"/>
                      </a:ext>
                      <a:ext uri="{FF2B5EF4-FFF2-40B4-BE49-F238E27FC236}">
                        <a16:creationId xmlns:a16="http://schemas.microsoft.com/office/drawing/2014/main" id="{00000000-0008-0000-1800-000006F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3495" name="Option Button 7" hidden="1">
                    <a:extLst>
                      <a:ext uri="{63B3BB69-23CF-44E3-9099-C40C66FF867C}">
                        <a14:compatExt spid="_x0000_s63495"/>
                      </a:ext>
                      <a:ext uri="{FF2B5EF4-FFF2-40B4-BE49-F238E27FC236}">
                        <a16:creationId xmlns:a16="http://schemas.microsoft.com/office/drawing/2014/main" id="{00000000-0008-0000-1800-000007F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3496" name="Option Button 8" hidden="1">
                    <a:extLst>
                      <a:ext uri="{63B3BB69-23CF-44E3-9099-C40C66FF867C}">
                        <a14:compatExt spid="_x0000_s63496"/>
                      </a:ext>
                      <a:ext uri="{FF2B5EF4-FFF2-40B4-BE49-F238E27FC236}">
                        <a16:creationId xmlns:a16="http://schemas.microsoft.com/office/drawing/2014/main" id="{00000000-0008-0000-1800-000008F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3497" name="Option Button 9" hidden="1">
                    <a:extLst>
                      <a:ext uri="{63B3BB69-23CF-44E3-9099-C40C66FF867C}">
                        <a14:compatExt spid="_x0000_s63497"/>
                      </a:ext>
                      <a:ext uri="{FF2B5EF4-FFF2-40B4-BE49-F238E27FC236}">
                        <a16:creationId xmlns:a16="http://schemas.microsoft.com/office/drawing/2014/main" id="{00000000-0008-0000-1800-000009F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3498" name="Group Box 10" hidden="1">
                  <a:extLst>
                    <a:ext uri="{63B3BB69-23CF-44E3-9099-C40C66FF867C}">
                      <a14:compatExt spid="_x0000_s63498"/>
                    </a:ext>
                    <a:ext uri="{FF2B5EF4-FFF2-40B4-BE49-F238E27FC236}">
                      <a16:creationId xmlns:a16="http://schemas.microsoft.com/office/drawing/2014/main" id="{00000000-0008-0000-1800-00000AF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800-000009000000}"/>
                  </a:ext>
                </a:extLst>
              </xdr:cNvPr>
              <xdr:cNvGrpSpPr/>
            </xdr:nvGrpSpPr>
            <xdr:grpSpPr>
              <a:xfrm>
                <a:off x="6162676" y="3409950"/>
                <a:ext cx="1657350" cy="361950"/>
                <a:chOff x="6162676" y="3409950"/>
                <a:chExt cx="1657350" cy="361950"/>
              </a:xfrm>
            </xdr:grpSpPr>
            <xdr:sp macro="" textlink="">
              <xdr:nvSpPr>
                <xdr:cNvPr id="63499" name="Group Box 11" hidden="1">
                  <a:extLst>
                    <a:ext uri="{63B3BB69-23CF-44E3-9099-C40C66FF867C}">
                      <a14:compatExt spid="_x0000_s63499"/>
                    </a:ext>
                    <a:ext uri="{FF2B5EF4-FFF2-40B4-BE49-F238E27FC236}">
                      <a16:creationId xmlns:a16="http://schemas.microsoft.com/office/drawing/2014/main" id="{00000000-0008-0000-1800-00000BF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800-00000A000000}"/>
                    </a:ext>
                  </a:extLst>
                </xdr:cNvPr>
                <xdr:cNvGrpSpPr/>
              </xdr:nvGrpSpPr>
              <xdr:grpSpPr>
                <a:xfrm>
                  <a:off x="6243639" y="3500925"/>
                  <a:ext cx="1495425" cy="180000"/>
                  <a:chOff x="6029325" y="4257675"/>
                  <a:chExt cx="1495425" cy="257175"/>
                </a:xfrm>
              </xdr:grpSpPr>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1800-00000CF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1800-00000DF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1800-00000EF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0</xdr:row>
          <xdr:rowOff>95250</xdr:rowOff>
        </xdr:from>
        <xdr:to>
          <xdr:col>14</xdr:col>
          <xdr:colOff>314325</xdr:colOff>
          <xdr:row>1</xdr:row>
          <xdr:rowOff>57150</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5038725" y="95250"/>
              <a:ext cx="990600" cy="257175"/>
              <a:chOff x="771525" y="1314450"/>
              <a:chExt cx="990600" cy="257175"/>
            </a:xfrm>
          </xdr:grpSpPr>
          <xdr:sp macro="" textlink="">
            <xdr:nvSpPr>
              <xdr:cNvPr id="63503" name="Button 15" hidden="1">
                <a:extLst>
                  <a:ext uri="{63B3BB69-23CF-44E3-9099-C40C66FF867C}">
                    <a14:compatExt spid="_x0000_s63503"/>
                  </a:ext>
                  <a:ext uri="{FF2B5EF4-FFF2-40B4-BE49-F238E27FC236}">
                    <a16:creationId xmlns:a16="http://schemas.microsoft.com/office/drawing/2014/main" id="{00000000-0008-0000-1800-00000FF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3504" name="Button 16" hidden="1">
                <a:extLst>
                  <a:ext uri="{63B3BB69-23CF-44E3-9099-C40C66FF867C}">
                    <a14:compatExt spid="_x0000_s63504"/>
                  </a:ext>
                  <a:ext uri="{FF2B5EF4-FFF2-40B4-BE49-F238E27FC236}">
                    <a16:creationId xmlns:a16="http://schemas.microsoft.com/office/drawing/2014/main" id="{00000000-0008-0000-1800-000010F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0</xdr:row>
          <xdr:rowOff>95250</xdr:rowOff>
        </xdr:from>
        <xdr:to>
          <xdr:col>18</xdr:col>
          <xdr:colOff>514350</xdr:colOff>
          <xdr:row>1</xdr:row>
          <xdr:rowOff>57150</xdr:rowOff>
        </xdr:to>
        <xdr:grpSp>
          <xdr:nvGrpSpPr>
            <xdr:cNvPr id="24" name="Group 23">
              <a:extLst>
                <a:ext uri="{FF2B5EF4-FFF2-40B4-BE49-F238E27FC236}">
                  <a16:creationId xmlns:a16="http://schemas.microsoft.com/office/drawing/2014/main" id="{00000000-0008-0000-1800-000018000000}"/>
                </a:ext>
              </a:extLst>
            </xdr:cNvPr>
            <xdr:cNvGrpSpPr/>
          </xdr:nvGrpSpPr>
          <xdr:grpSpPr>
            <a:xfrm>
              <a:off x="8553450" y="95250"/>
              <a:ext cx="1095375" cy="257175"/>
              <a:chOff x="8201025" y="3448050"/>
              <a:chExt cx="1095375" cy="257175"/>
            </a:xfrm>
          </xdr:grpSpPr>
          <xdr:sp macro="" textlink="">
            <xdr:nvSpPr>
              <xdr:cNvPr id="63505" name="Button 17" hidden="1">
                <a:extLst>
                  <a:ext uri="{63B3BB69-23CF-44E3-9099-C40C66FF867C}">
                    <a14:compatExt spid="_x0000_s63505"/>
                  </a:ext>
                  <a:ext uri="{FF2B5EF4-FFF2-40B4-BE49-F238E27FC236}">
                    <a16:creationId xmlns:a16="http://schemas.microsoft.com/office/drawing/2014/main" id="{00000000-0008-0000-1800-000011F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3506" name="Button 18" hidden="1">
                <a:extLst>
                  <a:ext uri="{63B3BB69-23CF-44E3-9099-C40C66FF867C}">
                    <a14:compatExt spid="_x0000_s63506"/>
                  </a:ext>
                  <a:ext uri="{FF2B5EF4-FFF2-40B4-BE49-F238E27FC236}">
                    <a16:creationId xmlns:a16="http://schemas.microsoft.com/office/drawing/2014/main" id="{00000000-0008-0000-1800-000012F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7</xdr:col>
      <xdr:colOff>533400</xdr:colOff>
      <xdr:row>2</xdr:row>
      <xdr:rowOff>47624</xdr:rowOff>
    </xdr:from>
    <xdr:to>
      <xdr:col>15</xdr:col>
      <xdr:colOff>1037325</xdr:colOff>
      <xdr:row>17</xdr:row>
      <xdr:rowOff>218624</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152400</xdr:rowOff>
        </xdr:from>
        <xdr:to>
          <xdr:col>9</xdr:col>
          <xdr:colOff>161925</xdr:colOff>
          <xdr:row>4</xdr:row>
          <xdr:rowOff>180975</xdr:rowOff>
        </xdr:to>
        <xdr:sp macro="" textlink="">
          <xdr:nvSpPr>
            <xdr:cNvPr id="63508" name="Button 20" hidden="1">
              <a:extLst>
                <a:ext uri="{63B3BB69-23CF-44E3-9099-C40C66FF867C}">
                  <a14:compatExt spid="_x0000_s63508"/>
                </a:ext>
                <a:ext uri="{FF2B5EF4-FFF2-40B4-BE49-F238E27FC236}">
                  <a16:creationId xmlns:a16="http://schemas.microsoft.com/office/drawing/2014/main" id="{00000000-0008-0000-1800-000014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11</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152400</xdr:colOff>
          <xdr:row>1</xdr:row>
          <xdr:rowOff>171450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900-00000B000000}"/>
                    </a:ext>
                  </a:extLst>
                </xdr:cNvPr>
                <xdr:cNvGrpSpPr/>
              </xdr:nvGrpSpPr>
              <xdr:grpSpPr>
                <a:xfrm>
                  <a:off x="8302013" y="3452813"/>
                  <a:ext cx="1769699" cy="276225"/>
                  <a:chOff x="8305801" y="3457575"/>
                  <a:chExt cx="1769699" cy="276225"/>
                </a:xfrm>
              </xdr:grpSpPr>
              <xdr:sp macro="" textlink="">
                <xdr:nvSpPr>
                  <xdr:cNvPr id="66566" name="Option 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6567" name="Option 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6568" name="Option 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6569" name="Option 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6570" name="Group Box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900-000009000000}"/>
                  </a:ext>
                </a:extLst>
              </xdr:cNvPr>
              <xdr:cNvGrpSpPr/>
            </xdr:nvGrpSpPr>
            <xdr:grpSpPr>
              <a:xfrm>
                <a:off x="6162676" y="3409950"/>
                <a:ext cx="1657350" cy="361950"/>
                <a:chOff x="6162676" y="3409950"/>
                <a:chExt cx="1657350" cy="361950"/>
              </a:xfrm>
            </xdr:grpSpPr>
            <xdr:sp macro="" textlink="">
              <xdr:nvSpPr>
                <xdr:cNvPr id="66571" name="Group Box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900-00000A000000}"/>
                    </a:ext>
                  </a:extLst>
                </xdr:cNvPr>
                <xdr:cNvGrpSpPr/>
              </xdr:nvGrpSpPr>
              <xdr:grpSpPr>
                <a:xfrm>
                  <a:off x="6243639" y="3500925"/>
                  <a:ext cx="1495425" cy="180000"/>
                  <a:chOff x="6029325" y="4257675"/>
                  <a:chExt cx="1495425" cy="257175"/>
                </a:xfrm>
              </xdr:grpSpPr>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6573" name="Button 13" hidden="1">
                    <a:extLst>
                      <a:ext uri="{63B3BB69-23CF-44E3-9099-C40C66FF867C}">
                        <a14:compatExt spid="_x0000_s66573"/>
                      </a:ext>
                      <a:ext uri="{FF2B5EF4-FFF2-40B4-BE49-F238E27FC236}">
                        <a16:creationId xmlns:a16="http://schemas.microsoft.com/office/drawing/2014/main" id="{00000000-0008-0000-1900-00000D0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0</xdr:row>
          <xdr:rowOff>142875</xdr:rowOff>
        </xdr:from>
        <xdr:to>
          <xdr:col>7</xdr:col>
          <xdr:colOff>381000</xdr:colOff>
          <xdr:row>1</xdr:row>
          <xdr:rowOff>104775</xdr:rowOff>
        </xdr:to>
        <xdr:grpSp>
          <xdr:nvGrpSpPr>
            <xdr:cNvPr id="23" name="Group 22">
              <a:extLst>
                <a:ext uri="{FF2B5EF4-FFF2-40B4-BE49-F238E27FC236}">
                  <a16:creationId xmlns:a16="http://schemas.microsoft.com/office/drawing/2014/main" id="{00000000-0008-0000-1900-000017000000}"/>
                </a:ext>
              </a:extLst>
            </xdr:cNvPr>
            <xdr:cNvGrpSpPr/>
          </xdr:nvGrpSpPr>
          <xdr:grpSpPr>
            <a:xfrm>
              <a:off x="4772025" y="142875"/>
              <a:ext cx="990600" cy="257175"/>
              <a:chOff x="771525" y="1314450"/>
              <a:chExt cx="990600" cy="257175"/>
            </a:xfrm>
          </xdr:grpSpPr>
          <xdr:sp macro="" textlink="">
            <xdr:nvSpPr>
              <xdr:cNvPr id="66575" name="Button 15"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6576" name="Button 16" hidden="1">
                <a:extLst>
                  <a:ext uri="{63B3BB69-23CF-44E3-9099-C40C66FF867C}">
                    <a14:compatExt spid="_x0000_s66576"/>
                  </a:ext>
                  <a:ext uri="{FF2B5EF4-FFF2-40B4-BE49-F238E27FC236}">
                    <a16:creationId xmlns:a16="http://schemas.microsoft.com/office/drawing/2014/main" id="{00000000-0008-0000-1900-0000100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123825</xdr:rowOff>
        </xdr:from>
        <xdr:to>
          <xdr:col>11</xdr:col>
          <xdr:colOff>438150</xdr:colOff>
          <xdr:row>1</xdr:row>
          <xdr:rowOff>85725</xdr:rowOff>
        </xdr:to>
        <xdr:grpSp>
          <xdr:nvGrpSpPr>
            <xdr:cNvPr id="24" name="Group 23">
              <a:extLst>
                <a:ext uri="{FF2B5EF4-FFF2-40B4-BE49-F238E27FC236}">
                  <a16:creationId xmlns:a16="http://schemas.microsoft.com/office/drawing/2014/main" id="{00000000-0008-0000-1900-000018000000}"/>
                </a:ext>
              </a:extLst>
            </xdr:cNvPr>
            <xdr:cNvGrpSpPr/>
          </xdr:nvGrpSpPr>
          <xdr:grpSpPr>
            <a:xfrm>
              <a:off x="8982075" y="123825"/>
              <a:ext cx="1095375" cy="257175"/>
              <a:chOff x="8201025" y="3448050"/>
              <a:chExt cx="1095375" cy="257175"/>
            </a:xfrm>
          </xdr:grpSpPr>
          <xdr:sp macro="" textlink="">
            <xdr:nvSpPr>
              <xdr:cNvPr id="66577" name="Button 17" hidden="1">
                <a:extLst>
                  <a:ext uri="{63B3BB69-23CF-44E3-9099-C40C66FF867C}">
                    <a14:compatExt spid="_x0000_s66577"/>
                  </a:ext>
                  <a:ext uri="{FF2B5EF4-FFF2-40B4-BE49-F238E27FC236}">
                    <a16:creationId xmlns:a16="http://schemas.microsoft.com/office/drawing/2014/main" id="{00000000-0008-0000-1900-0000110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6578" name="Button 18" hidden="1">
                <a:extLst>
                  <a:ext uri="{63B3BB69-23CF-44E3-9099-C40C66FF867C}">
                    <a14:compatExt spid="_x0000_s66578"/>
                  </a:ext>
                  <a:ext uri="{FF2B5EF4-FFF2-40B4-BE49-F238E27FC236}">
                    <a16:creationId xmlns:a16="http://schemas.microsoft.com/office/drawing/2014/main" id="{00000000-0008-0000-1900-0000120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152400</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95251</xdr:colOff>
          <xdr:row>0</xdr:row>
          <xdr:rowOff>95250</xdr:rowOff>
        </xdr:from>
        <xdr:to>
          <xdr:col>21</xdr:col>
          <xdr:colOff>85725</xdr:colOff>
          <xdr:row>1</xdr:row>
          <xdr:rowOff>171450</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2486026" y="95250"/>
              <a:ext cx="3695699" cy="361950"/>
              <a:chOff x="6162676" y="3409950"/>
              <a:chExt cx="3695699" cy="361950"/>
            </a:xfrm>
          </xdr:grpSpPr>
          <xdr:grpSp>
            <xdr:nvGrpSpPr>
              <xdr:cNvPr id="8" name="Group 7">
                <a:extLst>
                  <a:ext uri="{FF2B5EF4-FFF2-40B4-BE49-F238E27FC236}">
                    <a16:creationId xmlns:a16="http://schemas.microsoft.com/office/drawing/2014/main" id="{00000000-0008-0000-1A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A00-00000B000000}"/>
                    </a:ext>
                  </a:extLst>
                </xdr:cNvPr>
                <xdr:cNvGrpSpPr/>
              </xdr:nvGrpSpPr>
              <xdr:grpSpPr>
                <a:xfrm>
                  <a:off x="8302013" y="3452813"/>
                  <a:ext cx="1769699" cy="276225"/>
                  <a:chOff x="8305801" y="3457575"/>
                  <a:chExt cx="1769699" cy="276225"/>
                </a:xfrm>
              </xdr:grpSpPr>
              <xdr:sp macro="" textlink="">
                <xdr:nvSpPr>
                  <xdr:cNvPr id="64518" name="Option Button 6" hidden="1">
                    <a:extLst>
                      <a:ext uri="{63B3BB69-23CF-44E3-9099-C40C66FF867C}">
                        <a14:compatExt spid="_x0000_s64518"/>
                      </a:ext>
                      <a:ext uri="{FF2B5EF4-FFF2-40B4-BE49-F238E27FC236}">
                        <a16:creationId xmlns:a16="http://schemas.microsoft.com/office/drawing/2014/main" id="{00000000-0008-0000-1A00-000006F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4519" name="Option Button 7" hidden="1">
                    <a:extLst>
                      <a:ext uri="{63B3BB69-23CF-44E3-9099-C40C66FF867C}">
                        <a14:compatExt spid="_x0000_s64519"/>
                      </a:ext>
                      <a:ext uri="{FF2B5EF4-FFF2-40B4-BE49-F238E27FC236}">
                        <a16:creationId xmlns:a16="http://schemas.microsoft.com/office/drawing/2014/main" id="{00000000-0008-0000-1A00-000007F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4520" name="Option Button 8" hidden="1">
                    <a:extLst>
                      <a:ext uri="{63B3BB69-23CF-44E3-9099-C40C66FF867C}">
                        <a14:compatExt spid="_x0000_s64520"/>
                      </a:ext>
                      <a:ext uri="{FF2B5EF4-FFF2-40B4-BE49-F238E27FC236}">
                        <a16:creationId xmlns:a16="http://schemas.microsoft.com/office/drawing/2014/main" id="{00000000-0008-0000-1A00-000008F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4521" name="Option Button 9" hidden="1">
                    <a:extLst>
                      <a:ext uri="{63B3BB69-23CF-44E3-9099-C40C66FF867C}">
                        <a14:compatExt spid="_x0000_s64521"/>
                      </a:ext>
                      <a:ext uri="{FF2B5EF4-FFF2-40B4-BE49-F238E27FC236}">
                        <a16:creationId xmlns:a16="http://schemas.microsoft.com/office/drawing/2014/main" id="{00000000-0008-0000-1A00-000009F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4522" name="Group Box 10" hidden="1">
                  <a:extLst>
                    <a:ext uri="{63B3BB69-23CF-44E3-9099-C40C66FF867C}">
                      <a14:compatExt spid="_x0000_s64522"/>
                    </a:ext>
                    <a:ext uri="{FF2B5EF4-FFF2-40B4-BE49-F238E27FC236}">
                      <a16:creationId xmlns:a16="http://schemas.microsoft.com/office/drawing/2014/main" id="{00000000-0008-0000-1A00-00000AF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A00-000009000000}"/>
                  </a:ext>
                </a:extLst>
              </xdr:cNvPr>
              <xdr:cNvGrpSpPr/>
            </xdr:nvGrpSpPr>
            <xdr:grpSpPr>
              <a:xfrm>
                <a:off x="6162676" y="3409950"/>
                <a:ext cx="1657350" cy="361950"/>
                <a:chOff x="6162676" y="3409950"/>
                <a:chExt cx="1657350" cy="361950"/>
              </a:xfrm>
            </xdr:grpSpPr>
            <xdr:sp macro="" textlink="">
              <xdr:nvSpPr>
                <xdr:cNvPr id="64523" name="Group Box 11" hidden="1">
                  <a:extLst>
                    <a:ext uri="{63B3BB69-23CF-44E3-9099-C40C66FF867C}">
                      <a14:compatExt spid="_x0000_s64523"/>
                    </a:ext>
                    <a:ext uri="{FF2B5EF4-FFF2-40B4-BE49-F238E27FC236}">
                      <a16:creationId xmlns:a16="http://schemas.microsoft.com/office/drawing/2014/main" id="{00000000-0008-0000-1A00-00000BF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A00-00000A000000}"/>
                    </a:ext>
                  </a:extLst>
                </xdr:cNvPr>
                <xdr:cNvGrpSpPr/>
              </xdr:nvGrpSpPr>
              <xdr:grpSpPr>
                <a:xfrm>
                  <a:off x="6243639" y="3500925"/>
                  <a:ext cx="1495425" cy="180000"/>
                  <a:chOff x="6029325" y="4257675"/>
                  <a:chExt cx="1495425" cy="257175"/>
                </a:xfrm>
              </xdr:grpSpPr>
              <xdr:sp macro="" textlink="">
                <xdr:nvSpPr>
                  <xdr:cNvPr id="64524" name="Button 12" hidden="1">
                    <a:extLst>
                      <a:ext uri="{63B3BB69-23CF-44E3-9099-C40C66FF867C}">
                        <a14:compatExt spid="_x0000_s64524"/>
                      </a:ext>
                      <a:ext uri="{FF2B5EF4-FFF2-40B4-BE49-F238E27FC236}">
                        <a16:creationId xmlns:a16="http://schemas.microsoft.com/office/drawing/2014/main" id="{00000000-0008-0000-1A00-00000CF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A00-00000DF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4526" name="Button 14" hidden="1">
                    <a:extLst>
                      <a:ext uri="{63B3BB69-23CF-44E3-9099-C40C66FF867C}">
                        <a14:compatExt spid="_x0000_s64526"/>
                      </a:ext>
                      <a:ext uri="{FF2B5EF4-FFF2-40B4-BE49-F238E27FC236}">
                        <a16:creationId xmlns:a16="http://schemas.microsoft.com/office/drawing/2014/main" id="{00000000-0008-0000-1A00-00000EF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161925</xdr:rowOff>
        </xdr:from>
        <xdr:to>
          <xdr:col>11</xdr:col>
          <xdr:colOff>95250</xdr:colOff>
          <xdr:row>1</xdr:row>
          <xdr:rowOff>133350</xdr:rowOff>
        </xdr:to>
        <xdr:grpSp>
          <xdr:nvGrpSpPr>
            <xdr:cNvPr id="23" name="Group 22">
              <a:extLst>
                <a:ext uri="{FF2B5EF4-FFF2-40B4-BE49-F238E27FC236}">
                  <a16:creationId xmlns:a16="http://schemas.microsoft.com/office/drawing/2014/main" id="{00000000-0008-0000-1A00-000017000000}"/>
                </a:ext>
              </a:extLst>
            </xdr:cNvPr>
            <xdr:cNvGrpSpPr/>
          </xdr:nvGrpSpPr>
          <xdr:grpSpPr>
            <a:xfrm>
              <a:off x="238125" y="161925"/>
              <a:ext cx="952500" cy="257175"/>
              <a:chOff x="771525" y="1314450"/>
              <a:chExt cx="990600" cy="257175"/>
            </a:xfrm>
          </xdr:grpSpPr>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A00-00000FF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A00-000010F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152400</xdr:rowOff>
        </xdr:from>
        <xdr:to>
          <xdr:col>27</xdr:col>
          <xdr:colOff>161925</xdr:colOff>
          <xdr:row>1</xdr:row>
          <xdr:rowOff>123825</xdr:rowOff>
        </xdr:to>
        <xdr:grpSp>
          <xdr:nvGrpSpPr>
            <xdr:cNvPr id="24" name="Group 23">
              <a:extLst>
                <a:ext uri="{FF2B5EF4-FFF2-40B4-BE49-F238E27FC236}">
                  <a16:creationId xmlns:a16="http://schemas.microsoft.com/office/drawing/2014/main" id="{00000000-0008-0000-1A00-000018000000}"/>
                </a:ext>
              </a:extLst>
            </xdr:cNvPr>
            <xdr:cNvGrpSpPr/>
          </xdr:nvGrpSpPr>
          <xdr:grpSpPr>
            <a:xfrm>
              <a:off x="11363325" y="152400"/>
              <a:ext cx="838200" cy="257175"/>
              <a:chOff x="8200778" y="3448050"/>
              <a:chExt cx="1095379" cy="257175"/>
            </a:xfrm>
          </xdr:grpSpPr>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A00-000011FC0000}"/>
                  </a:ext>
                </a:extLst>
              </xdr:cNvPr>
              <xdr:cNvSpPr/>
            </xdr:nvSpPr>
            <xdr:spPr bwMode="auto">
              <a:xfrm>
                <a:off x="8200778"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A00-000012FC0000}"/>
                  </a:ext>
                </a:extLst>
              </xdr:cNvPr>
              <xdr:cNvSpPr/>
            </xdr:nvSpPr>
            <xdr:spPr bwMode="auto">
              <a:xfrm>
                <a:off x="8753232"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9</xdr:col>
      <xdr:colOff>4762</xdr:colOff>
      <xdr:row>3</xdr:row>
      <xdr:rowOff>19049</xdr:rowOff>
    </xdr:from>
    <xdr:to>
      <xdr:col>20</xdr:col>
      <xdr:colOff>594637</xdr:colOff>
      <xdr:row>18</xdr:row>
      <xdr:rowOff>190049</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676276</xdr:colOff>
      <xdr:row>3</xdr:row>
      <xdr:rowOff>19049</xdr:rowOff>
    </xdr:from>
    <xdr:to>
      <xdr:col>24</xdr:col>
      <xdr:colOff>190051</xdr:colOff>
      <xdr:row>18</xdr:row>
      <xdr:rowOff>190049</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752475</xdr:colOff>
          <xdr:row>3</xdr:row>
          <xdr:rowOff>123825</xdr:rowOff>
        </xdr:from>
        <xdr:to>
          <xdr:col>24</xdr:col>
          <xdr:colOff>76200</xdr:colOff>
          <xdr:row>4</xdr:row>
          <xdr:rowOff>152400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A00-000015F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352425</xdr:colOff>
          <xdr:row>1</xdr:row>
          <xdr:rowOff>95250</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B00-00000B000000}"/>
                    </a:ext>
                  </a:extLst>
                </xdr:cNvPr>
                <xdr:cNvGrpSpPr/>
              </xdr:nvGrpSpPr>
              <xdr:grpSpPr>
                <a:xfrm>
                  <a:off x="8302013" y="3452813"/>
                  <a:ext cx="1769699" cy="276225"/>
                  <a:chOff x="8305801" y="3457575"/>
                  <a:chExt cx="1769699" cy="276225"/>
                </a:xfrm>
              </xdr:grpSpPr>
              <xdr:sp macro="" textlink="">
                <xdr:nvSpPr>
                  <xdr:cNvPr id="65542" name="Option Button 6" hidden="1">
                    <a:extLst>
                      <a:ext uri="{63B3BB69-23CF-44E3-9099-C40C66FF867C}">
                        <a14:compatExt spid="_x0000_s65542"/>
                      </a:ext>
                      <a:ext uri="{FF2B5EF4-FFF2-40B4-BE49-F238E27FC236}">
                        <a16:creationId xmlns:a16="http://schemas.microsoft.com/office/drawing/2014/main" id="{00000000-0008-0000-1B00-0000060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5543" name="Option Button 7" hidden="1">
                    <a:extLst>
                      <a:ext uri="{63B3BB69-23CF-44E3-9099-C40C66FF867C}">
                        <a14:compatExt spid="_x0000_s65543"/>
                      </a:ext>
                      <a:ext uri="{FF2B5EF4-FFF2-40B4-BE49-F238E27FC236}">
                        <a16:creationId xmlns:a16="http://schemas.microsoft.com/office/drawing/2014/main" id="{00000000-0008-0000-1B00-0000070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5544" name="Option Button 8" hidden="1">
                    <a:extLst>
                      <a:ext uri="{63B3BB69-23CF-44E3-9099-C40C66FF867C}">
                        <a14:compatExt spid="_x0000_s65544"/>
                      </a:ext>
                      <a:ext uri="{FF2B5EF4-FFF2-40B4-BE49-F238E27FC236}">
                        <a16:creationId xmlns:a16="http://schemas.microsoft.com/office/drawing/2014/main" id="{00000000-0008-0000-1B00-0000080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5545" name="Option Button 9" hidden="1">
                    <a:extLst>
                      <a:ext uri="{63B3BB69-23CF-44E3-9099-C40C66FF867C}">
                        <a14:compatExt spid="_x0000_s65545"/>
                      </a:ext>
                      <a:ext uri="{FF2B5EF4-FFF2-40B4-BE49-F238E27FC236}">
                        <a16:creationId xmlns:a16="http://schemas.microsoft.com/office/drawing/2014/main" id="{00000000-0008-0000-1B00-0000090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5546" name="Group Box 10" hidden="1">
                  <a:extLst>
                    <a:ext uri="{63B3BB69-23CF-44E3-9099-C40C66FF867C}">
                      <a14:compatExt spid="_x0000_s65546"/>
                    </a:ext>
                    <a:ext uri="{FF2B5EF4-FFF2-40B4-BE49-F238E27FC236}">
                      <a16:creationId xmlns:a16="http://schemas.microsoft.com/office/drawing/2014/main" id="{00000000-0008-0000-1B00-00000A0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B00-000009000000}"/>
                  </a:ext>
                </a:extLst>
              </xdr:cNvPr>
              <xdr:cNvGrpSpPr/>
            </xdr:nvGrpSpPr>
            <xdr:grpSpPr>
              <a:xfrm>
                <a:off x="6162676" y="3409950"/>
                <a:ext cx="1657350" cy="361950"/>
                <a:chOff x="6162676" y="3409950"/>
                <a:chExt cx="1657350" cy="361950"/>
              </a:xfrm>
            </xdr:grpSpPr>
            <xdr:sp macro="" textlink="">
              <xdr:nvSpPr>
                <xdr:cNvPr id="65547" name="Group Box 11" hidden="1">
                  <a:extLst>
                    <a:ext uri="{63B3BB69-23CF-44E3-9099-C40C66FF867C}">
                      <a14:compatExt spid="_x0000_s65547"/>
                    </a:ext>
                    <a:ext uri="{FF2B5EF4-FFF2-40B4-BE49-F238E27FC236}">
                      <a16:creationId xmlns:a16="http://schemas.microsoft.com/office/drawing/2014/main" id="{00000000-0008-0000-1B00-00000B0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B00-00000A000000}"/>
                    </a:ext>
                  </a:extLst>
                </xdr:cNvPr>
                <xdr:cNvGrpSpPr/>
              </xdr:nvGrpSpPr>
              <xdr:grpSpPr>
                <a:xfrm>
                  <a:off x="6243639" y="3500925"/>
                  <a:ext cx="1495425" cy="180000"/>
                  <a:chOff x="6029325" y="4257675"/>
                  <a:chExt cx="1495425" cy="257175"/>
                </a:xfrm>
              </xdr:grpSpPr>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1B00-00000C0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1B00-00000D0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5550" name="Button 14" hidden="1">
                    <a:extLst>
                      <a:ext uri="{63B3BB69-23CF-44E3-9099-C40C66FF867C}">
                        <a14:compatExt spid="_x0000_s65550"/>
                      </a:ext>
                      <a:ext uri="{FF2B5EF4-FFF2-40B4-BE49-F238E27FC236}">
                        <a16:creationId xmlns:a16="http://schemas.microsoft.com/office/drawing/2014/main" id="{00000000-0008-0000-1B00-00000E0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142875</xdr:rowOff>
        </xdr:from>
        <xdr:to>
          <xdr:col>7</xdr:col>
          <xdr:colOff>1038225</xdr:colOff>
          <xdr:row>1</xdr:row>
          <xdr:rowOff>28575</xdr:rowOff>
        </xdr:to>
        <xdr:grpSp>
          <xdr:nvGrpSpPr>
            <xdr:cNvPr id="23" name="Group 22">
              <a:extLst>
                <a:ext uri="{FF2B5EF4-FFF2-40B4-BE49-F238E27FC236}">
                  <a16:creationId xmlns:a16="http://schemas.microsoft.com/office/drawing/2014/main" id="{00000000-0008-0000-1B00-000017000000}"/>
                </a:ext>
              </a:extLst>
            </xdr:cNvPr>
            <xdr:cNvGrpSpPr/>
          </xdr:nvGrpSpPr>
          <xdr:grpSpPr>
            <a:xfrm>
              <a:off x="4829175" y="142875"/>
              <a:ext cx="990600" cy="257175"/>
              <a:chOff x="771525" y="1314450"/>
              <a:chExt cx="990600" cy="257175"/>
            </a:xfrm>
          </xdr:grpSpPr>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B00-00000F0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5552" name="Button 16" hidden="1">
                <a:extLst>
                  <a:ext uri="{63B3BB69-23CF-44E3-9099-C40C66FF867C}">
                    <a14:compatExt spid="_x0000_s65552"/>
                  </a:ext>
                  <a:ext uri="{FF2B5EF4-FFF2-40B4-BE49-F238E27FC236}">
                    <a16:creationId xmlns:a16="http://schemas.microsoft.com/office/drawing/2014/main" id="{00000000-0008-0000-1B00-0000100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66675</xdr:colOff>
          <xdr:row>0</xdr:row>
          <xdr:rowOff>133350</xdr:rowOff>
        </xdr:from>
        <xdr:to>
          <xdr:col>10</xdr:col>
          <xdr:colOff>647700</xdr:colOff>
          <xdr:row>1</xdr:row>
          <xdr:rowOff>19050</xdr:rowOff>
        </xdr:to>
        <xdr:grpSp>
          <xdr:nvGrpSpPr>
            <xdr:cNvPr id="24" name="Group 23">
              <a:extLst>
                <a:ext uri="{FF2B5EF4-FFF2-40B4-BE49-F238E27FC236}">
                  <a16:creationId xmlns:a16="http://schemas.microsoft.com/office/drawing/2014/main" id="{00000000-0008-0000-1B00-000018000000}"/>
                </a:ext>
              </a:extLst>
            </xdr:cNvPr>
            <xdr:cNvGrpSpPr/>
          </xdr:nvGrpSpPr>
          <xdr:grpSpPr>
            <a:xfrm>
              <a:off x="7019925" y="133350"/>
              <a:ext cx="1095375" cy="257175"/>
              <a:chOff x="8201025" y="3448050"/>
              <a:chExt cx="1095375" cy="257175"/>
            </a:xfrm>
          </xdr:grpSpPr>
          <xdr:sp macro="" textlink="">
            <xdr:nvSpPr>
              <xdr:cNvPr id="65553" name="Button 17" hidden="1">
                <a:extLst>
                  <a:ext uri="{63B3BB69-23CF-44E3-9099-C40C66FF867C}">
                    <a14:compatExt spid="_x0000_s65553"/>
                  </a:ext>
                  <a:ext uri="{FF2B5EF4-FFF2-40B4-BE49-F238E27FC236}">
                    <a16:creationId xmlns:a16="http://schemas.microsoft.com/office/drawing/2014/main" id="{00000000-0008-0000-1B00-0000110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5554" name="Button 18" hidden="1">
                <a:extLst>
                  <a:ext uri="{63B3BB69-23CF-44E3-9099-C40C66FF867C}">
                    <a14:compatExt spid="_x0000_s65554"/>
                  </a:ext>
                  <a:ext uri="{FF2B5EF4-FFF2-40B4-BE49-F238E27FC236}">
                    <a16:creationId xmlns:a16="http://schemas.microsoft.com/office/drawing/2014/main" id="{00000000-0008-0000-1B00-0000120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28575</xdr:colOff>
          <xdr:row>1</xdr:row>
          <xdr:rowOff>200025</xdr:rowOff>
        </xdr:from>
        <xdr:to>
          <xdr:col>47</xdr:col>
          <xdr:colOff>57150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C00-000009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133351</xdr:colOff>
          <xdr:row>0</xdr:row>
          <xdr:rowOff>104775</xdr:rowOff>
        </xdr:from>
        <xdr:to>
          <xdr:col>17</xdr:col>
          <xdr:colOff>809625</xdr:colOff>
          <xdr:row>1</xdr:row>
          <xdr:rowOff>180975</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139350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1C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1C00-000009000000}"/>
                    </a:ext>
                  </a:extLst>
                </xdr:cNvPr>
                <xdr:cNvGrpSpPr/>
              </xdr:nvGrpSpPr>
              <xdr:grpSpPr>
                <a:xfrm>
                  <a:off x="8302013" y="3452813"/>
                  <a:ext cx="1769699" cy="276225"/>
                  <a:chOff x="8305801" y="3457575"/>
                  <a:chExt cx="1769699" cy="276225"/>
                </a:xfrm>
              </xdr:grpSpPr>
              <xdr:sp macro="" textlink="">
                <xdr:nvSpPr>
                  <xdr:cNvPr id="67595" name="Option Button 11" hidden="1">
                    <a:extLst>
                      <a:ext uri="{63B3BB69-23CF-44E3-9099-C40C66FF867C}">
                        <a14:compatExt spid="_x0000_s67595"/>
                      </a:ext>
                      <a:ext uri="{FF2B5EF4-FFF2-40B4-BE49-F238E27FC236}">
                        <a16:creationId xmlns:a16="http://schemas.microsoft.com/office/drawing/2014/main" id="{00000000-0008-0000-1C00-00000B0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7596" name="Option Button 12" hidden="1">
                    <a:extLst>
                      <a:ext uri="{63B3BB69-23CF-44E3-9099-C40C66FF867C}">
                        <a14:compatExt spid="_x0000_s67596"/>
                      </a:ext>
                      <a:ext uri="{FF2B5EF4-FFF2-40B4-BE49-F238E27FC236}">
                        <a16:creationId xmlns:a16="http://schemas.microsoft.com/office/drawing/2014/main" id="{00000000-0008-0000-1C00-00000C0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7597" name="Option Button 13" hidden="1">
                    <a:extLst>
                      <a:ext uri="{63B3BB69-23CF-44E3-9099-C40C66FF867C}">
                        <a14:compatExt spid="_x0000_s67597"/>
                      </a:ext>
                      <a:ext uri="{FF2B5EF4-FFF2-40B4-BE49-F238E27FC236}">
                        <a16:creationId xmlns:a16="http://schemas.microsoft.com/office/drawing/2014/main" id="{00000000-0008-0000-1C00-00000D0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7598" name="Option Button 14" hidden="1">
                    <a:extLst>
                      <a:ext uri="{63B3BB69-23CF-44E3-9099-C40C66FF867C}">
                        <a14:compatExt spid="_x0000_s67598"/>
                      </a:ext>
                      <a:ext uri="{FF2B5EF4-FFF2-40B4-BE49-F238E27FC236}">
                        <a16:creationId xmlns:a16="http://schemas.microsoft.com/office/drawing/2014/main" id="{00000000-0008-0000-1C00-00000E0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7599" name="Group Box 15" hidden="1">
                  <a:extLst>
                    <a:ext uri="{63B3BB69-23CF-44E3-9099-C40C66FF867C}">
                      <a14:compatExt spid="_x0000_s67599"/>
                    </a:ext>
                    <a:ext uri="{FF2B5EF4-FFF2-40B4-BE49-F238E27FC236}">
                      <a16:creationId xmlns:a16="http://schemas.microsoft.com/office/drawing/2014/main" id="{00000000-0008-0000-1C00-00000F0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1C00-000006000000}"/>
                  </a:ext>
                </a:extLst>
              </xdr:cNvPr>
              <xdr:cNvGrpSpPr/>
            </xdr:nvGrpSpPr>
            <xdr:grpSpPr>
              <a:xfrm>
                <a:off x="6162676" y="3409950"/>
                <a:ext cx="1657350" cy="361950"/>
                <a:chOff x="6162676" y="3409950"/>
                <a:chExt cx="1657350" cy="361950"/>
              </a:xfrm>
            </xdr:grpSpPr>
            <xdr:sp macro="" textlink="">
              <xdr:nvSpPr>
                <xdr:cNvPr id="67600" name="Group Box 16" hidden="1">
                  <a:extLst>
                    <a:ext uri="{63B3BB69-23CF-44E3-9099-C40C66FF867C}">
                      <a14:compatExt spid="_x0000_s67600"/>
                    </a:ext>
                    <a:ext uri="{FF2B5EF4-FFF2-40B4-BE49-F238E27FC236}">
                      <a16:creationId xmlns:a16="http://schemas.microsoft.com/office/drawing/2014/main" id="{00000000-0008-0000-1C00-0000100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00000000-0008-0000-1C00-000007000000}"/>
                    </a:ext>
                  </a:extLst>
                </xdr:cNvPr>
                <xdr:cNvGrpSpPr/>
              </xdr:nvGrpSpPr>
              <xdr:grpSpPr>
                <a:xfrm>
                  <a:off x="6243639" y="3500925"/>
                  <a:ext cx="1495425" cy="180000"/>
                  <a:chOff x="6029325" y="4257675"/>
                  <a:chExt cx="1495425" cy="257175"/>
                </a:xfrm>
              </xdr:grpSpPr>
              <xdr:sp macro="" textlink="">
                <xdr:nvSpPr>
                  <xdr:cNvPr id="67601" name="Button 17" hidden="1">
                    <a:extLst>
                      <a:ext uri="{63B3BB69-23CF-44E3-9099-C40C66FF867C}">
                        <a14:compatExt spid="_x0000_s67601"/>
                      </a:ext>
                      <a:ext uri="{FF2B5EF4-FFF2-40B4-BE49-F238E27FC236}">
                        <a16:creationId xmlns:a16="http://schemas.microsoft.com/office/drawing/2014/main" id="{00000000-0008-0000-1C00-0000110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7602" name="Button 18" hidden="1">
                    <a:extLst>
                      <a:ext uri="{63B3BB69-23CF-44E3-9099-C40C66FF867C}">
                        <a14:compatExt spid="_x0000_s67602"/>
                      </a:ext>
                      <a:ext uri="{FF2B5EF4-FFF2-40B4-BE49-F238E27FC236}">
                        <a16:creationId xmlns:a16="http://schemas.microsoft.com/office/drawing/2014/main" id="{00000000-0008-0000-1C00-0000120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7603" name="Button 19" hidden="1">
                    <a:extLst>
                      <a:ext uri="{63B3BB69-23CF-44E3-9099-C40C66FF867C}">
                        <a14:compatExt spid="_x0000_s67603"/>
                      </a:ext>
                      <a:ext uri="{FF2B5EF4-FFF2-40B4-BE49-F238E27FC236}">
                        <a16:creationId xmlns:a16="http://schemas.microsoft.com/office/drawing/2014/main" id="{00000000-0008-0000-1C00-0000130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990600</xdr:colOff>
          <xdr:row>3</xdr:row>
          <xdr:rowOff>38100</xdr:rowOff>
        </xdr:to>
        <xdr:grpSp>
          <xdr:nvGrpSpPr>
            <xdr:cNvPr id="24" name="Group 23">
              <a:extLst>
                <a:ext uri="{FF2B5EF4-FFF2-40B4-BE49-F238E27FC236}">
                  <a16:creationId xmlns:a16="http://schemas.microsoft.com/office/drawing/2014/main" id="{00000000-0008-0000-1C00-000018000000}"/>
                </a:ext>
              </a:extLst>
            </xdr:cNvPr>
            <xdr:cNvGrpSpPr/>
          </xdr:nvGrpSpPr>
          <xdr:grpSpPr>
            <a:xfrm>
              <a:off x="0" y="523875"/>
              <a:ext cx="990600" cy="257175"/>
              <a:chOff x="771525" y="1314450"/>
              <a:chExt cx="990600" cy="257175"/>
            </a:xfrm>
          </xdr:grpSpPr>
          <xdr:sp macro="" textlink="">
            <xdr:nvSpPr>
              <xdr:cNvPr id="67604" name="Button 20" hidden="1">
                <a:extLst>
                  <a:ext uri="{63B3BB69-23CF-44E3-9099-C40C66FF867C}">
                    <a14:compatExt spid="_x0000_s67604"/>
                  </a:ext>
                  <a:ext uri="{FF2B5EF4-FFF2-40B4-BE49-F238E27FC236}">
                    <a16:creationId xmlns:a16="http://schemas.microsoft.com/office/drawing/2014/main" id="{00000000-0008-0000-1C00-0000140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7605" name="Button 21" hidden="1">
                <a:extLst>
                  <a:ext uri="{63B3BB69-23CF-44E3-9099-C40C66FF867C}">
                    <a14:compatExt spid="_x0000_s67605"/>
                  </a:ext>
                  <a:ext uri="{FF2B5EF4-FFF2-40B4-BE49-F238E27FC236}">
                    <a16:creationId xmlns:a16="http://schemas.microsoft.com/office/drawing/2014/main" id="{00000000-0008-0000-1C00-0000150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38100</xdr:colOff>
          <xdr:row>0</xdr:row>
          <xdr:rowOff>104775</xdr:rowOff>
        </xdr:from>
        <xdr:to>
          <xdr:col>38</xdr:col>
          <xdr:colOff>1133475</xdr:colOff>
          <xdr:row>1</xdr:row>
          <xdr:rowOff>76200</xdr:rowOff>
        </xdr:to>
        <xdr:grpSp>
          <xdr:nvGrpSpPr>
            <xdr:cNvPr id="25" name="Group 24">
              <a:extLst>
                <a:ext uri="{FF2B5EF4-FFF2-40B4-BE49-F238E27FC236}">
                  <a16:creationId xmlns:a16="http://schemas.microsoft.com/office/drawing/2014/main" id="{00000000-0008-0000-1C00-000019000000}"/>
                </a:ext>
              </a:extLst>
            </xdr:cNvPr>
            <xdr:cNvGrpSpPr/>
          </xdr:nvGrpSpPr>
          <xdr:grpSpPr>
            <a:xfrm>
              <a:off x="34823400" y="104775"/>
              <a:ext cx="1095375" cy="257175"/>
              <a:chOff x="8201025" y="3448050"/>
              <a:chExt cx="1095375" cy="257175"/>
            </a:xfrm>
          </xdr:grpSpPr>
          <xdr:sp macro="" textlink="">
            <xdr:nvSpPr>
              <xdr:cNvPr id="67606" name="Button 22" hidden="1">
                <a:extLst>
                  <a:ext uri="{63B3BB69-23CF-44E3-9099-C40C66FF867C}">
                    <a14:compatExt spid="_x0000_s67606"/>
                  </a:ext>
                  <a:ext uri="{FF2B5EF4-FFF2-40B4-BE49-F238E27FC236}">
                    <a16:creationId xmlns:a16="http://schemas.microsoft.com/office/drawing/2014/main" id="{00000000-0008-0000-1C00-0000160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7607" name="Button 23" hidden="1">
                <a:extLst>
                  <a:ext uri="{63B3BB69-23CF-44E3-9099-C40C66FF867C}">
                    <a14:compatExt spid="_x0000_s67607"/>
                  </a:ext>
                  <a:ext uri="{FF2B5EF4-FFF2-40B4-BE49-F238E27FC236}">
                    <a16:creationId xmlns:a16="http://schemas.microsoft.com/office/drawing/2014/main" id="{00000000-0008-0000-1C00-0000170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142875</xdr:rowOff>
        </xdr:from>
        <xdr:to>
          <xdr:col>12</xdr:col>
          <xdr:colOff>1181100</xdr:colOff>
          <xdr:row>0</xdr:row>
          <xdr:rowOff>400050</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314450" y="142875"/>
              <a:ext cx="1104900" cy="257175"/>
              <a:chOff x="771525" y="1314450"/>
              <a:chExt cx="1104900" cy="257175"/>
            </a:xfrm>
          </xdr:grpSpPr>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D00-0000010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D00-0000020C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0</xdr:row>
          <xdr:rowOff>142875</xdr:rowOff>
        </xdr:from>
        <xdr:to>
          <xdr:col>22</xdr:col>
          <xdr:colOff>1190625</xdr:colOff>
          <xdr:row>0</xdr:row>
          <xdr:rowOff>400050</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9267825" y="142875"/>
              <a:ext cx="1190625" cy="257175"/>
              <a:chOff x="8201025" y="3448050"/>
              <a:chExt cx="1190625" cy="257175"/>
            </a:xfrm>
          </xdr:grpSpPr>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D00-0000030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D00-0000040C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42</xdr:row>
          <xdr:rowOff>114300</xdr:rowOff>
        </xdr:from>
        <xdr:to>
          <xdr:col>24</xdr:col>
          <xdr:colOff>47625</xdr:colOff>
          <xdr:row>43</xdr:row>
          <xdr:rowOff>142875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D00-000005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10</xdr:col>
      <xdr:colOff>123825</xdr:colOff>
      <xdr:row>0</xdr:row>
      <xdr:rowOff>0</xdr:rowOff>
    </xdr:from>
    <xdr:to>
      <xdr:col>10</xdr:col>
      <xdr:colOff>723900</xdr:colOff>
      <xdr:row>41</xdr:row>
      <xdr:rowOff>123825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08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114301</xdr:colOff>
          <xdr:row>0</xdr:row>
          <xdr:rowOff>104775</xdr:rowOff>
        </xdr:from>
        <xdr:to>
          <xdr:col>18</xdr:col>
          <xdr:colOff>161925</xdr:colOff>
          <xdr:row>0</xdr:row>
          <xdr:rowOff>466725</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26003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D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D00-00000B000000}"/>
                    </a:ext>
                  </a:extLst>
                </xdr:cNvPr>
                <xdr:cNvGrpSpPr/>
              </xdr:nvGrpSpPr>
              <xdr:grpSpPr>
                <a:xfrm>
                  <a:off x="8302013" y="3452813"/>
                  <a:ext cx="1769699" cy="276225"/>
                  <a:chOff x="8305801" y="3457575"/>
                  <a:chExt cx="1769699" cy="276225"/>
                </a:xfrm>
              </xdr:grpSpPr>
              <xdr:sp macro="" textlink="">
                <xdr:nvSpPr>
                  <xdr:cNvPr id="68616" name="Option Button 8" hidden="1">
                    <a:extLst>
                      <a:ext uri="{63B3BB69-23CF-44E3-9099-C40C66FF867C}">
                        <a14:compatExt spid="_x0000_s68616"/>
                      </a:ext>
                      <a:ext uri="{FF2B5EF4-FFF2-40B4-BE49-F238E27FC236}">
                        <a16:creationId xmlns:a16="http://schemas.microsoft.com/office/drawing/2014/main" id="{00000000-0008-0000-1D00-0000080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8617" name="Option Button 9" hidden="1">
                    <a:extLst>
                      <a:ext uri="{63B3BB69-23CF-44E3-9099-C40C66FF867C}">
                        <a14:compatExt spid="_x0000_s68617"/>
                      </a:ext>
                      <a:ext uri="{FF2B5EF4-FFF2-40B4-BE49-F238E27FC236}">
                        <a16:creationId xmlns:a16="http://schemas.microsoft.com/office/drawing/2014/main" id="{00000000-0008-0000-1D00-0000090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8618" name="Option Button 10" hidden="1">
                    <a:extLst>
                      <a:ext uri="{63B3BB69-23CF-44E3-9099-C40C66FF867C}">
                        <a14:compatExt spid="_x0000_s68618"/>
                      </a:ext>
                      <a:ext uri="{FF2B5EF4-FFF2-40B4-BE49-F238E27FC236}">
                        <a16:creationId xmlns:a16="http://schemas.microsoft.com/office/drawing/2014/main" id="{00000000-0008-0000-1D00-00000A0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8619" name="Option Button 11" hidden="1">
                    <a:extLst>
                      <a:ext uri="{63B3BB69-23CF-44E3-9099-C40C66FF867C}">
                        <a14:compatExt spid="_x0000_s68619"/>
                      </a:ext>
                      <a:ext uri="{FF2B5EF4-FFF2-40B4-BE49-F238E27FC236}">
                        <a16:creationId xmlns:a16="http://schemas.microsoft.com/office/drawing/2014/main" id="{00000000-0008-0000-1D00-00000B0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8620" name="Group Box 12" hidden="1">
                  <a:extLst>
                    <a:ext uri="{63B3BB69-23CF-44E3-9099-C40C66FF867C}">
                      <a14:compatExt spid="_x0000_s68620"/>
                    </a:ext>
                    <a:ext uri="{FF2B5EF4-FFF2-40B4-BE49-F238E27FC236}">
                      <a16:creationId xmlns:a16="http://schemas.microsoft.com/office/drawing/2014/main" id="{00000000-0008-0000-1D00-00000C0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D00-000009000000}"/>
                  </a:ext>
                </a:extLst>
              </xdr:cNvPr>
              <xdr:cNvGrpSpPr/>
            </xdr:nvGrpSpPr>
            <xdr:grpSpPr>
              <a:xfrm>
                <a:off x="6162676" y="3409950"/>
                <a:ext cx="1657350" cy="361950"/>
                <a:chOff x="6162676" y="3409950"/>
                <a:chExt cx="1657350" cy="361950"/>
              </a:xfrm>
            </xdr:grpSpPr>
            <xdr:sp macro="" textlink="">
              <xdr:nvSpPr>
                <xdr:cNvPr id="68621" name="Group Box 13" hidden="1">
                  <a:extLst>
                    <a:ext uri="{63B3BB69-23CF-44E3-9099-C40C66FF867C}">
                      <a14:compatExt spid="_x0000_s68621"/>
                    </a:ext>
                    <a:ext uri="{FF2B5EF4-FFF2-40B4-BE49-F238E27FC236}">
                      <a16:creationId xmlns:a16="http://schemas.microsoft.com/office/drawing/2014/main" id="{00000000-0008-0000-1D00-00000D0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D00-00000A000000}"/>
                    </a:ext>
                  </a:extLst>
                </xdr:cNvPr>
                <xdr:cNvGrpSpPr/>
              </xdr:nvGrpSpPr>
              <xdr:grpSpPr>
                <a:xfrm>
                  <a:off x="6243639" y="3500925"/>
                  <a:ext cx="1495425" cy="180000"/>
                  <a:chOff x="6029325" y="4257675"/>
                  <a:chExt cx="1495425" cy="257175"/>
                </a:xfrm>
              </xdr:grpSpPr>
              <xdr:sp macro="" textlink="">
                <xdr:nvSpPr>
                  <xdr:cNvPr id="68622" name="Button 14" hidden="1">
                    <a:extLst>
                      <a:ext uri="{63B3BB69-23CF-44E3-9099-C40C66FF867C}">
                        <a14:compatExt spid="_x0000_s68622"/>
                      </a:ext>
                      <a:ext uri="{FF2B5EF4-FFF2-40B4-BE49-F238E27FC236}">
                        <a16:creationId xmlns:a16="http://schemas.microsoft.com/office/drawing/2014/main" id="{00000000-0008-0000-1D00-00000E0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8623" name="Button 15" hidden="1">
                    <a:extLst>
                      <a:ext uri="{63B3BB69-23CF-44E3-9099-C40C66FF867C}">
                        <a14:compatExt spid="_x0000_s68623"/>
                      </a:ext>
                      <a:ext uri="{FF2B5EF4-FFF2-40B4-BE49-F238E27FC236}">
                        <a16:creationId xmlns:a16="http://schemas.microsoft.com/office/drawing/2014/main" id="{00000000-0008-0000-1D00-00000F0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8624" name="Button 16" hidden="1">
                    <a:extLst>
                      <a:ext uri="{63B3BB69-23CF-44E3-9099-C40C66FF867C}">
                        <a14:compatExt spid="_x0000_s68624"/>
                      </a:ext>
                      <a:ext uri="{FF2B5EF4-FFF2-40B4-BE49-F238E27FC236}">
                        <a16:creationId xmlns:a16="http://schemas.microsoft.com/office/drawing/2014/main" id="{00000000-0008-0000-1D00-0000100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161925</xdr:colOff>
          <xdr:row>0</xdr:row>
          <xdr:rowOff>85725</xdr:rowOff>
        </xdr:from>
        <xdr:to>
          <xdr:col>49</xdr:col>
          <xdr:colOff>152400</xdr:colOff>
          <xdr:row>0</xdr:row>
          <xdr:rowOff>342900</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20650200" y="85725"/>
              <a:ext cx="1190625" cy="257175"/>
              <a:chOff x="8200924" y="3448050"/>
              <a:chExt cx="1190652" cy="257175"/>
            </a:xfrm>
          </xdr:grpSpPr>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E00-000003100100}"/>
                  </a:ext>
                </a:extLst>
              </xdr:cNvPr>
              <xdr:cNvSpPr/>
            </xdr:nvSpPr>
            <xdr:spPr bwMode="auto">
              <a:xfrm>
                <a:off x="8200924" y="3448050"/>
                <a:ext cx="5143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E00-000004100100}"/>
                  </a:ext>
                </a:extLst>
              </xdr:cNvPr>
              <xdr:cNvSpPr/>
            </xdr:nvSpPr>
            <xdr:spPr bwMode="auto">
              <a:xfrm>
                <a:off x="8848651"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44</xdr:row>
          <xdr:rowOff>95250</xdr:rowOff>
        </xdr:from>
        <xdr:to>
          <xdr:col>48</xdr:col>
          <xdr:colOff>38100</xdr:colOff>
          <xdr:row>45</xdr:row>
          <xdr:rowOff>123825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E00-000005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18</xdr:col>
      <xdr:colOff>64434</xdr:colOff>
      <xdr:row>0</xdr:row>
      <xdr:rowOff>0</xdr:rowOff>
    </xdr:from>
    <xdr:to>
      <xdr:col>18</xdr:col>
      <xdr:colOff>659466</xdr:colOff>
      <xdr:row>43</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68963" y="0"/>
          <a:ext cx="595032" cy="605678"/>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66676</xdr:colOff>
          <xdr:row>0</xdr:row>
          <xdr:rowOff>104775</xdr:rowOff>
        </xdr:from>
        <xdr:to>
          <xdr:col>26</xdr:col>
          <xdr:colOff>333375</xdr:colOff>
          <xdr:row>0</xdr:row>
          <xdr:rowOff>466725</xdr:rowOff>
        </xdr:to>
        <xdr:grpSp>
          <xdr:nvGrpSpPr>
            <xdr:cNvPr id="4" name="Group 3">
              <a:extLst>
                <a:ext uri="{FF2B5EF4-FFF2-40B4-BE49-F238E27FC236}">
                  <a16:creationId xmlns:a16="http://schemas.microsoft.com/office/drawing/2014/main" id="{00000000-0008-0000-1E00-000004000000}"/>
                </a:ext>
              </a:extLst>
            </xdr:cNvPr>
            <xdr:cNvGrpSpPr/>
          </xdr:nvGrpSpPr>
          <xdr:grpSpPr>
            <a:xfrm>
              <a:off x="26860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E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E00-00000B000000}"/>
                    </a:ext>
                  </a:extLst>
                </xdr:cNvPr>
                <xdr:cNvGrpSpPr/>
              </xdr:nvGrpSpPr>
              <xdr:grpSpPr>
                <a:xfrm>
                  <a:off x="8302013" y="3452813"/>
                  <a:ext cx="1769699" cy="276225"/>
                  <a:chOff x="8305801" y="3457575"/>
                  <a:chExt cx="1769699" cy="276225"/>
                </a:xfrm>
              </xdr:grpSpPr>
              <xdr:sp macro="" textlink="">
                <xdr:nvSpPr>
                  <xdr:cNvPr id="69640" name="Option Button 8" hidden="1">
                    <a:extLst>
                      <a:ext uri="{63B3BB69-23CF-44E3-9099-C40C66FF867C}">
                        <a14:compatExt spid="_x0000_s69640"/>
                      </a:ext>
                      <a:ext uri="{FF2B5EF4-FFF2-40B4-BE49-F238E27FC236}">
                        <a16:creationId xmlns:a16="http://schemas.microsoft.com/office/drawing/2014/main" id="{00000000-0008-0000-1E00-0000081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9641" name="Option Button 9" hidden="1">
                    <a:extLst>
                      <a:ext uri="{63B3BB69-23CF-44E3-9099-C40C66FF867C}">
                        <a14:compatExt spid="_x0000_s69641"/>
                      </a:ext>
                      <a:ext uri="{FF2B5EF4-FFF2-40B4-BE49-F238E27FC236}">
                        <a16:creationId xmlns:a16="http://schemas.microsoft.com/office/drawing/2014/main" id="{00000000-0008-0000-1E00-0000091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9642" name="Option Button 10" hidden="1">
                    <a:extLst>
                      <a:ext uri="{63B3BB69-23CF-44E3-9099-C40C66FF867C}">
                        <a14:compatExt spid="_x0000_s69642"/>
                      </a:ext>
                      <a:ext uri="{FF2B5EF4-FFF2-40B4-BE49-F238E27FC236}">
                        <a16:creationId xmlns:a16="http://schemas.microsoft.com/office/drawing/2014/main" id="{00000000-0008-0000-1E00-00000A1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9643" name="Option Button 11" hidden="1">
                    <a:extLst>
                      <a:ext uri="{63B3BB69-23CF-44E3-9099-C40C66FF867C}">
                        <a14:compatExt spid="_x0000_s69643"/>
                      </a:ext>
                      <a:ext uri="{FF2B5EF4-FFF2-40B4-BE49-F238E27FC236}">
                        <a16:creationId xmlns:a16="http://schemas.microsoft.com/office/drawing/2014/main" id="{00000000-0008-0000-1E00-00000B1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9644" name="Group Box 12" hidden="1">
                  <a:extLst>
                    <a:ext uri="{63B3BB69-23CF-44E3-9099-C40C66FF867C}">
                      <a14:compatExt spid="_x0000_s69644"/>
                    </a:ext>
                    <a:ext uri="{FF2B5EF4-FFF2-40B4-BE49-F238E27FC236}">
                      <a16:creationId xmlns:a16="http://schemas.microsoft.com/office/drawing/2014/main" id="{00000000-0008-0000-1E00-00000C1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E00-000009000000}"/>
                  </a:ext>
                </a:extLst>
              </xdr:cNvPr>
              <xdr:cNvGrpSpPr/>
            </xdr:nvGrpSpPr>
            <xdr:grpSpPr>
              <a:xfrm>
                <a:off x="6162676" y="3409950"/>
                <a:ext cx="1657350" cy="361950"/>
                <a:chOff x="6162676" y="3409950"/>
                <a:chExt cx="1657350" cy="361950"/>
              </a:xfrm>
            </xdr:grpSpPr>
            <xdr:sp macro="" textlink="">
              <xdr:nvSpPr>
                <xdr:cNvPr id="69645" name="Group Box 13" hidden="1">
                  <a:extLst>
                    <a:ext uri="{63B3BB69-23CF-44E3-9099-C40C66FF867C}">
                      <a14:compatExt spid="_x0000_s69645"/>
                    </a:ext>
                    <a:ext uri="{FF2B5EF4-FFF2-40B4-BE49-F238E27FC236}">
                      <a16:creationId xmlns:a16="http://schemas.microsoft.com/office/drawing/2014/main" id="{00000000-0008-0000-1E00-00000D1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E00-00000A000000}"/>
                    </a:ext>
                  </a:extLst>
                </xdr:cNvPr>
                <xdr:cNvGrpSpPr/>
              </xdr:nvGrpSpPr>
              <xdr:grpSpPr>
                <a:xfrm>
                  <a:off x="6243639" y="3500925"/>
                  <a:ext cx="1495425" cy="180000"/>
                  <a:chOff x="6029325" y="4257675"/>
                  <a:chExt cx="1495425" cy="257175"/>
                </a:xfrm>
              </xdr:grpSpPr>
              <xdr:sp macro="" textlink="">
                <xdr:nvSpPr>
                  <xdr:cNvPr id="69646" name="Button 14" hidden="1">
                    <a:extLst>
                      <a:ext uri="{63B3BB69-23CF-44E3-9099-C40C66FF867C}">
                        <a14:compatExt spid="_x0000_s69646"/>
                      </a:ext>
                      <a:ext uri="{FF2B5EF4-FFF2-40B4-BE49-F238E27FC236}">
                        <a16:creationId xmlns:a16="http://schemas.microsoft.com/office/drawing/2014/main" id="{00000000-0008-0000-1E00-00000E1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9647" name="Button 15" hidden="1">
                    <a:extLst>
                      <a:ext uri="{63B3BB69-23CF-44E3-9099-C40C66FF867C}">
                        <a14:compatExt spid="_x0000_s69647"/>
                      </a:ext>
                      <a:ext uri="{FF2B5EF4-FFF2-40B4-BE49-F238E27FC236}">
                        <a16:creationId xmlns:a16="http://schemas.microsoft.com/office/drawing/2014/main" id="{00000000-0008-0000-1E00-00000F1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9648" name="Button 16" hidden="1">
                    <a:extLst>
                      <a:ext uri="{63B3BB69-23CF-44E3-9099-C40C66FF867C}">
                        <a14:compatExt spid="_x0000_s69648"/>
                      </a:ext>
                      <a:ext uri="{FF2B5EF4-FFF2-40B4-BE49-F238E27FC236}">
                        <a16:creationId xmlns:a16="http://schemas.microsoft.com/office/drawing/2014/main" id="{00000000-0008-0000-1E00-0000101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95250</xdr:rowOff>
        </xdr:from>
        <xdr:to>
          <xdr:col>20</xdr:col>
          <xdr:colOff>1190625</xdr:colOff>
          <xdr:row>0</xdr:row>
          <xdr:rowOff>352425</xdr:rowOff>
        </xdr:to>
        <xdr:grpSp>
          <xdr:nvGrpSpPr>
            <xdr:cNvPr id="24" name="Group 23">
              <a:extLst>
                <a:ext uri="{FF2B5EF4-FFF2-40B4-BE49-F238E27FC236}">
                  <a16:creationId xmlns:a16="http://schemas.microsoft.com/office/drawing/2014/main" id="{00000000-0008-0000-1E00-000018000000}"/>
                </a:ext>
              </a:extLst>
            </xdr:cNvPr>
            <xdr:cNvGrpSpPr/>
          </xdr:nvGrpSpPr>
          <xdr:grpSpPr>
            <a:xfrm>
              <a:off x="1323975" y="95250"/>
              <a:ext cx="1104900" cy="257175"/>
              <a:chOff x="771525" y="1314450"/>
              <a:chExt cx="1104900" cy="257175"/>
            </a:xfrm>
          </xdr:grpSpPr>
          <xdr:sp macro="" textlink="">
            <xdr:nvSpPr>
              <xdr:cNvPr id="69649" name="Button 17" hidden="1">
                <a:extLst>
                  <a:ext uri="{63B3BB69-23CF-44E3-9099-C40C66FF867C}">
                    <a14:compatExt spid="_x0000_s69649"/>
                  </a:ext>
                  <a:ext uri="{FF2B5EF4-FFF2-40B4-BE49-F238E27FC236}">
                    <a16:creationId xmlns:a16="http://schemas.microsoft.com/office/drawing/2014/main" id="{00000000-0008-0000-1E00-0000111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9650" name="Button 18" hidden="1">
                <a:extLst>
                  <a:ext uri="{63B3BB69-23CF-44E3-9099-C40C66FF867C}">
                    <a14:compatExt spid="_x0000_s69650"/>
                  </a:ext>
                  <a:ext uri="{FF2B5EF4-FFF2-40B4-BE49-F238E27FC236}">
                    <a16:creationId xmlns:a16="http://schemas.microsoft.com/office/drawing/2014/main" id="{00000000-0008-0000-1E00-00001210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0</xdr:row>
          <xdr:rowOff>38100</xdr:rowOff>
        </xdr:from>
        <xdr:to>
          <xdr:col>23</xdr:col>
          <xdr:colOff>933450</xdr:colOff>
          <xdr:row>0</xdr:row>
          <xdr:rowOff>295275</xdr:rowOff>
        </xdr:to>
        <xdr:grpSp>
          <xdr:nvGrpSpPr>
            <xdr:cNvPr id="7" name="Group 6">
              <a:extLst>
                <a:ext uri="{FF2B5EF4-FFF2-40B4-BE49-F238E27FC236}">
                  <a16:creationId xmlns:a16="http://schemas.microsoft.com/office/drawing/2014/main" id="{00000000-0008-0000-1F00-000007000000}"/>
                </a:ext>
              </a:extLst>
            </xdr:cNvPr>
            <xdr:cNvGrpSpPr/>
          </xdr:nvGrpSpPr>
          <xdr:grpSpPr>
            <a:xfrm>
              <a:off x="9591675" y="38100"/>
              <a:ext cx="1190625" cy="257175"/>
              <a:chOff x="8201025" y="3448050"/>
              <a:chExt cx="1190625" cy="257175"/>
            </a:xfrm>
          </xdr:grpSpPr>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F00-0000031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F00-0000041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42</xdr:row>
          <xdr:rowOff>85725</xdr:rowOff>
        </xdr:from>
        <xdr:to>
          <xdr:col>26</xdr:col>
          <xdr:colOff>47625</xdr:colOff>
          <xdr:row>43</xdr:row>
          <xdr:rowOff>123825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F00-000005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57150</xdr:colOff>
      <xdr:row>0</xdr:row>
      <xdr:rowOff>0</xdr:rowOff>
    </xdr:from>
    <xdr:to>
      <xdr:col>11</xdr:col>
      <xdr:colOff>657225</xdr:colOff>
      <xdr:row>41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944225"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114301</xdr:colOff>
          <xdr:row>0</xdr:row>
          <xdr:rowOff>104775</xdr:rowOff>
        </xdr:from>
        <xdr:to>
          <xdr:col>18</xdr:col>
          <xdr:colOff>323850</xdr:colOff>
          <xdr:row>0</xdr:row>
          <xdr:rowOff>466725</xdr:rowOff>
        </xdr:to>
        <xdr:grpSp>
          <xdr:nvGrpSpPr>
            <xdr:cNvPr id="4" name="Group 3">
              <a:extLst>
                <a:ext uri="{FF2B5EF4-FFF2-40B4-BE49-F238E27FC236}">
                  <a16:creationId xmlns:a16="http://schemas.microsoft.com/office/drawing/2014/main" id="{00000000-0008-0000-1F00-000004000000}"/>
                </a:ext>
              </a:extLst>
            </xdr:cNvPr>
            <xdr:cNvGrpSpPr/>
          </xdr:nvGrpSpPr>
          <xdr:grpSpPr>
            <a:xfrm>
              <a:off x="27241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F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F00-00000B000000}"/>
                    </a:ext>
                  </a:extLst>
                </xdr:cNvPr>
                <xdr:cNvGrpSpPr/>
              </xdr:nvGrpSpPr>
              <xdr:grpSpPr>
                <a:xfrm>
                  <a:off x="8302013" y="3452813"/>
                  <a:ext cx="1769699" cy="276225"/>
                  <a:chOff x="8305801" y="3457575"/>
                  <a:chExt cx="1769699" cy="276225"/>
                </a:xfrm>
              </xdr:grpSpPr>
              <xdr:sp macro="" textlink="">
                <xdr:nvSpPr>
                  <xdr:cNvPr id="70664" name="Option Button 8" hidden="1">
                    <a:extLst>
                      <a:ext uri="{63B3BB69-23CF-44E3-9099-C40C66FF867C}">
                        <a14:compatExt spid="_x0000_s70664"/>
                      </a:ext>
                      <a:ext uri="{FF2B5EF4-FFF2-40B4-BE49-F238E27FC236}">
                        <a16:creationId xmlns:a16="http://schemas.microsoft.com/office/drawing/2014/main" id="{00000000-0008-0000-1F00-0000081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0665" name="Option Button 9" hidden="1">
                    <a:extLst>
                      <a:ext uri="{63B3BB69-23CF-44E3-9099-C40C66FF867C}">
                        <a14:compatExt spid="_x0000_s70665"/>
                      </a:ext>
                      <a:ext uri="{FF2B5EF4-FFF2-40B4-BE49-F238E27FC236}">
                        <a16:creationId xmlns:a16="http://schemas.microsoft.com/office/drawing/2014/main" id="{00000000-0008-0000-1F00-0000091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0666" name="Option Button 10" hidden="1">
                    <a:extLst>
                      <a:ext uri="{63B3BB69-23CF-44E3-9099-C40C66FF867C}">
                        <a14:compatExt spid="_x0000_s70666"/>
                      </a:ext>
                      <a:ext uri="{FF2B5EF4-FFF2-40B4-BE49-F238E27FC236}">
                        <a16:creationId xmlns:a16="http://schemas.microsoft.com/office/drawing/2014/main" id="{00000000-0008-0000-1F00-00000A1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0667" name="Option Button 11" hidden="1">
                    <a:extLst>
                      <a:ext uri="{63B3BB69-23CF-44E3-9099-C40C66FF867C}">
                        <a14:compatExt spid="_x0000_s70667"/>
                      </a:ext>
                      <a:ext uri="{FF2B5EF4-FFF2-40B4-BE49-F238E27FC236}">
                        <a16:creationId xmlns:a16="http://schemas.microsoft.com/office/drawing/2014/main" id="{00000000-0008-0000-1F00-00000B1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0668" name="Group Box 12" hidden="1">
                  <a:extLst>
                    <a:ext uri="{63B3BB69-23CF-44E3-9099-C40C66FF867C}">
                      <a14:compatExt spid="_x0000_s70668"/>
                    </a:ext>
                    <a:ext uri="{FF2B5EF4-FFF2-40B4-BE49-F238E27FC236}">
                      <a16:creationId xmlns:a16="http://schemas.microsoft.com/office/drawing/2014/main" id="{00000000-0008-0000-1F00-00000C1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F00-000009000000}"/>
                  </a:ext>
                </a:extLst>
              </xdr:cNvPr>
              <xdr:cNvGrpSpPr/>
            </xdr:nvGrpSpPr>
            <xdr:grpSpPr>
              <a:xfrm>
                <a:off x="6162676" y="3409950"/>
                <a:ext cx="1657350" cy="361950"/>
                <a:chOff x="6162676" y="3409950"/>
                <a:chExt cx="1657350" cy="361950"/>
              </a:xfrm>
            </xdr:grpSpPr>
            <xdr:sp macro="" textlink="">
              <xdr:nvSpPr>
                <xdr:cNvPr id="70669" name="Group Box 13" hidden="1">
                  <a:extLst>
                    <a:ext uri="{63B3BB69-23CF-44E3-9099-C40C66FF867C}">
                      <a14:compatExt spid="_x0000_s70669"/>
                    </a:ext>
                    <a:ext uri="{FF2B5EF4-FFF2-40B4-BE49-F238E27FC236}">
                      <a16:creationId xmlns:a16="http://schemas.microsoft.com/office/drawing/2014/main" id="{00000000-0008-0000-1F00-00000D1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F00-00000A000000}"/>
                    </a:ext>
                  </a:extLst>
                </xdr:cNvPr>
                <xdr:cNvGrpSpPr/>
              </xdr:nvGrpSpPr>
              <xdr:grpSpPr>
                <a:xfrm>
                  <a:off x="6243639" y="3500925"/>
                  <a:ext cx="1495425" cy="180000"/>
                  <a:chOff x="6029325" y="4257675"/>
                  <a:chExt cx="1495425" cy="257175"/>
                </a:xfrm>
              </xdr:grpSpPr>
              <xdr:sp macro="" textlink="">
                <xdr:nvSpPr>
                  <xdr:cNvPr id="70670" name="Button 14" hidden="1">
                    <a:extLst>
                      <a:ext uri="{63B3BB69-23CF-44E3-9099-C40C66FF867C}">
                        <a14:compatExt spid="_x0000_s70670"/>
                      </a:ext>
                      <a:ext uri="{FF2B5EF4-FFF2-40B4-BE49-F238E27FC236}">
                        <a16:creationId xmlns:a16="http://schemas.microsoft.com/office/drawing/2014/main" id="{00000000-0008-0000-1F00-00000E1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0671" name="Button 15" hidden="1">
                    <a:extLst>
                      <a:ext uri="{63B3BB69-23CF-44E3-9099-C40C66FF867C}">
                        <a14:compatExt spid="_x0000_s70671"/>
                      </a:ext>
                      <a:ext uri="{FF2B5EF4-FFF2-40B4-BE49-F238E27FC236}">
                        <a16:creationId xmlns:a16="http://schemas.microsoft.com/office/drawing/2014/main" id="{00000000-0008-0000-1F00-00000F1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0672" name="Button 16" hidden="1">
                    <a:extLst>
                      <a:ext uri="{63B3BB69-23CF-44E3-9099-C40C66FF867C}">
                        <a14:compatExt spid="_x0000_s70672"/>
                      </a:ext>
                      <a:ext uri="{FF2B5EF4-FFF2-40B4-BE49-F238E27FC236}">
                        <a16:creationId xmlns:a16="http://schemas.microsoft.com/office/drawing/2014/main" id="{00000000-0008-0000-1F00-0000101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0</xdr:row>
          <xdr:rowOff>66675</xdr:rowOff>
        </xdr:from>
        <xdr:to>
          <xdr:col>13</xdr:col>
          <xdr:colOff>1200150</xdr:colOff>
          <xdr:row>0</xdr:row>
          <xdr:rowOff>323850</xdr:rowOff>
        </xdr:to>
        <xdr:grpSp>
          <xdr:nvGrpSpPr>
            <xdr:cNvPr id="24" name="Group 23">
              <a:extLst>
                <a:ext uri="{FF2B5EF4-FFF2-40B4-BE49-F238E27FC236}">
                  <a16:creationId xmlns:a16="http://schemas.microsoft.com/office/drawing/2014/main" id="{00000000-0008-0000-1F00-000018000000}"/>
                </a:ext>
              </a:extLst>
            </xdr:cNvPr>
            <xdr:cNvGrpSpPr/>
          </xdr:nvGrpSpPr>
          <xdr:grpSpPr>
            <a:xfrm>
              <a:off x="1333500" y="66675"/>
              <a:ext cx="1104900" cy="257175"/>
              <a:chOff x="771525" y="1314450"/>
              <a:chExt cx="1104900" cy="257175"/>
            </a:xfrm>
          </xdr:grpSpPr>
          <xdr:sp macro="" textlink="">
            <xdr:nvSpPr>
              <xdr:cNvPr id="70673" name="Button 17" hidden="1">
                <a:extLst>
                  <a:ext uri="{63B3BB69-23CF-44E3-9099-C40C66FF867C}">
                    <a14:compatExt spid="_x0000_s70673"/>
                  </a:ext>
                  <a:ext uri="{FF2B5EF4-FFF2-40B4-BE49-F238E27FC236}">
                    <a16:creationId xmlns:a16="http://schemas.microsoft.com/office/drawing/2014/main" id="{00000000-0008-0000-1F00-0000111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0674" name="Button 18" hidden="1">
                <a:extLst>
                  <a:ext uri="{63B3BB69-23CF-44E3-9099-C40C66FF867C}">
                    <a14:compatExt spid="_x0000_s70674"/>
                  </a:ext>
                  <a:ext uri="{FF2B5EF4-FFF2-40B4-BE49-F238E27FC236}">
                    <a16:creationId xmlns:a16="http://schemas.microsoft.com/office/drawing/2014/main" id="{00000000-0008-0000-1F00-0000121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1</xdr:row>
          <xdr:rowOff>219075</xdr:rowOff>
        </xdr:from>
        <xdr:to>
          <xdr:col>15</xdr:col>
          <xdr:colOff>133350</xdr:colOff>
          <xdr:row>3</xdr:row>
          <xdr:rowOff>19050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2000-0000051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57150</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666750</xdr:colOff>
          <xdr:row>1</xdr:row>
          <xdr:rowOff>152400</xdr:rowOff>
        </xdr:to>
        <xdr:grpSp>
          <xdr:nvGrpSpPr>
            <xdr:cNvPr id="13" name="Group 12">
              <a:extLst>
                <a:ext uri="{FF2B5EF4-FFF2-40B4-BE49-F238E27FC236}">
                  <a16:creationId xmlns:a16="http://schemas.microsoft.com/office/drawing/2014/main" id="{00000000-0008-0000-2000-00000D000000}"/>
                </a:ext>
              </a:extLst>
            </xdr:cNvPr>
            <xdr:cNvGrpSpPr/>
          </xdr:nvGrpSpPr>
          <xdr:grpSpPr>
            <a:xfrm>
              <a:off x="790576" y="104775"/>
              <a:ext cx="3695699" cy="361950"/>
              <a:chOff x="6162676" y="3409950"/>
              <a:chExt cx="3695699" cy="361950"/>
            </a:xfrm>
          </xdr:grpSpPr>
          <xdr:grpSp>
            <xdr:nvGrpSpPr>
              <xdr:cNvPr id="14" name="Group 13">
                <a:extLst>
                  <a:ext uri="{FF2B5EF4-FFF2-40B4-BE49-F238E27FC236}">
                    <a16:creationId xmlns:a16="http://schemas.microsoft.com/office/drawing/2014/main" id="{00000000-0008-0000-2000-00000E000000}"/>
                  </a:ext>
                </a:extLst>
              </xdr:cNvPr>
              <xdr:cNvGrpSpPr/>
            </xdr:nvGrpSpPr>
            <xdr:grpSpPr>
              <a:xfrm>
                <a:off x="7867650" y="3409950"/>
                <a:ext cx="1990725" cy="361950"/>
                <a:chOff x="8191500" y="3409950"/>
                <a:chExt cx="1990725" cy="361950"/>
              </a:xfrm>
            </xdr:grpSpPr>
            <xdr:grpSp>
              <xdr:nvGrpSpPr>
                <xdr:cNvPr id="17" name="Group 16">
                  <a:extLst>
                    <a:ext uri="{FF2B5EF4-FFF2-40B4-BE49-F238E27FC236}">
                      <a16:creationId xmlns:a16="http://schemas.microsoft.com/office/drawing/2014/main" id="{00000000-0008-0000-2000-000011000000}"/>
                    </a:ext>
                  </a:extLst>
                </xdr:cNvPr>
                <xdr:cNvGrpSpPr/>
              </xdr:nvGrpSpPr>
              <xdr:grpSpPr>
                <a:xfrm>
                  <a:off x="8302013" y="3452813"/>
                  <a:ext cx="1769699" cy="276225"/>
                  <a:chOff x="8305801" y="3457575"/>
                  <a:chExt cx="1769699" cy="276225"/>
                </a:xfrm>
              </xdr:grpSpPr>
              <xdr:sp macro="" textlink="">
                <xdr:nvSpPr>
                  <xdr:cNvPr id="72720" name="Option Button 16" hidden="1">
                    <a:extLst>
                      <a:ext uri="{63B3BB69-23CF-44E3-9099-C40C66FF867C}">
                        <a14:compatExt spid="_x0000_s72720"/>
                      </a:ext>
                      <a:ext uri="{FF2B5EF4-FFF2-40B4-BE49-F238E27FC236}">
                        <a16:creationId xmlns:a16="http://schemas.microsoft.com/office/drawing/2014/main" id="{00000000-0008-0000-2000-0000101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2721" name="Option Button 17" hidden="1">
                    <a:extLst>
                      <a:ext uri="{63B3BB69-23CF-44E3-9099-C40C66FF867C}">
                        <a14:compatExt spid="_x0000_s72721"/>
                      </a:ext>
                      <a:ext uri="{FF2B5EF4-FFF2-40B4-BE49-F238E27FC236}">
                        <a16:creationId xmlns:a16="http://schemas.microsoft.com/office/drawing/2014/main" id="{00000000-0008-0000-2000-0000111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2722" name="Option Button 18" hidden="1">
                    <a:extLst>
                      <a:ext uri="{63B3BB69-23CF-44E3-9099-C40C66FF867C}">
                        <a14:compatExt spid="_x0000_s72722"/>
                      </a:ext>
                      <a:ext uri="{FF2B5EF4-FFF2-40B4-BE49-F238E27FC236}">
                        <a16:creationId xmlns:a16="http://schemas.microsoft.com/office/drawing/2014/main" id="{00000000-0008-0000-2000-0000121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2723" name="Option Button 19" hidden="1">
                    <a:extLst>
                      <a:ext uri="{63B3BB69-23CF-44E3-9099-C40C66FF867C}">
                        <a14:compatExt spid="_x0000_s72723"/>
                      </a:ext>
                      <a:ext uri="{FF2B5EF4-FFF2-40B4-BE49-F238E27FC236}">
                        <a16:creationId xmlns:a16="http://schemas.microsoft.com/office/drawing/2014/main" id="{00000000-0008-0000-2000-0000131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2724" name="Group Box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2000-00000F000000}"/>
                  </a:ext>
                </a:extLst>
              </xdr:cNvPr>
              <xdr:cNvGrpSpPr/>
            </xdr:nvGrpSpPr>
            <xdr:grpSpPr>
              <a:xfrm>
                <a:off x="6162676" y="3409950"/>
                <a:ext cx="1657350" cy="361950"/>
                <a:chOff x="6162676" y="3409950"/>
                <a:chExt cx="1657350" cy="361950"/>
              </a:xfrm>
            </xdr:grpSpPr>
            <xdr:sp macro="" textlink="">
              <xdr:nvSpPr>
                <xdr:cNvPr id="72725" name="Group Box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000-000010000000}"/>
                    </a:ext>
                  </a:extLst>
                </xdr:cNvPr>
                <xdr:cNvGrpSpPr/>
              </xdr:nvGrpSpPr>
              <xdr:grpSpPr>
                <a:xfrm>
                  <a:off x="6243639" y="3500925"/>
                  <a:ext cx="1495425" cy="180000"/>
                  <a:chOff x="6029325" y="4257675"/>
                  <a:chExt cx="1495425" cy="257175"/>
                </a:xfrm>
              </xdr:grpSpPr>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942975</xdr:colOff>
          <xdr:row>0</xdr:row>
          <xdr:rowOff>152400</xdr:rowOff>
        </xdr:from>
        <xdr:to>
          <xdr:col>6</xdr:col>
          <xdr:colOff>1933575</xdr:colOff>
          <xdr:row>1</xdr:row>
          <xdr:rowOff>95250</xdr:rowOff>
        </xdr:to>
        <xdr:grpSp>
          <xdr:nvGrpSpPr>
            <xdr:cNvPr id="24" name="Group 23">
              <a:extLst>
                <a:ext uri="{FF2B5EF4-FFF2-40B4-BE49-F238E27FC236}">
                  <a16:creationId xmlns:a16="http://schemas.microsoft.com/office/drawing/2014/main" id="{00000000-0008-0000-2000-000018000000}"/>
                </a:ext>
              </a:extLst>
            </xdr:cNvPr>
            <xdr:cNvGrpSpPr/>
          </xdr:nvGrpSpPr>
          <xdr:grpSpPr>
            <a:xfrm>
              <a:off x="4762500" y="152400"/>
              <a:ext cx="990600" cy="257175"/>
              <a:chOff x="771525" y="1314450"/>
              <a:chExt cx="990600" cy="257175"/>
            </a:xfrm>
          </xdr:grpSpPr>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2730" name="Button 26"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171450</xdr:rowOff>
        </xdr:from>
        <xdr:to>
          <xdr:col>15</xdr:col>
          <xdr:colOff>685800</xdr:colOff>
          <xdr:row>1</xdr:row>
          <xdr:rowOff>114300</xdr:rowOff>
        </xdr:to>
        <xdr:grpSp>
          <xdr:nvGrpSpPr>
            <xdr:cNvPr id="25" name="Group 24">
              <a:extLst>
                <a:ext uri="{FF2B5EF4-FFF2-40B4-BE49-F238E27FC236}">
                  <a16:creationId xmlns:a16="http://schemas.microsoft.com/office/drawing/2014/main" id="{00000000-0008-0000-2000-000019000000}"/>
                </a:ext>
              </a:extLst>
            </xdr:cNvPr>
            <xdr:cNvGrpSpPr/>
          </xdr:nvGrpSpPr>
          <xdr:grpSpPr>
            <a:xfrm>
              <a:off x="13373100" y="171450"/>
              <a:ext cx="1095375" cy="257175"/>
              <a:chOff x="8201025" y="3448050"/>
              <a:chExt cx="1095375" cy="257175"/>
            </a:xfrm>
          </xdr:grpSpPr>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714375</xdr:colOff>
          <xdr:row>12</xdr:row>
          <xdr:rowOff>200025</xdr:rowOff>
        </xdr:from>
        <xdr:to>
          <xdr:col>14</xdr:col>
          <xdr:colOff>19050</xdr:colOff>
          <xdr:row>27</xdr:row>
          <xdr:rowOff>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2100-000005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57150</xdr:colOff>
      <xdr:row>0</xdr:row>
      <xdr:rowOff>0</xdr:rowOff>
    </xdr:from>
    <xdr:to>
      <xdr:col>0</xdr:col>
      <xdr:colOff>657225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114301</xdr:colOff>
          <xdr:row>0</xdr:row>
          <xdr:rowOff>104775</xdr:rowOff>
        </xdr:from>
        <xdr:to>
          <xdr:col>5</xdr:col>
          <xdr:colOff>942975</xdr:colOff>
          <xdr:row>1</xdr:row>
          <xdr:rowOff>95250</xdr:rowOff>
        </xdr:to>
        <xdr:grpSp>
          <xdr:nvGrpSpPr>
            <xdr:cNvPr id="4" name="Group 3">
              <a:extLst>
                <a:ext uri="{FF2B5EF4-FFF2-40B4-BE49-F238E27FC236}">
                  <a16:creationId xmlns:a16="http://schemas.microsoft.com/office/drawing/2014/main" id="{00000000-0008-0000-2100-000004000000}"/>
                </a:ext>
              </a:extLst>
            </xdr:cNvPr>
            <xdr:cNvGrpSpPr/>
          </xdr:nvGrpSpPr>
          <xdr:grpSpPr>
            <a:xfrm>
              <a:off x="84772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100-000005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100-00000B000000}"/>
                    </a:ext>
                  </a:extLst>
                </xdr:cNvPr>
                <xdr:cNvGrpSpPr/>
              </xdr:nvGrpSpPr>
              <xdr:grpSpPr>
                <a:xfrm>
                  <a:off x="8302013" y="3452813"/>
                  <a:ext cx="1769699" cy="276225"/>
                  <a:chOff x="8305801" y="3457575"/>
                  <a:chExt cx="1769699" cy="276225"/>
                </a:xfrm>
              </xdr:grpSpPr>
              <xdr:sp macro="" textlink="">
                <xdr:nvSpPr>
                  <xdr:cNvPr id="73735" name="Option Button 7" hidden="1">
                    <a:extLst>
                      <a:ext uri="{63B3BB69-23CF-44E3-9099-C40C66FF867C}">
                        <a14:compatExt spid="_x0000_s73735"/>
                      </a:ext>
                      <a:ext uri="{FF2B5EF4-FFF2-40B4-BE49-F238E27FC236}">
                        <a16:creationId xmlns:a16="http://schemas.microsoft.com/office/drawing/2014/main" id="{00000000-0008-0000-2100-0000072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3736" name="Option Button 8" hidden="1">
                    <a:extLst>
                      <a:ext uri="{63B3BB69-23CF-44E3-9099-C40C66FF867C}">
                        <a14:compatExt spid="_x0000_s73736"/>
                      </a:ext>
                      <a:ext uri="{FF2B5EF4-FFF2-40B4-BE49-F238E27FC236}">
                        <a16:creationId xmlns:a16="http://schemas.microsoft.com/office/drawing/2014/main" id="{00000000-0008-0000-2100-0000082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3737" name="Option Button 9" hidden="1">
                    <a:extLst>
                      <a:ext uri="{63B3BB69-23CF-44E3-9099-C40C66FF867C}">
                        <a14:compatExt spid="_x0000_s73737"/>
                      </a:ext>
                      <a:ext uri="{FF2B5EF4-FFF2-40B4-BE49-F238E27FC236}">
                        <a16:creationId xmlns:a16="http://schemas.microsoft.com/office/drawing/2014/main" id="{00000000-0008-0000-2100-0000092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3738" name="Option Button 10" hidden="1">
                    <a:extLst>
                      <a:ext uri="{63B3BB69-23CF-44E3-9099-C40C66FF867C}">
                        <a14:compatExt spid="_x0000_s73738"/>
                      </a:ext>
                      <a:ext uri="{FF2B5EF4-FFF2-40B4-BE49-F238E27FC236}">
                        <a16:creationId xmlns:a16="http://schemas.microsoft.com/office/drawing/2014/main" id="{00000000-0008-0000-2100-00000A2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3739" name="Group Box 11" hidden="1">
                  <a:extLst>
                    <a:ext uri="{63B3BB69-23CF-44E3-9099-C40C66FF867C}">
                      <a14:compatExt spid="_x0000_s73739"/>
                    </a:ext>
                    <a:ext uri="{FF2B5EF4-FFF2-40B4-BE49-F238E27FC236}">
                      <a16:creationId xmlns:a16="http://schemas.microsoft.com/office/drawing/2014/main" id="{00000000-0008-0000-2100-00000B2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100-000009000000}"/>
                  </a:ext>
                </a:extLst>
              </xdr:cNvPr>
              <xdr:cNvGrpSpPr/>
            </xdr:nvGrpSpPr>
            <xdr:grpSpPr>
              <a:xfrm>
                <a:off x="6162676" y="3409950"/>
                <a:ext cx="1657350" cy="361950"/>
                <a:chOff x="6162676" y="3409950"/>
                <a:chExt cx="1657350" cy="361950"/>
              </a:xfrm>
            </xdr:grpSpPr>
            <xdr:sp macro="" textlink="">
              <xdr:nvSpPr>
                <xdr:cNvPr id="73740" name="Group Box 12" hidden="1">
                  <a:extLst>
                    <a:ext uri="{63B3BB69-23CF-44E3-9099-C40C66FF867C}">
                      <a14:compatExt spid="_x0000_s73740"/>
                    </a:ext>
                    <a:ext uri="{FF2B5EF4-FFF2-40B4-BE49-F238E27FC236}">
                      <a16:creationId xmlns:a16="http://schemas.microsoft.com/office/drawing/2014/main" id="{00000000-0008-0000-2100-00000C2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100-00000A000000}"/>
                    </a:ext>
                  </a:extLst>
                </xdr:cNvPr>
                <xdr:cNvGrpSpPr/>
              </xdr:nvGrpSpPr>
              <xdr:grpSpPr>
                <a:xfrm>
                  <a:off x="6243639" y="3500925"/>
                  <a:ext cx="1495425" cy="180000"/>
                  <a:chOff x="6029325" y="4257675"/>
                  <a:chExt cx="1495425" cy="257175"/>
                </a:xfrm>
              </xdr:grpSpPr>
              <xdr:sp macro="" textlink="">
                <xdr:nvSpPr>
                  <xdr:cNvPr id="73741" name="Button 13" hidden="1">
                    <a:extLst>
                      <a:ext uri="{63B3BB69-23CF-44E3-9099-C40C66FF867C}">
                        <a14:compatExt spid="_x0000_s73741"/>
                      </a:ext>
                      <a:ext uri="{FF2B5EF4-FFF2-40B4-BE49-F238E27FC236}">
                        <a16:creationId xmlns:a16="http://schemas.microsoft.com/office/drawing/2014/main" id="{00000000-0008-0000-2100-00000D2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3742" name="Button 14" hidden="1">
                    <a:extLst>
                      <a:ext uri="{63B3BB69-23CF-44E3-9099-C40C66FF867C}">
                        <a14:compatExt spid="_x0000_s73742"/>
                      </a:ext>
                      <a:ext uri="{FF2B5EF4-FFF2-40B4-BE49-F238E27FC236}">
                        <a16:creationId xmlns:a16="http://schemas.microsoft.com/office/drawing/2014/main" id="{00000000-0008-0000-2100-00000E2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3743" name="Button 15" hidden="1">
                    <a:extLst>
                      <a:ext uri="{63B3BB69-23CF-44E3-9099-C40C66FF867C}">
                        <a14:compatExt spid="_x0000_s73743"/>
                      </a:ext>
                      <a:ext uri="{FF2B5EF4-FFF2-40B4-BE49-F238E27FC236}">
                        <a16:creationId xmlns:a16="http://schemas.microsoft.com/office/drawing/2014/main" id="{00000000-0008-0000-2100-00000F2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1228725</xdr:colOff>
          <xdr:row>0</xdr:row>
          <xdr:rowOff>152400</xdr:rowOff>
        </xdr:from>
        <xdr:to>
          <xdr:col>5</xdr:col>
          <xdr:colOff>2219325</xdr:colOff>
          <xdr:row>1</xdr:row>
          <xdr:rowOff>38100</xdr:rowOff>
        </xdr:to>
        <xdr:grpSp>
          <xdr:nvGrpSpPr>
            <xdr:cNvPr id="24" name="Group 23">
              <a:extLst>
                <a:ext uri="{FF2B5EF4-FFF2-40B4-BE49-F238E27FC236}">
                  <a16:creationId xmlns:a16="http://schemas.microsoft.com/office/drawing/2014/main" id="{00000000-0008-0000-2100-000018000000}"/>
                </a:ext>
              </a:extLst>
            </xdr:cNvPr>
            <xdr:cNvGrpSpPr/>
          </xdr:nvGrpSpPr>
          <xdr:grpSpPr>
            <a:xfrm>
              <a:off x="4829175" y="152400"/>
              <a:ext cx="990600" cy="257175"/>
              <a:chOff x="771525" y="1314450"/>
              <a:chExt cx="990600" cy="257175"/>
            </a:xfrm>
          </xdr:grpSpPr>
          <xdr:sp macro="" textlink="">
            <xdr:nvSpPr>
              <xdr:cNvPr id="73744" name="Button 16" hidden="1">
                <a:extLst>
                  <a:ext uri="{63B3BB69-23CF-44E3-9099-C40C66FF867C}">
                    <a14:compatExt spid="_x0000_s73744"/>
                  </a:ext>
                  <a:ext uri="{FF2B5EF4-FFF2-40B4-BE49-F238E27FC236}">
                    <a16:creationId xmlns:a16="http://schemas.microsoft.com/office/drawing/2014/main" id="{00000000-0008-0000-2100-0000102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3745" name="Button 17" hidden="1">
                <a:extLst>
                  <a:ext uri="{63B3BB69-23CF-44E3-9099-C40C66FF867C}">
                    <a14:compatExt spid="_x0000_s73745"/>
                  </a:ext>
                  <a:ext uri="{FF2B5EF4-FFF2-40B4-BE49-F238E27FC236}">
                    <a16:creationId xmlns:a16="http://schemas.microsoft.com/office/drawing/2014/main" id="{00000000-0008-0000-2100-0000112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47625</xdr:colOff>
          <xdr:row>0</xdr:row>
          <xdr:rowOff>133350</xdr:rowOff>
        </xdr:from>
        <xdr:to>
          <xdr:col>13</xdr:col>
          <xdr:colOff>1143000</xdr:colOff>
          <xdr:row>1</xdr:row>
          <xdr:rowOff>19050</xdr:rowOff>
        </xdr:to>
        <xdr:grpSp>
          <xdr:nvGrpSpPr>
            <xdr:cNvPr id="25" name="Group 24">
              <a:extLst>
                <a:ext uri="{FF2B5EF4-FFF2-40B4-BE49-F238E27FC236}">
                  <a16:creationId xmlns:a16="http://schemas.microsoft.com/office/drawing/2014/main" id="{00000000-0008-0000-2100-000019000000}"/>
                </a:ext>
              </a:extLst>
            </xdr:cNvPr>
            <xdr:cNvGrpSpPr/>
          </xdr:nvGrpSpPr>
          <xdr:grpSpPr>
            <a:xfrm>
              <a:off x="12334875" y="133350"/>
              <a:ext cx="1095375" cy="257175"/>
              <a:chOff x="8201025" y="3448050"/>
              <a:chExt cx="1095375" cy="257175"/>
            </a:xfrm>
          </xdr:grpSpPr>
          <xdr:sp macro="" textlink="">
            <xdr:nvSpPr>
              <xdr:cNvPr id="73746" name="Button 18" hidden="1">
                <a:extLst>
                  <a:ext uri="{63B3BB69-23CF-44E3-9099-C40C66FF867C}">
                    <a14:compatExt spid="_x0000_s73746"/>
                  </a:ext>
                  <a:ext uri="{FF2B5EF4-FFF2-40B4-BE49-F238E27FC236}">
                    <a16:creationId xmlns:a16="http://schemas.microsoft.com/office/drawing/2014/main" id="{00000000-0008-0000-2100-0000122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3747" name="Button 19" hidden="1">
                <a:extLst>
                  <a:ext uri="{63B3BB69-23CF-44E3-9099-C40C66FF867C}">
                    <a14:compatExt spid="_x0000_s73747"/>
                  </a:ext>
                  <a:ext uri="{FF2B5EF4-FFF2-40B4-BE49-F238E27FC236}">
                    <a16:creationId xmlns:a16="http://schemas.microsoft.com/office/drawing/2014/main" id="{00000000-0008-0000-2100-0000132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12</xdr:col>
      <xdr:colOff>161925</xdr:colOff>
      <xdr:row>14</xdr:row>
      <xdr:rowOff>200025</xdr:rowOff>
    </xdr:from>
    <xdr:to>
      <xdr:col>13</xdr:col>
      <xdr:colOff>19050</xdr:colOff>
      <xdr:row>17</xdr:row>
      <xdr:rowOff>0</xdr:rowOff>
    </xdr:to>
    <xdr:grpSp>
      <xdr:nvGrpSpPr>
        <xdr:cNvPr id="6" name="Group 5">
          <a:extLst>
            <a:ext uri="{FF2B5EF4-FFF2-40B4-BE49-F238E27FC236}">
              <a16:creationId xmlns:a16="http://schemas.microsoft.com/office/drawing/2014/main" id="{00000000-0008-0000-2200-000006000000}"/>
            </a:ext>
          </a:extLst>
        </xdr:cNvPr>
        <xdr:cNvGrpSpPr/>
      </xdr:nvGrpSpPr>
      <xdr:grpSpPr>
        <a:xfrm>
          <a:off x="10753725" y="1000125"/>
          <a:ext cx="542925" cy="485775"/>
          <a:chOff x="8820150" y="428625"/>
          <a:chExt cx="542925" cy="1038225"/>
        </a:xfrm>
      </xdr:grpSpPr>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id="{00000000-0008-0000-2200-000003240100}"/>
              </a:ext>
            </a:extLst>
          </xdr:cNvPr>
          <xdr:cNvSpPr/>
        </xdr:nvSpPr>
        <xdr:spPr bwMode="auto">
          <a:xfrm>
            <a:off x="8848725" y="428625"/>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56" name="Button 4" hidden="1">
            <a:extLst>
              <a:ext uri="{63B3BB69-23CF-44E3-9099-C40C66FF867C}">
                <a14:compatExt xmlns:a14="http://schemas.microsoft.com/office/drawing/2010/main" spid="_x0000_s74756"/>
              </a:ext>
              <a:ext uri="{FF2B5EF4-FFF2-40B4-BE49-F238E27FC236}">
                <a16:creationId xmlns:a16="http://schemas.microsoft.com/office/drawing/2014/main" id="{00000000-0008-0000-2200-000004240100}"/>
              </a:ext>
            </a:extLst>
          </xdr:cNvPr>
          <xdr:cNvSpPr/>
        </xdr:nvSpPr>
        <xdr:spPr bwMode="auto">
          <a:xfrm>
            <a:off x="8820150" y="1209675"/>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11</xdr:col>
          <xdr:colOff>66675</xdr:colOff>
          <xdr:row>13</xdr:row>
          <xdr:rowOff>200025</xdr:rowOff>
        </xdr:from>
        <xdr:to>
          <xdr:col>12</xdr:col>
          <xdr:colOff>95250</xdr:colOff>
          <xdr:row>15</xdr:row>
          <xdr:rowOff>0</xdr:rowOff>
        </xdr:to>
        <xdr:sp macro="" textlink="">
          <xdr:nvSpPr>
            <xdr:cNvPr id="74758" name="Button 6" hidden="1">
              <a:extLst>
                <a:ext uri="{63B3BB69-23CF-44E3-9099-C40C66FF867C}">
                  <a14:compatExt spid="_x0000_s74758"/>
                </a:ext>
                <a:ext uri="{FF2B5EF4-FFF2-40B4-BE49-F238E27FC236}">
                  <a16:creationId xmlns:a16="http://schemas.microsoft.com/office/drawing/2014/main" id="{00000000-0008-0000-2200-000006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13</xdr:row>
      <xdr:rowOff>28575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838200</xdr:colOff>
          <xdr:row>1</xdr:row>
          <xdr:rowOff>123825</xdr:rowOff>
        </xdr:to>
        <xdr:grpSp>
          <xdr:nvGrpSpPr>
            <xdr:cNvPr id="4" name="Group 3">
              <a:extLst>
                <a:ext uri="{FF2B5EF4-FFF2-40B4-BE49-F238E27FC236}">
                  <a16:creationId xmlns:a16="http://schemas.microsoft.com/office/drawing/2014/main" id="{00000000-0008-0000-2200-000004000000}"/>
                </a:ext>
              </a:extLst>
            </xdr:cNvPr>
            <xdr:cNvGrpSpPr/>
          </xdr:nvGrpSpPr>
          <xdr:grpSpPr>
            <a:xfrm>
              <a:off x="7905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2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2200-000009000000}"/>
                    </a:ext>
                  </a:extLst>
                </xdr:cNvPr>
                <xdr:cNvGrpSpPr/>
              </xdr:nvGrpSpPr>
              <xdr:grpSpPr>
                <a:xfrm>
                  <a:off x="8302013" y="3452813"/>
                  <a:ext cx="1769699" cy="276225"/>
                  <a:chOff x="8305801" y="3457575"/>
                  <a:chExt cx="1769699" cy="276225"/>
                </a:xfrm>
              </xdr:grpSpPr>
              <xdr:sp macro="" textlink="">
                <xdr:nvSpPr>
                  <xdr:cNvPr id="74759" name="Option Button 7" hidden="1">
                    <a:extLst>
                      <a:ext uri="{63B3BB69-23CF-44E3-9099-C40C66FF867C}">
                        <a14:compatExt spid="_x0000_s74759"/>
                      </a:ext>
                      <a:ext uri="{FF2B5EF4-FFF2-40B4-BE49-F238E27FC236}">
                        <a16:creationId xmlns:a16="http://schemas.microsoft.com/office/drawing/2014/main" id="{00000000-0008-0000-2200-0000072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4760" name="Option Button 8" hidden="1">
                    <a:extLst>
                      <a:ext uri="{63B3BB69-23CF-44E3-9099-C40C66FF867C}">
                        <a14:compatExt spid="_x0000_s74760"/>
                      </a:ext>
                      <a:ext uri="{FF2B5EF4-FFF2-40B4-BE49-F238E27FC236}">
                        <a16:creationId xmlns:a16="http://schemas.microsoft.com/office/drawing/2014/main" id="{00000000-0008-0000-2200-0000082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4761" name="Option Button 9" hidden="1">
                    <a:extLst>
                      <a:ext uri="{63B3BB69-23CF-44E3-9099-C40C66FF867C}">
                        <a14:compatExt spid="_x0000_s74761"/>
                      </a:ext>
                      <a:ext uri="{FF2B5EF4-FFF2-40B4-BE49-F238E27FC236}">
                        <a16:creationId xmlns:a16="http://schemas.microsoft.com/office/drawing/2014/main" id="{00000000-0008-0000-2200-0000092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4762" name="Option Button 10" hidden="1">
                    <a:extLst>
                      <a:ext uri="{63B3BB69-23CF-44E3-9099-C40C66FF867C}">
                        <a14:compatExt spid="_x0000_s74762"/>
                      </a:ext>
                      <a:ext uri="{FF2B5EF4-FFF2-40B4-BE49-F238E27FC236}">
                        <a16:creationId xmlns:a16="http://schemas.microsoft.com/office/drawing/2014/main" id="{00000000-0008-0000-2200-00000A2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4763" name="Group Box 11" hidden="1">
                  <a:extLst>
                    <a:ext uri="{63B3BB69-23CF-44E3-9099-C40C66FF867C}">
                      <a14:compatExt spid="_x0000_s74763"/>
                    </a:ext>
                    <a:ext uri="{FF2B5EF4-FFF2-40B4-BE49-F238E27FC236}">
                      <a16:creationId xmlns:a16="http://schemas.microsoft.com/office/drawing/2014/main" id="{00000000-0008-0000-2200-00000B2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7" name="Group 6">
                <a:extLst>
                  <a:ext uri="{FF2B5EF4-FFF2-40B4-BE49-F238E27FC236}">
                    <a16:creationId xmlns:a16="http://schemas.microsoft.com/office/drawing/2014/main" id="{00000000-0008-0000-2200-000007000000}"/>
                  </a:ext>
                </a:extLst>
              </xdr:cNvPr>
              <xdr:cNvGrpSpPr/>
            </xdr:nvGrpSpPr>
            <xdr:grpSpPr>
              <a:xfrm>
                <a:off x="6162676" y="3409950"/>
                <a:ext cx="1657350" cy="361950"/>
                <a:chOff x="6162676" y="3409950"/>
                <a:chExt cx="1657350" cy="361950"/>
              </a:xfrm>
            </xdr:grpSpPr>
            <xdr:sp macro="" textlink="">
              <xdr:nvSpPr>
                <xdr:cNvPr id="74764" name="Group Box 12" hidden="1">
                  <a:extLst>
                    <a:ext uri="{63B3BB69-23CF-44E3-9099-C40C66FF867C}">
                      <a14:compatExt spid="_x0000_s74764"/>
                    </a:ext>
                    <a:ext uri="{FF2B5EF4-FFF2-40B4-BE49-F238E27FC236}">
                      <a16:creationId xmlns:a16="http://schemas.microsoft.com/office/drawing/2014/main" id="{00000000-0008-0000-2200-00000C2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2200-000008000000}"/>
                    </a:ext>
                  </a:extLst>
                </xdr:cNvPr>
                <xdr:cNvGrpSpPr/>
              </xdr:nvGrpSpPr>
              <xdr:grpSpPr>
                <a:xfrm>
                  <a:off x="6243639" y="3500925"/>
                  <a:ext cx="1495425" cy="180000"/>
                  <a:chOff x="6029325" y="4257675"/>
                  <a:chExt cx="1495425" cy="257175"/>
                </a:xfrm>
              </xdr:grpSpPr>
              <xdr:sp macro="" textlink="">
                <xdr:nvSpPr>
                  <xdr:cNvPr id="74765" name="Button 13" hidden="1">
                    <a:extLst>
                      <a:ext uri="{63B3BB69-23CF-44E3-9099-C40C66FF867C}">
                        <a14:compatExt spid="_x0000_s74765"/>
                      </a:ext>
                      <a:ext uri="{FF2B5EF4-FFF2-40B4-BE49-F238E27FC236}">
                        <a16:creationId xmlns:a16="http://schemas.microsoft.com/office/drawing/2014/main" id="{00000000-0008-0000-2200-00000D2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200-00000E2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200-00000F2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6</xdr:col>
          <xdr:colOff>990600</xdr:colOff>
          <xdr:row>0</xdr:row>
          <xdr:rowOff>257175</xdr:rowOff>
        </xdr:to>
        <xdr:grpSp>
          <xdr:nvGrpSpPr>
            <xdr:cNvPr id="27" name="Group 26">
              <a:extLst>
                <a:ext uri="{FF2B5EF4-FFF2-40B4-BE49-F238E27FC236}">
                  <a16:creationId xmlns:a16="http://schemas.microsoft.com/office/drawing/2014/main" id="{00000000-0008-0000-2200-00001B000000}"/>
                </a:ext>
              </a:extLst>
            </xdr:cNvPr>
            <xdr:cNvGrpSpPr/>
          </xdr:nvGrpSpPr>
          <xdr:grpSpPr>
            <a:xfrm>
              <a:off x="5800725" y="0"/>
              <a:ext cx="990600" cy="257175"/>
              <a:chOff x="771525" y="1314450"/>
              <a:chExt cx="990600" cy="257175"/>
            </a:xfrm>
          </xdr:grpSpPr>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200-0000102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200-0000112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1114425</xdr:colOff>
          <xdr:row>0</xdr:row>
          <xdr:rowOff>285750</xdr:rowOff>
        </xdr:to>
        <xdr:grpSp>
          <xdr:nvGrpSpPr>
            <xdr:cNvPr id="28" name="Group 27">
              <a:extLst>
                <a:ext uri="{FF2B5EF4-FFF2-40B4-BE49-F238E27FC236}">
                  <a16:creationId xmlns:a16="http://schemas.microsoft.com/office/drawing/2014/main" id="{00000000-0008-0000-2200-00001C000000}"/>
                </a:ext>
              </a:extLst>
            </xdr:cNvPr>
            <xdr:cNvGrpSpPr/>
          </xdr:nvGrpSpPr>
          <xdr:grpSpPr>
            <a:xfrm>
              <a:off x="7953375" y="28575"/>
              <a:ext cx="1095375" cy="257175"/>
              <a:chOff x="8201025" y="3448050"/>
              <a:chExt cx="1095375" cy="257175"/>
            </a:xfrm>
          </xdr:grpSpPr>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200-0000122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200-0000132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209550</xdr:colOff>
          <xdr:row>2</xdr:row>
          <xdr:rowOff>9525</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110490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3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300-00000B000000}"/>
                    </a:ext>
                  </a:extLst>
                </xdr:cNvPr>
                <xdr:cNvGrpSpPr/>
              </xdr:nvGrpSpPr>
              <xdr:grpSpPr>
                <a:xfrm>
                  <a:off x="8302013" y="3452813"/>
                  <a:ext cx="1769699" cy="276225"/>
                  <a:chOff x="8305801" y="3457575"/>
                  <a:chExt cx="1769699" cy="276225"/>
                </a:xfrm>
              </xdr:grpSpPr>
              <xdr:sp macro="" textlink="">
                <xdr:nvSpPr>
                  <xdr:cNvPr id="77835" name="Option Button 11" hidden="1">
                    <a:extLst>
                      <a:ext uri="{63B3BB69-23CF-44E3-9099-C40C66FF867C}">
                        <a14:compatExt spid="_x0000_s77835"/>
                      </a:ext>
                      <a:ext uri="{FF2B5EF4-FFF2-40B4-BE49-F238E27FC236}">
                        <a16:creationId xmlns:a16="http://schemas.microsoft.com/office/drawing/2014/main" id="{00000000-0008-0000-2300-00000B3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7836" name="Option Button 12" hidden="1">
                    <a:extLst>
                      <a:ext uri="{63B3BB69-23CF-44E3-9099-C40C66FF867C}">
                        <a14:compatExt spid="_x0000_s77836"/>
                      </a:ext>
                      <a:ext uri="{FF2B5EF4-FFF2-40B4-BE49-F238E27FC236}">
                        <a16:creationId xmlns:a16="http://schemas.microsoft.com/office/drawing/2014/main" id="{00000000-0008-0000-2300-00000C3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7837" name="Option Button 13" hidden="1">
                    <a:extLst>
                      <a:ext uri="{63B3BB69-23CF-44E3-9099-C40C66FF867C}">
                        <a14:compatExt spid="_x0000_s77837"/>
                      </a:ext>
                      <a:ext uri="{FF2B5EF4-FFF2-40B4-BE49-F238E27FC236}">
                        <a16:creationId xmlns:a16="http://schemas.microsoft.com/office/drawing/2014/main" id="{00000000-0008-0000-2300-00000D3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7838" name="Option Button 14" hidden="1">
                    <a:extLst>
                      <a:ext uri="{63B3BB69-23CF-44E3-9099-C40C66FF867C}">
                        <a14:compatExt spid="_x0000_s77838"/>
                      </a:ext>
                      <a:ext uri="{FF2B5EF4-FFF2-40B4-BE49-F238E27FC236}">
                        <a16:creationId xmlns:a16="http://schemas.microsoft.com/office/drawing/2014/main" id="{00000000-0008-0000-2300-00000E3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7839" name="Group Box 15" hidden="1">
                  <a:extLst>
                    <a:ext uri="{63B3BB69-23CF-44E3-9099-C40C66FF867C}">
                      <a14:compatExt spid="_x0000_s77839"/>
                    </a:ext>
                    <a:ext uri="{FF2B5EF4-FFF2-40B4-BE49-F238E27FC236}">
                      <a16:creationId xmlns:a16="http://schemas.microsoft.com/office/drawing/2014/main" id="{00000000-0008-0000-2300-00000F3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300-000009000000}"/>
                  </a:ext>
                </a:extLst>
              </xdr:cNvPr>
              <xdr:cNvGrpSpPr/>
            </xdr:nvGrpSpPr>
            <xdr:grpSpPr>
              <a:xfrm>
                <a:off x="6162676" y="3409950"/>
                <a:ext cx="1657350" cy="361950"/>
                <a:chOff x="6162676" y="3409950"/>
                <a:chExt cx="1657350" cy="361950"/>
              </a:xfrm>
            </xdr:grpSpPr>
            <xdr:sp macro="" textlink="">
              <xdr:nvSpPr>
                <xdr:cNvPr id="77840" name="Group Box 16" hidden="1">
                  <a:extLst>
                    <a:ext uri="{63B3BB69-23CF-44E3-9099-C40C66FF867C}">
                      <a14:compatExt spid="_x0000_s77840"/>
                    </a:ext>
                    <a:ext uri="{FF2B5EF4-FFF2-40B4-BE49-F238E27FC236}">
                      <a16:creationId xmlns:a16="http://schemas.microsoft.com/office/drawing/2014/main" id="{00000000-0008-0000-2300-0000103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300-00000A000000}"/>
                    </a:ext>
                  </a:extLst>
                </xdr:cNvPr>
                <xdr:cNvGrpSpPr/>
              </xdr:nvGrpSpPr>
              <xdr:grpSpPr>
                <a:xfrm>
                  <a:off x="6243639" y="3500925"/>
                  <a:ext cx="1495425" cy="180000"/>
                  <a:chOff x="6029325" y="4257675"/>
                  <a:chExt cx="1495425" cy="257175"/>
                </a:xfrm>
              </xdr:grpSpPr>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2300-0000113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2300-0000123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2300-0000133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990600</xdr:colOff>
          <xdr:row>3</xdr:row>
          <xdr:rowOff>142875</xdr:rowOff>
        </xdr:to>
        <xdr:grpSp>
          <xdr:nvGrpSpPr>
            <xdr:cNvPr id="23" name="Group 22">
              <a:extLst>
                <a:ext uri="{FF2B5EF4-FFF2-40B4-BE49-F238E27FC236}">
                  <a16:creationId xmlns:a16="http://schemas.microsoft.com/office/drawing/2014/main" id="{00000000-0008-0000-2300-000017000000}"/>
                </a:ext>
              </a:extLst>
            </xdr:cNvPr>
            <xdr:cNvGrpSpPr/>
          </xdr:nvGrpSpPr>
          <xdr:grpSpPr>
            <a:xfrm>
              <a:off x="0" y="571500"/>
              <a:ext cx="990600" cy="257175"/>
              <a:chOff x="771525" y="1314450"/>
              <a:chExt cx="990600" cy="257175"/>
            </a:xfrm>
          </xdr:grpSpPr>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2300-0000143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2300-0000153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85725</xdr:rowOff>
        </xdr:from>
        <xdr:to>
          <xdr:col>7</xdr:col>
          <xdr:colOff>200025</xdr:colOff>
          <xdr:row>2</xdr:row>
          <xdr:rowOff>114300</xdr:rowOff>
        </xdr:to>
        <xdr:grpSp>
          <xdr:nvGrpSpPr>
            <xdr:cNvPr id="24" name="Group 23">
              <a:extLst>
                <a:ext uri="{FF2B5EF4-FFF2-40B4-BE49-F238E27FC236}">
                  <a16:creationId xmlns:a16="http://schemas.microsoft.com/office/drawing/2014/main" id="{00000000-0008-0000-2300-000018000000}"/>
                </a:ext>
              </a:extLst>
            </xdr:cNvPr>
            <xdr:cNvGrpSpPr/>
          </xdr:nvGrpSpPr>
          <xdr:grpSpPr>
            <a:xfrm>
              <a:off x="5600700" y="314325"/>
              <a:ext cx="1095375" cy="257175"/>
              <a:chOff x="8201025" y="3448050"/>
              <a:chExt cx="1095375" cy="257175"/>
            </a:xfrm>
          </xdr:grpSpPr>
          <xdr:sp macro="" textlink="">
            <xdr:nvSpPr>
              <xdr:cNvPr id="77846" name="Button 22" hidden="1">
                <a:extLst>
                  <a:ext uri="{63B3BB69-23CF-44E3-9099-C40C66FF867C}">
                    <a14:compatExt spid="_x0000_s77846"/>
                  </a:ext>
                  <a:ext uri="{FF2B5EF4-FFF2-40B4-BE49-F238E27FC236}">
                    <a16:creationId xmlns:a16="http://schemas.microsoft.com/office/drawing/2014/main" id="{00000000-0008-0000-2300-0000163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7847" name="Button 23" hidden="1">
                <a:extLst>
                  <a:ext uri="{63B3BB69-23CF-44E3-9099-C40C66FF867C}">
                    <a14:compatExt spid="_x0000_s77847"/>
                  </a:ext>
                  <a:ext uri="{FF2B5EF4-FFF2-40B4-BE49-F238E27FC236}">
                    <a16:creationId xmlns:a16="http://schemas.microsoft.com/office/drawing/2014/main" id="{00000000-0008-0000-2300-0000173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752475</xdr:colOff>
          <xdr:row>2</xdr:row>
          <xdr:rowOff>9525</xdr:rowOff>
        </xdr:to>
        <xdr:grpSp>
          <xdr:nvGrpSpPr>
            <xdr:cNvPr id="7" name="Group 6">
              <a:extLst>
                <a:ext uri="{FF2B5EF4-FFF2-40B4-BE49-F238E27FC236}">
                  <a16:creationId xmlns:a16="http://schemas.microsoft.com/office/drawing/2014/main" id="{00000000-0008-0000-24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4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400-00000B000000}"/>
                    </a:ext>
                  </a:extLst>
                </xdr:cNvPr>
                <xdr:cNvGrpSpPr/>
              </xdr:nvGrpSpPr>
              <xdr:grpSpPr>
                <a:xfrm>
                  <a:off x="8302013" y="3452813"/>
                  <a:ext cx="1769699" cy="276225"/>
                  <a:chOff x="8305801" y="3457575"/>
                  <a:chExt cx="1769699" cy="276225"/>
                </a:xfrm>
              </xdr:grpSpPr>
              <xdr:sp macro="" textlink="">
                <xdr:nvSpPr>
                  <xdr:cNvPr id="89094" name="Option Button 6" hidden="1">
                    <a:extLst>
                      <a:ext uri="{63B3BB69-23CF-44E3-9099-C40C66FF867C}">
                        <a14:compatExt spid="_x0000_s89094"/>
                      </a:ext>
                      <a:ext uri="{FF2B5EF4-FFF2-40B4-BE49-F238E27FC236}">
                        <a16:creationId xmlns:a16="http://schemas.microsoft.com/office/drawing/2014/main" id="{00000000-0008-0000-2400-0000065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9095" name="Option Button 7" hidden="1">
                    <a:extLst>
                      <a:ext uri="{63B3BB69-23CF-44E3-9099-C40C66FF867C}">
                        <a14:compatExt spid="_x0000_s89095"/>
                      </a:ext>
                      <a:ext uri="{FF2B5EF4-FFF2-40B4-BE49-F238E27FC236}">
                        <a16:creationId xmlns:a16="http://schemas.microsoft.com/office/drawing/2014/main" id="{00000000-0008-0000-2400-0000075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9096" name="Option Button 8" hidden="1">
                    <a:extLst>
                      <a:ext uri="{63B3BB69-23CF-44E3-9099-C40C66FF867C}">
                        <a14:compatExt spid="_x0000_s89096"/>
                      </a:ext>
                      <a:ext uri="{FF2B5EF4-FFF2-40B4-BE49-F238E27FC236}">
                        <a16:creationId xmlns:a16="http://schemas.microsoft.com/office/drawing/2014/main" id="{00000000-0008-0000-2400-0000085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9097" name="Option Button 9" hidden="1">
                    <a:extLst>
                      <a:ext uri="{63B3BB69-23CF-44E3-9099-C40C66FF867C}">
                        <a14:compatExt spid="_x0000_s89097"/>
                      </a:ext>
                      <a:ext uri="{FF2B5EF4-FFF2-40B4-BE49-F238E27FC236}">
                        <a16:creationId xmlns:a16="http://schemas.microsoft.com/office/drawing/2014/main" id="{00000000-0008-0000-2400-0000095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9098" name="Group Box 10" hidden="1">
                  <a:extLst>
                    <a:ext uri="{63B3BB69-23CF-44E3-9099-C40C66FF867C}">
                      <a14:compatExt spid="_x0000_s89098"/>
                    </a:ext>
                    <a:ext uri="{FF2B5EF4-FFF2-40B4-BE49-F238E27FC236}">
                      <a16:creationId xmlns:a16="http://schemas.microsoft.com/office/drawing/2014/main" id="{00000000-0008-0000-2400-00000A5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400-000009000000}"/>
                  </a:ext>
                </a:extLst>
              </xdr:cNvPr>
              <xdr:cNvGrpSpPr/>
            </xdr:nvGrpSpPr>
            <xdr:grpSpPr>
              <a:xfrm>
                <a:off x="6162676" y="3409950"/>
                <a:ext cx="1657350" cy="361950"/>
                <a:chOff x="6162676" y="3409950"/>
                <a:chExt cx="1657350" cy="361950"/>
              </a:xfrm>
            </xdr:grpSpPr>
            <xdr:sp macro="" textlink="">
              <xdr:nvSpPr>
                <xdr:cNvPr id="89099" name="Group Box 11" hidden="1">
                  <a:extLst>
                    <a:ext uri="{63B3BB69-23CF-44E3-9099-C40C66FF867C}">
                      <a14:compatExt spid="_x0000_s89099"/>
                    </a:ext>
                    <a:ext uri="{FF2B5EF4-FFF2-40B4-BE49-F238E27FC236}">
                      <a16:creationId xmlns:a16="http://schemas.microsoft.com/office/drawing/2014/main" id="{00000000-0008-0000-2400-00000B5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400-00000A000000}"/>
                    </a:ext>
                  </a:extLst>
                </xdr:cNvPr>
                <xdr:cNvGrpSpPr/>
              </xdr:nvGrpSpPr>
              <xdr:grpSpPr>
                <a:xfrm>
                  <a:off x="6243639" y="3500925"/>
                  <a:ext cx="1495425" cy="180000"/>
                  <a:chOff x="6029325" y="4257675"/>
                  <a:chExt cx="1495425" cy="257175"/>
                </a:xfrm>
              </xdr:grpSpPr>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2400-00000C5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9101" name="Button 13" hidden="1">
                    <a:extLst>
                      <a:ext uri="{63B3BB69-23CF-44E3-9099-C40C66FF867C}">
                        <a14:compatExt spid="_x0000_s89101"/>
                      </a:ext>
                      <a:ext uri="{FF2B5EF4-FFF2-40B4-BE49-F238E27FC236}">
                        <a16:creationId xmlns:a16="http://schemas.microsoft.com/office/drawing/2014/main" id="{00000000-0008-0000-2400-00000D5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9102" name="Button 14" hidden="1">
                    <a:extLst>
                      <a:ext uri="{63B3BB69-23CF-44E3-9099-C40C66FF867C}">
                        <a14:compatExt spid="_x0000_s89102"/>
                      </a:ext>
                      <a:ext uri="{FF2B5EF4-FFF2-40B4-BE49-F238E27FC236}">
                        <a16:creationId xmlns:a16="http://schemas.microsoft.com/office/drawing/2014/main" id="{00000000-0008-0000-2400-00000E5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0</xdr:row>
          <xdr:rowOff>104775</xdr:rowOff>
        </xdr:from>
        <xdr:to>
          <xdr:col>5</xdr:col>
          <xdr:colOff>923925</xdr:colOff>
          <xdr:row>1</xdr:row>
          <xdr:rowOff>133350</xdr:rowOff>
        </xdr:to>
        <xdr:grpSp>
          <xdr:nvGrpSpPr>
            <xdr:cNvPr id="23" name="Group 22">
              <a:extLst>
                <a:ext uri="{FF2B5EF4-FFF2-40B4-BE49-F238E27FC236}">
                  <a16:creationId xmlns:a16="http://schemas.microsoft.com/office/drawing/2014/main" id="{00000000-0008-0000-2400-000017000000}"/>
                </a:ext>
              </a:extLst>
            </xdr:cNvPr>
            <xdr:cNvGrpSpPr/>
          </xdr:nvGrpSpPr>
          <xdr:grpSpPr>
            <a:xfrm>
              <a:off x="4752975" y="104775"/>
              <a:ext cx="990600" cy="257175"/>
              <a:chOff x="771525" y="1314450"/>
              <a:chExt cx="990600" cy="257175"/>
            </a:xfrm>
          </xdr:grpSpPr>
          <xdr:sp macro="" textlink="">
            <xdr:nvSpPr>
              <xdr:cNvPr id="89103" name="Button 15" hidden="1">
                <a:extLst>
                  <a:ext uri="{63B3BB69-23CF-44E3-9099-C40C66FF867C}">
                    <a14:compatExt spid="_x0000_s89103"/>
                  </a:ext>
                  <a:ext uri="{FF2B5EF4-FFF2-40B4-BE49-F238E27FC236}">
                    <a16:creationId xmlns:a16="http://schemas.microsoft.com/office/drawing/2014/main" id="{00000000-0008-0000-2400-00000F5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9104" name="Button 16" hidden="1">
                <a:extLst>
                  <a:ext uri="{63B3BB69-23CF-44E3-9099-C40C66FF867C}">
                    <a14:compatExt spid="_x0000_s89104"/>
                  </a:ext>
                  <a:ext uri="{FF2B5EF4-FFF2-40B4-BE49-F238E27FC236}">
                    <a16:creationId xmlns:a16="http://schemas.microsoft.com/office/drawing/2014/main" id="{00000000-0008-0000-2400-0000105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104775</xdr:rowOff>
        </xdr:from>
        <xdr:to>
          <xdr:col>10</xdr:col>
          <xdr:colOff>619125</xdr:colOff>
          <xdr:row>1</xdr:row>
          <xdr:rowOff>133350</xdr:rowOff>
        </xdr:to>
        <xdr:grpSp>
          <xdr:nvGrpSpPr>
            <xdr:cNvPr id="24" name="Group 23">
              <a:extLst>
                <a:ext uri="{FF2B5EF4-FFF2-40B4-BE49-F238E27FC236}">
                  <a16:creationId xmlns:a16="http://schemas.microsoft.com/office/drawing/2014/main" id="{00000000-0008-0000-2400-000018000000}"/>
                </a:ext>
              </a:extLst>
            </xdr:cNvPr>
            <xdr:cNvGrpSpPr/>
          </xdr:nvGrpSpPr>
          <xdr:grpSpPr>
            <a:xfrm>
              <a:off x="8305800" y="104775"/>
              <a:ext cx="1095375" cy="257175"/>
              <a:chOff x="8201025" y="3448050"/>
              <a:chExt cx="1095375" cy="257175"/>
            </a:xfrm>
          </xdr:grpSpPr>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2400-0000115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2400-0000125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28576</xdr:colOff>
          <xdr:row>0</xdr:row>
          <xdr:rowOff>57150</xdr:rowOff>
        </xdr:from>
        <xdr:to>
          <xdr:col>5</xdr:col>
          <xdr:colOff>133350</xdr:colOff>
          <xdr:row>1</xdr:row>
          <xdr:rowOff>190500</xdr:rowOff>
        </xdr:to>
        <xdr:grpSp>
          <xdr:nvGrpSpPr>
            <xdr:cNvPr id="7" name="Group 6">
              <a:extLst>
                <a:ext uri="{FF2B5EF4-FFF2-40B4-BE49-F238E27FC236}">
                  <a16:creationId xmlns:a16="http://schemas.microsoft.com/office/drawing/2014/main" id="{00000000-0008-0000-2500-000007000000}"/>
                </a:ext>
              </a:extLst>
            </xdr:cNvPr>
            <xdr:cNvGrpSpPr/>
          </xdr:nvGrpSpPr>
          <xdr:grpSpPr>
            <a:xfrm>
              <a:off x="762001" y="57150"/>
              <a:ext cx="3695699" cy="361950"/>
              <a:chOff x="6162676" y="3409950"/>
              <a:chExt cx="3695699" cy="361950"/>
            </a:xfrm>
          </xdr:grpSpPr>
          <xdr:grpSp>
            <xdr:nvGrpSpPr>
              <xdr:cNvPr id="8" name="Group 7">
                <a:extLst>
                  <a:ext uri="{FF2B5EF4-FFF2-40B4-BE49-F238E27FC236}">
                    <a16:creationId xmlns:a16="http://schemas.microsoft.com/office/drawing/2014/main" id="{00000000-0008-0000-25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500-00000B000000}"/>
                    </a:ext>
                  </a:extLst>
                </xdr:cNvPr>
                <xdr:cNvGrpSpPr/>
              </xdr:nvGrpSpPr>
              <xdr:grpSpPr>
                <a:xfrm>
                  <a:off x="8302013" y="3452813"/>
                  <a:ext cx="1769699" cy="276225"/>
                  <a:chOff x="8305801" y="3457575"/>
                  <a:chExt cx="1769699"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2500-0000062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25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25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2500-0000092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2500-00000A2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500-000009000000}"/>
                  </a:ext>
                </a:extLst>
              </xdr:cNvPr>
              <xdr:cNvGrpSpPr/>
            </xdr:nvGrpSpPr>
            <xdr:grpSpPr>
              <a:xfrm>
                <a:off x="6162676" y="3409950"/>
                <a:ext cx="1657350" cy="361950"/>
                <a:chOff x="6162676" y="3409950"/>
                <a:chExt cx="1657350" cy="361950"/>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2500-00000B2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9" y="3500925"/>
                  <a:ext cx="1495425" cy="180000"/>
                  <a:chOff x="6029325" y="4257675"/>
                  <a:chExt cx="1495425"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2500-00000C2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25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2500-00000E2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85725</xdr:rowOff>
        </xdr:from>
        <xdr:to>
          <xdr:col>6</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562475"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25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25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0</xdr:row>
          <xdr:rowOff>133350</xdr:rowOff>
        </xdr:from>
        <xdr:to>
          <xdr:col>11</xdr:col>
          <xdr:colOff>1238250</xdr:colOff>
          <xdr:row>1</xdr:row>
          <xdr:rowOff>161925</xdr:rowOff>
        </xdr:to>
        <xdr:grpSp>
          <xdr:nvGrpSpPr>
            <xdr:cNvPr id="24" name="Group 23">
              <a:extLst>
                <a:ext uri="{FF2B5EF4-FFF2-40B4-BE49-F238E27FC236}">
                  <a16:creationId xmlns:a16="http://schemas.microsoft.com/office/drawing/2014/main" id="{00000000-0008-0000-2500-000018000000}"/>
                </a:ext>
              </a:extLst>
            </xdr:cNvPr>
            <xdr:cNvGrpSpPr/>
          </xdr:nvGrpSpPr>
          <xdr:grpSpPr>
            <a:xfrm>
              <a:off x="10115550" y="133350"/>
              <a:ext cx="1095375" cy="257175"/>
              <a:chOff x="8201025" y="3448050"/>
              <a:chExt cx="1095375" cy="257175"/>
            </a:xfrm>
          </xdr:grpSpPr>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2500-0000112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6818" name="Button 18" hidden="1">
                <a:extLst>
                  <a:ext uri="{63B3BB69-23CF-44E3-9099-C40C66FF867C}">
                    <a14:compatExt spid="_x0000_s76818"/>
                  </a:ext>
                  <a:ext uri="{FF2B5EF4-FFF2-40B4-BE49-F238E27FC236}">
                    <a16:creationId xmlns:a16="http://schemas.microsoft.com/office/drawing/2014/main" id="{00000000-0008-0000-2500-0000122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561975</xdr:colOff>
          <xdr:row>2</xdr:row>
          <xdr:rowOff>9525</xdr:rowOff>
        </xdr:to>
        <xdr:grpSp>
          <xdr:nvGrpSpPr>
            <xdr:cNvPr id="12" name="Group 11">
              <a:extLst>
                <a:ext uri="{FF2B5EF4-FFF2-40B4-BE49-F238E27FC236}">
                  <a16:creationId xmlns:a16="http://schemas.microsoft.com/office/drawing/2014/main" id="{00000000-0008-0000-2600-00000C000000}"/>
                </a:ext>
              </a:extLst>
            </xdr:cNvPr>
            <xdr:cNvGrpSpPr/>
          </xdr:nvGrpSpPr>
          <xdr:grpSpPr>
            <a:xfrm>
              <a:off x="790576" y="104775"/>
              <a:ext cx="3695699" cy="361950"/>
              <a:chOff x="6162676" y="3409950"/>
              <a:chExt cx="3695699" cy="361950"/>
            </a:xfrm>
          </xdr:grpSpPr>
          <xdr:grpSp>
            <xdr:nvGrpSpPr>
              <xdr:cNvPr id="11" name="Group 10">
                <a:extLst>
                  <a:ext uri="{FF2B5EF4-FFF2-40B4-BE49-F238E27FC236}">
                    <a16:creationId xmlns:a16="http://schemas.microsoft.com/office/drawing/2014/main" id="{00000000-0008-0000-2600-00000B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2600-000008000000}"/>
                    </a:ext>
                  </a:extLst>
                </xdr:cNvPr>
                <xdr:cNvGrpSpPr/>
              </xdr:nvGrpSpPr>
              <xdr:grpSpPr>
                <a:xfrm>
                  <a:off x="8302013" y="3452813"/>
                  <a:ext cx="1769699" cy="276225"/>
                  <a:chOff x="8305801" y="3457575"/>
                  <a:chExt cx="1769699" cy="276225"/>
                </a:xfrm>
              </xdr:grpSpPr>
              <xdr:sp macro="" textlink="">
                <xdr:nvSpPr>
                  <xdr:cNvPr id="75783" name="Option Button 7" hidden="1">
                    <a:extLst>
                      <a:ext uri="{63B3BB69-23CF-44E3-9099-C40C66FF867C}">
                        <a14:compatExt spid="_x0000_s75783"/>
                      </a:ext>
                      <a:ext uri="{FF2B5EF4-FFF2-40B4-BE49-F238E27FC236}">
                        <a16:creationId xmlns:a16="http://schemas.microsoft.com/office/drawing/2014/main" id="{00000000-0008-0000-2600-0000072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5784" name="Option Button 8" hidden="1">
                    <a:extLst>
                      <a:ext uri="{63B3BB69-23CF-44E3-9099-C40C66FF867C}">
                        <a14:compatExt spid="_x0000_s75784"/>
                      </a:ext>
                      <a:ext uri="{FF2B5EF4-FFF2-40B4-BE49-F238E27FC236}">
                        <a16:creationId xmlns:a16="http://schemas.microsoft.com/office/drawing/2014/main" id="{00000000-0008-0000-2600-0000082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5785" name="Option Button 9" hidden="1">
                    <a:extLst>
                      <a:ext uri="{63B3BB69-23CF-44E3-9099-C40C66FF867C}">
                        <a14:compatExt spid="_x0000_s75785"/>
                      </a:ext>
                      <a:ext uri="{FF2B5EF4-FFF2-40B4-BE49-F238E27FC236}">
                        <a16:creationId xmlns:a16="http://schemas.microsoft.com/office/drawing/2014/main" id="{00000000-0008-0000-2600-0000092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5786" name="Option Button 10" hidden="1">
                    <a:extLst>
                      <a:ext uri="{63B3BB69-23CF-44E3-9099-C40C66FF867C}">
                        <a14:compatExt spid="_x0000_s75786"/>
                      </a:ext>
                      <a:ext uri="{FF2B5EF4-FFF2-40B4-BE49-F238E27FC236}">
                        <a16:creationId xmlns:a16="http://schemas.microsoft.com/office/drawing/2014/main" id="{00000000-0008-0000-2600-00000A2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5787" name="Group Box 11" hidden="1">
                  <a:extLst>
                    <a:ext uri="{63B3BB69-23CF-44E3-9099-C40C66FF867C}">
                      <a14:compatExt spid="_x0000_s75787"/>
                    </a:ext>
                    <a:ext uri="{FF2B5EF4-FFF2-40B4-BE49-F238E27FC236}">
                      <a16:creationId xmlns:a16="http://schemas.microsoft.com/office/drawing/2014/main" id="{00000000-0008-0000-2600-00000B2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0" name="Group 9">
                <a:extLst>
                  <a:ext uri="{FF2B5EF4-FFF2-40B4-BE49-F238E27FC236}">
                    <a16:creationId xmlns:a16="http://schemas.microsoft.com/office/drawing/2014/main" id="{00000000-0008-0000-2600-00000A000000}"/>
                  </a:ext>
                </a:extLst>
              </xdr:cNvPr>
              <xdr:cNvGrpSpPr/>
            </xdr:nvGrpSpPr>
            <xdr:grpSpPr>
              <a:xfrm>
                <a:off x="6162676" y="3409950"/>
                <a:ext cx="1657350" cy="361950"/>
                <a:chOff x="6162676" y="3409950"/>
                <a:chExt cx="1657350" cy="361950"/>
              </a:xfrm>
            </xdr:grpSpPr>
            <xdr:sp macro="" textlink="">
              <xdr:nvSpPr>
                <xdr:cNvPr id="75788" name="Group Box 12" hidden="1">
                  <a:extLst>
                    <a:ext uri="{63B3BB69-23CF-44E3-9099-C40C66FF867C}">
                      <a14:compatExt spid="_x0000_s75788"/>
                    </a:ext>
                    <a:ext uri="{FF2B5EF4-FFF2-40B4-BE49-F238E27FC236}">
                      <a16:creationId xmlns:a16="http://schemas.microsoft.com/office/drawing/2014/main" id="{00000000-0008-0000-2600-00000C2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2600-000009000000}"/>
                    </a:ext>
                  </a:extLst>
                </xdr:cNvPr>
                <xdr:cNvGrpSpPr/>
              </xdr:nvGrpSpPr>
              <xdr:grpSpPr>
                <a:xfrm>
                  <a:off x="6243639" y="3500925"/>
                  <a:ext cx="1495425" cy="180000"/>
                  <a:chOff x="6029325" y="4257675"/>
                  <a:chExt cx="1495425" cy="257175"/>
                </a:xfrm>
              </xdr:grpSpPr>
              <xdr:sp macro="" textlink="">
                <xdr:nvSpPr>
                  <xdr:cNvPr id="75789" name="Button 13" hidden="1">
                    <a:extLst>
                      <a:ext uri="{63B3BB69-23CF-44E3-9099-C40C66FF867C}">
                        <a14:compatExt spid="_x0000_s75789"/>
                      </a:ext>
                      <a:ext uri="{FF2B5EF4-FFF2-40B4-BE49-F238E27FC236}">
                        <a16:creationId xmlns:a16="http://schemas.microsoft.com/office/drawing/2014/main" id="{00000000-0008-0000-2600-00000D2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5790" name="Button 14" hidden="1">
                    <a:extLst>
                      <a:ext uri="{63B3BB69-23CF-44E3-9099-C40C66FF867C}">
                        <a14:compatExt spid="_x0000_s75790"/>
                      </a:ext>
                      <a:ext uri="{FF2B5EF4-FFF2-40B4-BE49-F238E27FC236}">
                        <a16:creationId xmlns:a16="http://schemas.microsoft.com/office/drawing/2014/main" id="{00000000-0008-0000-2600-00000E2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5791" name="Button 15" hidden="1">
                    <a:extLst>
                      <a:ext uri="{63B3BB69-23CF-44E3-9099-C40C66FF867C}">
                        <a14:compatExt spid="_x0000_s75791"/>
                      </a:ext>
                      <a:ext uri="{FF2B5EF4-FFF2-40B4-BE49-F238E27FC236}">
                        <a16:creationId xmlns:a16="http://schemas.microsoft.com/office/drawing/2014/main" id="{00000000-0008-0000-2600-00000F2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142875</xdr:rowOff>
        </xdr:from>
        <xdr:to>
          <xdr:col>5</xdr:col>
          <xdr:colOff>495300</xdr:colOff>
          <xdr:row>1</xdr:row>
          <xdr:rowOff>171450</xdr:rowOff>
        </xdr:to>
        <xdr:grpSp>
          <xdr:nvGrpSpPr>
            <xdr:cNvPr id="23" name="Group 22">
              <a:extLst>
                <a:ext uri="{FF2B5EF4-FFF2-40B4-BE49-F238E27FC236}">
                  <a16:creationId xmlns:a16="http://schemas.microsoft.com/office/drawing/2014/main" id="{00000000-0008-0000-2600-000017000000}"/>
                </a:ext>
              </a:extLst>
            </xdr:cNvPr>
            <xdr:cNvGrpSpPr/>
          </xdr:nvGrpSpPr>
          <xdr:grpSpPr>
            <a:xfrm>
              <a:off x="4648200" y="142875"/>
              <a:ext cx="990600" cy="257175"/>
              <a:chOff x="771525" y="1314450"/>
              <a:chExt cx="990600" cy="257175"/>
            </a:xfrm>
          </xdr:grpSpPr>
          <xdr:sp macro="" textlink="">
            <xdr:nvSpPr>
              <xdr:cNvPr id="75792" name="Button 16" hidden="1">
                <a:extLst>
                  <a:ext uri="{63B3BB69-23CF-44E3-9099-C40C66FF867C}">
                    <a14:compatExt spid="_x0000_s75792"/>
                  </a:ext>
                  <a:ext uri="{FF2B5EF4-FFF2-40B4-BE49-F238E27FC236}">
                    <a16:creationId xmlns:a16="http://schemas.microsoft.com/office/drawing/2014/main" id="{00000000-0008-0000-2600-0000102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5793" name="Button 17" hidden="1">
                <a:extLst>
                  <a:ext uri="{63B3BB69-23CF-44E3-9099-C40C66FF867C}">
                    <a14:compatExt spid="_x0000_s75793"/>
                  </a:ext>
                  <a:ext uri="{FF2B5EF4-FFF2-40B4-BE49-F238E27FC236}">
                    <a16:creationId xmlns:a16="http://schemas.microsoft.com/office/drawing/2014/main" id="{00000000-0008-0000-2600-0000112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161925</xdr:rowOff>
        </xdr:from>
        <xdr:to>
          <xdr:col>9</xdr:col>
          <xdr:colOff>314325</xdr:colOff>
          <xdr:row>1</xdr:row>
          <xdr:rowOff>190500</xdr:rowOff>
        </xdr:to>
        <xdr:grpSp>
          <xdr:nvGrpSpPr>
            <xdr:cNvPr id="24" name="Group 23">
              <a:extLst>
                <a:ext uri="{FF2B5EF4-FFF2-40B4-BE49-F238E27FC236}">
                  <a16:creationId xmlns:a16="http://schemas.microsoft.com/office/drawing/2014/main" id="{00000000-0008-0000-2600-000018000000}"/>
                </a:ext>
              </a:extLst>
            </xdr:cNvPr>
            <xdr:cNvGrpSpPr/>
          </xdr:nvGrpSpPr>
          <xdr:grpSpPr>
            <a:xfrm>
              <a:off x="7886700" y="161925"/>
              <a:ext cx="1095375" cy="257175"/>
              <a:chOff x="8201025" y="3448050"/>
              <a:chExt cx="1095375" cy="257175"/>
            </a:xfrm>
          </xdr:grpSpPr>
          <xdr:sp macro="" textlink="">
            <xdr:nvSpPr>
              <xdr:cNvPr id="75794" name="Button 18" hidden="1">
                <a:extLst>
                  <a:ext uri="{63B3BB69-23CF-44E3-9099-C40C66FF867C}">
                    <a14:compatExt spid="_x0000_s75794"/>
                  </a:ext>
                  <a:ext uri="{FF2B5EF4-FFF2-40B4-BE49-F238E27FC236}">
                    <a16:creationId xmlns:a16="http://schemas.microsoft.com/office/drawing/2014/main" id="{00000000-0008-0000-2600-0000122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5795" name="Button 19" hidden="1">
                <a:extLst>
                  <a:ext uri="{63B3BB69-23CF-44E3-9099-C40C66FF867C}">
                    <a14:compatExt spid="_x0000_s75795"/>
                  </a:ext>
                  <a:ext uri="{FF2B5EF4-FFF2-40B4-BE49-F238E27FC236}">
                    <a16:creationId xmlns:a16="http://schemas.microsoft.com/office/drawing/2014/main" id="{00000000-0008-0000-2600-0000132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142875</xdr:rowOff>
        </xdr:from>
        <xdr:to>
          <xdr:col>4</xdr:col>
          <xdr:colOff>266700</xdr:colOff>
          <xdr:row>0</xdr:row>
          <xdr:rowOff>400050</xdr:rowOff>
        </xdr:to>
        <xdr:grpSp>
          <xdr:nvGrpSpPr>
            <xdr:cNvPr id="4" name="Group 3">
              <a:extLst>
                <a:ext uri="{FF2B5EF4-FFF2-40B4-BE49-F238E27FC236}">
                  <a16:creationId xmlns:a16="http://schemas.microsoft.com/office/drawing/2014/main" id="{00000000-0008-0000-2700-000004000000}"/>
                </a:ext>
              </a:extLst>
            </xdr:cNvPr>
            <xdr:cNvGrpSpPr/>
          </xdr:nvGrpSpPr>
          <xdr:grpSpPr>
            <a:xfrm>
              <a:off x="857250" y="142875"/>
              <a:ext cx="1104900" cy="257175"/>
              <a:chOff x="771525" y="1314450"/>
              <a:chExt cx="1104900" cy="257175"/>
            </a:xfrm>
          </xdr:grpSpPr>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2700-000001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2700-000002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142875</xdr:rowOff>
        </xdr:from>
        <xdr:to>
          <xdr:col>9</xdr:col>
          <xdr:colOff>628650</xdr:colOff>
          <xdr:row>0</xdr:row>
          <xdr:rowOff>400050</xdr:rowOff>
        </xdr:to>
        <xdr:grpSp>
          <xdr:nvGrpSpPr>
            <xdr:cNvPr id="6" name="Group 5">
              <a:extLst>
                <a:ext uri="{FF2B5EF4-FFF2-40B4-BE49-F238E27FC236}">
                  <a16:creationId xmlns:a16="http://schemas.microsoft.com/office/drawing/2014/main" id="{00000000-0008-0000-2700-000006000000}"/>
                </a:ext>
              </a:extLst>
            </xdr:cNvPr>
            <xdr:cNvGrpSpPr/>
          </xdr:nvGrpSpPr>
          <xdr:grpSpPr>
            <a:xfrm>
              <a:off x="5695950" y="142875"/>
              <a:ext cx="1190625" cy="257175"/>
              <a:chOff x="8201025" y="3448050"/>
              <a:chExt cx="1190625" cy="257175"/>
            </a:xfrm>
          </xdr:grpSpPr>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2700-000003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2700-000004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0</xdr:row>
          <xdr:rowOff>104775</xdr:rowOff>
        </xdr:from>
        <xdr:to>
          <xdr:col>13</xdr:col>
          <xdr:colOff>19050</xdr:colOff>
          <xdr:row>0</xdr:row>
          <xdr:rowOff>361950</xdr:rowOff>
        </xdr:to>
        <xdr:grpSp>
          <xdr:nvGrpSpPr>
            <xdr:cNvPr id="7" name="Group 6">
              <a:extLst>
                <a:ext uri="{FF2B5EF4-FFF2-40B4-BE49-F238E27FC236}">
                  <a16:creationId xmlns:a16="http://schemas.microsoft.com/office/drawing/2014/main" id="{00000000-0008-0000-2700-000007000000}"/>
                </a:ext>
              </a:extLst>
            </xdr:cNvPr>
            <xdr:cNvGrpSpPr/>
          </xdr:nvGrpSpPr>
          <xdr:grpSpPr>
            <a:xfrm>
              <a:off x="7458075" y="104775"/>
              <a:ext cx="1104900" cy="257175"/>
              <a:chOff x="771525" y="1314450"/>
              <a:chExt cx="1104900" cy="257175"/>
            </a:xfrm>
          </xdr:grpSpPr>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2700-000005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6" name="Button 6" hidden="1">
                <a:extLst>
                  <a:ext uri="{63B3BB69-23CF-44E3-9099-C40C66FF867C}">
                    <a14:compatExt spid="_x0000_s71686"/>
                  </a:ext>
                  <a:ext uri="{FF2B5EF4-FFF2-40B4-BE49-F238E27FC236}">
                    <a16:creationId xmlns:a16="http://schemas.microsoft.com/office/drawing/2014/main" id="{00000000-0008-0000-2700-000006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838200</xdr:colOff>
          <xdr:row>0</xdr:row>
          <xdr:rowOff>104775</xdr:rowOff>
        </xdr:from>
        <xdr:to>
          <xdr:col>25</xdr:col>
          <xdr:colOff>504825</xdr:colOff>
          <xdr:row>0</xdr:row>
          <xdr:rowOff>361950</xdr:rowOff>
        </xdr:to>
        <xdr:grpSp>
          <xdr:nvGrpSpPr>
            <xdr:cNvPr id="8" name="Group 7">
              <a:extLst>
                <a:ext uri="{FF2B5EF4-FFF2-40B4-BE49-F238E27FC236}">
                  <a16:creationId xmlns:a16="http://schemas.microsoft.com/office/drawing/2014/main" id="{00000000-0008-0000-2700-000008000000}"/>
                </a:ext>
              </a:extLst>
            </xdr:cNvPr>
            <xdr:cNvGrpSpPr/>
          </xdr:nvGrpSpPr>
          <xdr:grpSpPr>
            <a:xfrm>
              <a:off x="18840450" y="104775"/>
              <a:ext cx="1190625" cy="257175"/>
              <a:chOff x="8201025" y="3448050"/>
              <a:chExt cx="1190625" cy="257175"/>
            </a:xfrm>
          </xdr:grpSpPr>
          <xdr:sp macro="" textlink="">
            <xdr:nvSpPr>
              <xdr:cNvPr id="71687" name="Button 7" hidden="1">
                <a:extLst>
                  <a:ext uri="{63B3BB69-23CF-44E3-9099-C40C66FF867C}">
                    <a14:compatExt spid="_x0000_s71687"/>
                  </a:ext>
                  <a:ext uri="{FF2B5EF4-FFF2-40B4-BE49-F238E27FC236}">
                    <a16:creationId xmlns:a16="http://schemas.microsoft.com/office/drawing/2014/main" id="{00000000-0008-0000-2700-000007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2700-000008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19</xdr:row>
          <xdr:rowOff>152400</xdr:rowOff>
        </xdr:from>
        <xdr:to>
          <xdr:col>27</xdr:col>
          <xdr:colOff>66675</xdr:colOff>
          <xdr:row>20</xdr:row>
          <xdr:rowOff>180975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2700-000009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19</xdr:row>
          <xdr:rowOff>171450</xdr:rowOff>
        </xdr:from>
        <xdr:to>
          <xdr:col>9</xdr:col>
          <xdr:colOff>933450</xdr:colOff>
          <xdr:row>20</xdr:row>
          <xdr:rowOff>200025</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2700-00000A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xdr:col>
      <xdr:colOff>85725</xdr:colOff>
      <xdr:row>0</xdr:row>
      <xdr:rowOff>0</xdr:rowOff>
    </xdr:from>
    <xdr:to>
      <xdr:col>1</xdr:col>
      <xdr:colOff>685800</xdr:colOff>
      <xdr:row>19</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337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104776</xdr:colOff>
          <xdr:row>0</xdr:row>
          <xdr:rowOff>104775</xdr:rowOff>
        </xdr:from>
        <xdr:to>
          <xdr:col>18</xdr:col>
          <xdr:colOff>714375</xdr:colOff>
          <xdr:row>0</xdr:row>
          <xdr:rowOff>466725</xdr:rowOff>
        </xdr:to>
        <xdr:grpSp>
          <xdr:nvGrpSpPr>
            <xdr:cNvPr id="9" name="Group 8">
              <a:extLst>
                <a:ext uri="{FF2B5EF4-FFF2-40B4-BE49-F238E27FC236}">
                  <a16:creationId xmlns:a16="http://schemas.microsoft.com/office/drawing/2014/main" id="{00000000-0008-0000-2700-000009000000}"/>
                </a:ext>
              </a:extLst>
            </xdr:cNvPr>
            <xdr:cNvGrpSpPr/>
          </xdr:nvGrpSpPr>
          <xdr:grpSpPr>
            <a:xfrm>
              <a:off x="864870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2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2700-00000D000000}"/>
                    </a:ext>
                  </a:extLst>
                </xdr:cNvPr>
                <xdr:cNvGrpSpPr/>
              </xdr:nvGrpSpPr>
              <xdr:grpSpPr>
                <a:xfrm>
                  <a:off x="8302013" y="3452813"/>
                  <a:ext cx="1769699" cy="276225"/>
                  <a:chOff x="8305801" y="3457575"/>
                  <a:chExt cx="1769699" cy="276225"/>
                </a:xfrm>
              </xdr:grpSpPr>
              <xdr:sp macro="" textlink="">
                <xdr:nvSpPr>
                  <xdr:cNvPr id="71693" name="Option Button 13" hidden="1">
                    <a:extLst>
                      <a:ext uri="{63B3BB69-23CF-44E3-9099-C40C66FF867C}">
                        <a14:compatExt spid="_x0000_s71693"/>
                      </a:ext>
                      <a:ext uri="{FF2B5EF4-FFF2-40B4-BE49-F238E27FC236}">
                        <a16:creationId xmlns:a16="http://schemas.microsoft.com/office/drawing/2014/main" id="{00000000-0008-0000-2700-00000D1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1694" name="Option Button 14" hidden="1">
                    <a:extLst>
                      <a:ext uri="{63B3BB69-23CF-44E3-9099-C40C66FF867C}">
                        <a14:compatExt spid="_x0000_s71694"/>
                      </a:ext>
                      <a:ext uri="{FF2B5EF4-FFF2-40B4-BE49-F238E27FC236}">
                        <a16:creationId xmlns:a16="http://schemas.microsoft.com/office/drawing/2014/main" id="{00000000-0008-0000-2700-00000E1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1695" name="Option Button 15" hidden="1">
                    <a:extLst>
                      <a:ext uri="{63B3BB69-23CF-44E3-9099-C40C66FF867C}">
                        <a14:compatExt spid="_x0000_s71695"/>
                      </a:ext>
                      <a:ext uri="{FF2B5EF4-FFF2-40B4-BE49-F238E27FC236}">
                        <a16:creationId xmlns:a16="http://schemas.microsoft.com/office/drawing/2014/main" id="{00000000-0008-0000-2700-00000F1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1696" name="Option Button 16" hidden="1">
                    <a:extLst>
                      <a:ext uri="{63B3BB69-23CF-44E3-9099-C40C66FF867C}">
                        <a14:compatExt spid="_x0000_s71696"/>
                      </a:ext>
                      <a:ext uri="{FF2B5EF4-FFF2-40B4-BE49-F238E27FC236}">
                        <a16:creationId xmlns:a16="http://schemas.microsoft.com/office/drawing/2014/main" id="{00000000-0008-0000-2700-0000101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1697" name="Group Box 17" hidden="1">
                  <a:extLst>
                    <a:ext uri="{63B3BB69-23CF-44E3-9099-C40C66FF867C}">
                      <a14:compatExt spid="_x0000_s71697"/>
                    </a:ext>
                    <a:ext uri="{FF2B5EF4-FFF2-40B4-BE49-F238E27FC236}">
                      <a16:creationId xmlns:a16="http://schemas.microsoft.com/office/drawing/2014/main" id="{00000000-0008-0000-2700-0000111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2700-00000B000000}"/>
                  </a:ext>
                </a:extLst>
              </xdr:cNvPr>
              <xdr:cNvGrpSpPr/>
            </xdr:nvGrpSpPr>
            <xdr:grpSpPr>
              <a:xfrm>
                <a:off x="6162676" y="3409950"/>
                <a:ext cx="1657350" cy="361950"/>
                <a:chOff x="6162676" y="3409950"/>
                <a:chExt cx="1657350" cy="361950"/>
              </a:xfrm>
            </xdr:grpSpPr>
            <xdr:sp macro="" textlink="">
              <xdr:nvSpPr>
                <xdr:cNvPr id="71698" name="Group Box 18" hidden="1">
                  <a:extLst>
                    <a:ext uri="{63B3BB69-23CF-44E3-9099-C40C66FF867C}">
                      <a14:compatExt spid="_x0000_s71698"/>
                    </a:ext>
                    <a:ext uri="{FF2B5EF4-FFF2-40B4-BE49-F238E27FC236}">
                      <a16:creationId xmlns:a16="http://schemas.microsoft.com/office/drawing/2014/main" id="{00000000-0008-0000-2700-0000121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2700-00000C000000}"/>
                    </a:ext>
                  </a:extLst>
                </xdr:cNvPr>
                <xdr:cNvGrpSpPr/>
              </xdr:nvGrpSpPr>
              <xdr:grpSpPr>
                <a:xfrm>
                  <a:off x="6243639" y="3500925"/>
                  <a:ext cx="1495425" cy="180000"/>
                  <a:chOff x="6029325" y="4257675"/>
                  <a:chExt cx="1495425" cy="257175"/>
                </a:xfrm>
              </xdr:grpSpPr>
              <xdr:sp macro="" textlink="">
                <xdr:nvSpPr>
                  <xdr:cNvPr id="71699" name="Button 19" hidden="1">
                    <a:extLst>
                      <a:ext uri="{63B3BB69-23CF-44E3-9099-C40C66FF867C}">
                        <a14:compatExt spid="_x0000_s71699"/>
                      </a:ext>
                      <a:ext uri="{FF2B5EF4-FFF2-40B4-BE49-F238E27FC236}">
                        <a16:creationId xmlns:a16="http://schemas.microsoft.com/office/drawing/2014/main" id="{00000000-0008-0000-2700-0000131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1700" name="Button 20" hidden="1">
                    <a:extLst>
                      <a:ext uri="{63B3BB69-23CF-44E3-9099-C40C66FF867C}">
                        <a14:compatExt spid="_x0000_s71700"/>
                      </a:ext>
                      <a:ext uri="{FF2B5EF4-FFF2-40B4-BE49-F238E27FC236}">
                        <a16:creationId xmlns:a16="http://schemas.microsoft.com/office/drawing/2014/main" id="{00000000-0008-0000-2700-0000141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1701" name="Button 21" hidden="1">
                    <a:extLst>
                      <a:ext uri="{63B3BB69-23CF-44E3-9099-C40C66FF867C}">
                        <a14:compatExt spid="_x0000_s71701"/>
                      </a:ext>
                      <a:ext uri="{FF2B5EF4-FFF2-40B4-BE49-F238E27FC236}">
                        <a16:creationId xmlns:a16="http://schemas.microsoft.com/office/drawing/2014/main" id="{00000000-0008-0000-2700-0000151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98731</xdr:colOff>
      <xdr:row>6</xdr:row>
      <xdr:rowOff>161925</xdr:rowOff>
    </xdr:from>
    <xdr:ext cx="1561966" cy="540000"/>
    <xdr:sp macro="" textlink="$C$4">
      <xdr:nvSpPr>
        <xdr:cNvPr id="6" name="TextBox 5">
          <a:extLst>
            <a:ext uri="{FF2B5EF4-FFF2-40B4-BE49-F238E27FC236}">
              <a16:creationId xmlns:a16="http://schemas.microsoft.com/office/drawing/2014/main" id="{00000000-0008-0000-2800-000006000000}"/>
            </a:ext>
          </a:extLst>
        </xdr:cNvPr>
        <xdr:cNvSpPr txBox="1"/>
      </xdr:nvSpPr>
      <xdr:spPr>
        <a:xfrm>
          <a:off x="98731" y="894617"/>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4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4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1</xdr:col>
      <xdr:colOff>2311</xdr:colOff>
      <xdr:row>7</xdr:row>
      <xdr:rowOff>230</xdr:rowOff>
    </xdr:from>
    <xdr:to>
      <xdr:col>2</xdr:col>
      <xdr:colOff>20888</xdr:colOff>
      <xdr:row>12</xdr:row>
      <xdr:rowOff>164364</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134196" y="916095"/>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34473</xdr:colOff>
      <xdr:row>7</xdr:row>
      <xdr:rowOff>125821</xdr:rowOff>
    </xdr:from>
    <xdr:to>
      <xdr:col>3</xdr:col>
      <xdr:colOff>749841</xdr:colOff>
      <xdr:row>11</xdr:row>
      <xdr:rowOff>120759</xdr:rowOff>
    </xdr:to>
    <xdr:pic>
      <xdr:nvPicPr>
        <xdr:cNvPr id="8" name="Picture 7">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313" y="1037789"/>
          <a:ext cx="715368" cy="724512"/>
        </a:xfrm>
        <a:prstGeom prst="rect">
          <a:avLst/>
        </a:prstGeom>
      </xdr:spPr>
    </xdr:pic>
    <xdr:clientData/>
  </xdr:twoCellAnchor>
  <xdr:twoCellAnchor>
    <xdr:from>
      <xdr:col>6</xdr:col>
      <xdr:colOff>3502</xdr:colOff>
      <xdr:row>6</xdr:row>
      <xdr:rowOff>164538</xdr:rowOff>
    </xdr:from>
    <xdr:to>
      <xdr:col>7</xdr:col>
      <xdr:colOff>574771</xdr:colOff>
      <xdr:row>11</xdr:row>
      <xdr:rowOff>40672</xdr:rowOff>
    </xdr:to>
    <xdr:sp macro="" textlink="">
      <xdr:nvSpPr>
        <xdr:cNvPr id="9" name="Rectangle 8">
          <a:extLst>
            <a:ext uri="{FF2B5EF4-FFF2-40B4-BE49-F238E27FC236}">
              <a16:creationId xmlns:a16="http://schemas.microsoft.com/office/drawing/2014/main" id="{00000000-0008-0000-2800-000009000000}"/>
            </a:ext>
          </a:extLst>
        </xdr:cNvPr>
        <xdr:cNvSpPr/>
      </xdr:nvSpPr>
      <xdr:spPr>
        <a:xfrm>
          <a:off x="4260444" y="897230"/>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448721</xdr:colOff>
      <xdr:row>6</xdr:row>
      <xdr:rowOff>136921</xdr:rowOff>
    </xdr:from>
    <xdr:ext cx="1561966" cy="540000"/>
    <xdr:sp macro="" textlink="$C$4">
      <xdr:nvSpPr>
        <xdr:cNvPr id="10" name="TextBox 9">
          <a:extLst>
            <a:ext uri="{FF2B5EF4-FFF2-40B4-BE49-F238E27FC236}">
              <a16:creationId xmlns:a16="http://schemas.microsoft.com/office/drawing/2014/main" id="{00000000-0008-0000-2800-00000A000000}"/>
            </a:ext>
          </a:extLst>
        </xdr:cNvPr>
        <xdr:cNvSpPr txBox="1"/>
      </xdr:nvSpPr>
      <xdr:spPr>
        <a:xfrm>
          <a:off x="4141490" y="869613"/>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2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2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9</xdr:col>
      <xdr:colOff>13027</xdr:colOff>
      <xdr:row>6</xdr:row>
      <xdr:rowOff>168110</xdr:rowOff>
    </xdr:from>
    <xdr:to>
      <xdr:col>10</xdr:col>
      <xdr:colOff>547662</xdr:colOff>
      <xdr:row>11</xdr:row>
      <xdr:rowOff>44244</xdr:rowOff>
    </xdr:to>
    <xdr:sp macro="" textlink="">
      <xdr:nvSpPr>
        <xdr:cNvPr id="11" name="Rectangle 10">
          <a:extLst>
            <a:ext uri="{FF2B5EF4-FFF2-40B4-BE49-F238E27FC236}">
              <a16:creationId xmlns:a16="http://schemas.microsoft.com/office/drawing/2014/main" id="{00000000-0008-0000-2800-00000B000000}"/>
            </a:ext>
          </a:extLst>
        </xdr:cNvPr>
        <xdr:cNvSpPr/>
      </xdr:nvSpPr>
      <xdr:spPr>
        <a:xfrm>
          <a:off x="6152989" y="900802"/>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71872</xdr:colOff>
      <xdr:row>7</xdr:row>
      <xdr:rowOff>73059</xdr:rowOff>
    </xdr:from>
    <xdr:to>
      <xdr:col>9</xdr:col>
      <xdr:colOff>672031</xdr:colOff>
      <xdr:row>10</xdr:row>
      <xdr:rowOff>130295</xdr:rowOff>
    </xdr:to>
    <xdr:pic>
      <xdr:nvPicPr>
        <xdr:cNvPr id="12" name="Picture 11">
          <a:extLst>
            <a:ext uri="{FF2B5EF4-FFF2-40B4-BE49-F238E27FC236}">
              <a16:creationId xmlns:a16="http://schemas.microsoft.com/office/drawing/2014/main" id="{00000000-0008-0000-28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6778" y="966028"/>
          <a:ext cx="600159" cy="593016"/>
        </a:xfrm>
        <a:prstGeom prst="rect">
          <a:avLst/>
        </a:prstGeom>
      </xdr:spPr>
    </xdr:pic>
    <xdr:clientData/>
  </xdr:twoCellAnchor>
  <xdr:twoCellAnchor>
    <xdr:from>
      <xdr:col>3</xdr:col>
      <xdr:colOff>1668</xdr:colOff>
      <xdr:row>7</xdr:row>
      <xdr:rowOff>572</xdr:rowOff>
    </xdr:from>
    <xdr:to>
      <xdr:col>4</xdr:col>
      <xdr:colOff>679668</xdr:colOff>
      <xdr:row>12</xdr:row>
      <xdr:rowOff>164706</xdr:rowOff>
    </xdr:to>
    <xdr:sp macro="" textlink="">
      <xdr:nvSpPr>
        <xdr:cNvPr id="13" name="Rectangle 12">
          <a:extLst>
            <a:ext uri="{FF2B5EF4-FFF2-40B4-BE49-F238E27FC236}">
              <a16:creationId xmlns:a16="http://schemas.microsoft.com/office/drawing/2014/main" id="{00000000-0008-0000-2800-00000D000000}"/>
            </a:ext>
          </a:extLst>
        </xdr:cNvPr>
        <xdr:cNvSpPr/>
      </xdr:nvSpPr>
      <xdr:spPr>
        <a:xfrm>
          <a:off x="2243706" y="916437"/>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685799</xdr:colOff>
      <xdr:row>7</xdr:row>
      <xdr:rowOff>3877</xdr:rowOff>
    </xdr:from>
    <xdr:to>
      <xdr:col>16</xdr:col>
      <xdr:colOff>842145</xdr:colOff>
      <xdr:row>35</xdr:row>
      <xdr:rowOff>128492</xdr:rowOff>
    </xdr:to>
    <xdr:sp macro="" textlink="">
      <xdr:nvSpPr>
        <xdr:cNvPr id="14" name="Rectangle 13">
          <a:extLst>
            <a:ext uri="{FF2B5EF4-FFF2-40B4-BE49-F238E27FC236}">
              <a16:creationId xmlns:a16="http://schemas.microsoft.com/office/drawing/2014/main" id="{00000000-0008-0000-2800-00000E000000}"/>
            </a:ext>
          </a:extLst>
        </xdr:cNvPr>
        <xdr:cNvSpPr/>
      </xdr:nvSpPr>
      <xdr:spPr>
        <a:xfrm>
          <a:off x="8100645"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367572</xdr:colOff>
      <xdr:row>7</xdr:row>
      <xdr:rowOff>175846</xdr:rowOff>
    </xdr:from>
    <xdr:ext cx="2203617" cy="345736"/>
    <xdr:sp macro="" textlink="Sheet_DonBan!Q9">
      <xdr:nvSpPr>
        <xdr:cNvPr id="15" name="TextBox 14">
          <a:extLst>
            <a:ext uri="{FF2B5EF4-FFF2-40B4-BE49-F238E27FC236}">
              <a16:creationId xmlns:a16="http://schemas.microsoft.com/office/drawing/2014/main" id="{00000000-0008-0000-2800-00000F000000}"/>
            </a:ext>
          </a:extLst>
        </xdr:cNvPr>
        <xdr:cNvSpPr txBox="1"/>
      </xdr:nvSpPr>
      <xdr:spPr>
        <a:xfrm>
          <a:off x="9159880" y="1091711"/>
          <a:ext cx="2203617"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CBB747DB-A08A-4159-B58F-28FBBF78C1BC}"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ÌBAN--1ÇÂÈ-1ÊÎ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12</xdr:col>
      <xdr:colOff>97491</xdr:colOff>
      <xdr:row>7</xdr:row>
      <xdr:rowOff>116498</xdr:rowOff>
    </xdr:from>
    <xdr:to>
      <xdr:col>13</xdr:col>
      <xdr:colOff>8919</xdr:colOff>
      <xdr:row>10</xdr:row>
      <xdr:rowOff>167138</xdr:rowOff>
    </xdr:to>
    <xdr:pic>
      <xdr:nvPicPr>
        <xdr:cNvPr id="16" name="Pictur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4356" y="1032363"/>
          <a:ext cx="600159" cy="600159"/>
        </a:xfrm>
        <a:prstGeom prst="rect">
          <a:avLst/>
        </a:prstGeom>
      </xdr:spPr>
    </xdr:pic>
    <xdr:clientData/>
  </xdr:twoCellAnchor>
  <xdr:twoCellAnchor>
    <xdr:from>
      <xdr:col>18</xdr:col>
      <xdr:colOff>9525</xdr:colOff>
      <xdr:row>7</xdr:row>
      <xdr:rowOff>3877</xdr:rowOff>
    </xdr:from>
    <xdr:to>
      <xdr:col>22</xdr:col>
      <xdr:colOff>854602</xdr:colOff>
      <xdr:row>35</xdr:row>
      <xdr:rowOff>128492</xdr:rowOff>
    </xdr:to>
    <xdr:sp macro="" textlink="">
      <xdr:nvSpPr>
        <xdr:cNvPr id="17" name="Rectangle 16">
          <a:extLst>
            <a:ext uri="{FF2B5EF4-FFF2-40B4-BE49-F238E27FC236}">
              <a16:creationId xmlns:a16="http://schemas.microsoft.com/office/drawing/2014/main" id="{00000000-0008-0000-2800-000011000000}"/>
            </a:ext>
          </a:extLst>
        </xdr:cNvPr>
        <xdr:cNvSpPr/>
      </xdr:nvSpPr>
      <xdr:spPr>
        <a:xfrm>
          <a:off x="12414006"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300568</xdr:colOff>
      <xdr:row>7</xdr:row>
      <xdr:rowOff>179121</xdr:rowOff>
    </xdr:from>
    <xdr:ext cx="2339871" cy="345736"/>
    <xdr:sp macro="" textlink="Sheet_VanDon!I9">
      <xdr:nvSpPr>
        <xdr:cNvPr id="18" name="TextBox 17">
          <a:extLst>
            <a:ext uri="{FF2B5EF4-FFF2-40B4-BE49-F238E27FC236}">
              <a16:creationId xmlns:a16="http://schemas.microsoft.com/office/drawing/2014/main" id="{00000000-0008-0000-2800-000012000000}"/>
            </a:ext>
          </a:extLst>
        </xdr:cNvPr>
        <xdr:cNvSpPr txBox="1"/>
      </xdr:nvSpPr>
      <xdr:spPr>
        <a:xfrm>
          <a:off x="13393780" y="1094986"/>
          <a:ext cx="2339871"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E4C4F4F-31BB-4547-833D-25AFA8438893}"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ÌGIAO--1ÇÂÈ-1=Î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18</xdr:col>
      <xdr:colOff>150502</xdr:colOff>
      <xdr:row>7</xdr:row>
      <xdr:rowOff>102275</xdr:rowOff>
    </xdr:from>
    <xdr:to>
      <xdr:col>19</xdr:col>
      <xdr:colOff>61929</xdr:colOff>
      <xdr:row>10</xdr:row>
      <xdr:rowOff>152915</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8620" y="998746"/>
          <a:ext cx="594986" cy="588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5</xdr:row>
          <xdr:rowOff>95250</xdr:rowOff>
        </xdr:from>
        <xdr:to>
          <xdr:col>5</xdr:col>
          <xdr:colOff>0</xdr:colOff>
          <xdr:row>6</xdr:row>
          <xdr:rowOff>161925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2800-000001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xdr:row>
          <xdr:rowOff>85725</xdr:rowOff>
        </xdr:from>
        <xdr:to>
          <xdr:col>11</xdr:col>
          <xdr:colOff>247650</xdr:colOff>
          <xdr:row>6</xdr:row>
          <xdr:rowOff>152400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2800-000002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5</xdr:row>
          <xdr:rowOff>95250</xdr:rowOff>
        </xdr:from>
        <xdr:to>
          <xdr:col>16</xdr:col>
          <xdr:colOff>847725</xdr:colOff>
          <xdr:row>6</xdr:row>
          <xdr:rowOff>161925</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2800-000003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352425</xdr:colOff>
          <xdr:row>5</xdr:row>
          <xdr:rowOff>104775</xdr:rowOff>
        </xdr:from>
        <xdr:to>
          <xdr:col>22</xdr:col>
          <xdr:colOff>857250</xdr:colOff>
          <xdr:row>6</xdr:row>
          <xdr:rowOff>171450</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2800-000004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xdr:twoCellAnchor editAs="oneCell">
    <xdr:from>
      <xdr:col>1</xdr:col>
      <xdr:colOff>51290</xdr:colOff>
      <xdr:row>0</xdr:row>
      <xdr:rowOff>0</xdr:rowOff>
    </xdr:from>
    <xdr:to>
      <xdr:col>1</xdr:col>
      <xdr:colOff>651365</xdr:colOff>
      <xdr:row>2</xdr:row>
      <xdr:rowOff>167787</xdr:rowOff>
    </xdr:to>
    <xdr:pic>
      <xdr:nvPicPr>
        <xdr:cNvPr id="20" name="Graphic 19" descr="Arrow: Straight with solid fill">
          <a:hlinkClick xmlns:r="http://schemas.openxmlformats.org/officeDocument/2006/relationships" r:id="rId2"/>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3175" y="0"/>
          <a:ext cx="600075" cy="6000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3</xdr:col>
          <xdr:colOff>1971675</xdr:colOff>
          <xdr:row>1</xdr:row>
          <xdr:rowOff>180975</xdr:rowOff>
        </xdr:to>
        <xdr:grpSp>
          <xdr:nvGrpSpPr>
            <xdr:cNvPr id="7" name="Group 6">
              <a:extLst>
                <a:ext uri="{FF2B5EF4-FFF2-40B4-BE49-F238E27FC236}">
                  <a16:creationId xmlns:a16="http://schemas.microsoft.com/office/drawing/2014/main" id="{00000000-0008-0000-2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900-00000B000000}"/>
                    </a:ext>
                  </a:extLst>
                </xdr:cNvPr>
                <xdr:cNvGrpSpPr/>
              </xdr:nvGrpSpPr>
              <xdr:grpSpPr>
                <a:xfrm>
                  <a:off x="8302013" y="3452813"/>
                  <a:ext cx="1769699" cy="276225"/>
                  <a:chOff x="8305801" y="3457575"/>
                  <a:chExt cx="1769699" cy="276225"/>
                </a:xfrm>
              </xdr:grpSpPr>
              <xdr:sp macro="" textlink="">
                <xdr:nvSpPr>
                  <xdr:cNvPr id="83974" name="Option Button 6" hidden="1">
                    <a:extLst>
                      <a:ext uri="{63B3BB69-23CF-44E3-9099-C40C66FF867C}">
                        <a14:compatExt spid="_x0000_s83974"/>
                      </a:ext>
                      <a:ext uri="{FF2B5EF4-FFF2-40B4-BE49-F238E27FC236}">
                        <a16:creationId xmlns:a16="http://schemas.microsoft.com/office/drawing/2014/main" id="{00000000-0008-0000-2900-0000064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3975" name="Option Button 7" hidden="1">
                    <a:extLst>
                      <a:ext uri="{63B3BB69-23CF-44E3-9099-C40C66FF867C}">
                        <a14:compatExt spid="_x0000_s83975"/>
                      </a:ext>
                      <a:ext uri="{FF2B5EF4-FFF2-40B4-BE49-F238E27FC236}">
                        <a16:creationId xmlns:a16="http://schemas.microsoft.com/office/drawing/2014/main" id="{00000000-0008-0000-2900-0000074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3976" name="Option Button 8" hidden="1">
                    <a:extLst>
                      <a:ext uri="{63B3BB69-23CF-44E3-9099-C40C66FF867C}">
                        <a14:compatExt spid="_x0000_s83976"/>
                      </a:ext>
                      <a:ext uri="{FF2B5EF4-FFF2-40B4-BE49-F238E27FC236}">
                        <a16:creationId xmlns:a16="http://schemas.microsoft.com/office/drawing/2014/main" id="{00000000-0008-0000-2900-0000084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3977" name="Option Button 9" hidden="1">
                    <a:extLst>
                      <a:ext uri="{63B3BB69-23CF-44E3-9099-C40C66FF867C}">
                        <a14:compatExt spid="_x0000_s83977"/>
                      </a:ext>
                      <a:ext uri="{FF2B5EF4-FFF2-40B4-BE49-F238E27FC236}">
                        <a16:creationId xmlns:a16="http://schemas.microsoft.com/office/drawing/2014/main" id="{00000000-0008-0000-2900-0000094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3978" name="Group Box 10" hidden="1">
                  <a:extLst>
                    <a:ext uri="{63B3BB69-23CF-44E3-9099-C40C66FF867C}">
                      <a14:compatExt spid="_x0000_s83978"/>
                    </a:ext>
                    <a:ext uri="{FF2B5EF4-FFF2-40B4-BE49-F238E27FC236}">
                      <a16:creationId xmlns:a16="http://schemas.microsoft.com/office/drawing/2014/main" id="{00000000-0008-0000-2900-00000A4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900-000009000000}"/>
                  </a:ext>
                </a:extLst>
              </xdr:cNvPr>
              <xdr:cNvGrpSpPr/>
            </xdr:nvGrpSpPr>
            <xdr:grpSpPr>
              <a:xfrm>
                <a:off x="6162676" y="3409950"/>
                <a:ext cx="1657350" cy="361950"/>
                <a:chOff x="6162676" y="3409950"/>
                <a:chExt cx="1657350" cy="361950"/>
              </a:xfrm>
            </xdr:grpSpPr>
            <xdr:sp macro="" textlink="">
              <xdr:nvSpPr>
                <xdr:cNvPr id="83979" name="Group Box 11" hidden="1">
                  <a:extLst>
                    <a:ext uri="{63B3BB69-23CF-44E3-9099-C40C66FF867C}">
                      <a14:compatExt spid="_x0000_s83979"/>
                    </a:ext>
                    <a:ext uri="{FF2B5EF4-FFF2-40B4-BE49-F238E27FC236}">
                      <a16:creationId xmlns:a16="http://schemas.microsoft.com/office/drawing/2014/main" id="{00000000-0008-0000-2900-00000B4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900-00000A000000}"/>
                    </a:ext>
                  </a:extLst>
                </xdr:cNvPr>
                <xdr:cNvGrpSpPr/>
              </xdr:nvGrpSpPr>
              <xdr:grpSpPr>
                <a:xfrm>
                  <a:off x="6243639" y="3500925"/>
                  <a:ext cx="1495425" cy="180000"/>
                  <a:chOff x="6029325" y="4257675"/>
                  <a:chExt cx="1495425" cy="257175"/>
                </a:xfrm>
              </xdr:grpSpPr>
              <xdr:sp macro="" textlink="">
                <xdr:nvSpPr>
                  <xdr:cNvPr id="83980" name="Button 12" hidden="1">
                    <a:extLst>
                      <a:ext uri="{63B3BB69-23CF-44E3-9099-C40C66FF867C}">
                        <a14:compatExt spid="_x0000_s83980"/>
                      </a:ext>
                      <a:ext uri="{FF2B5EF4-FFF2-40B4-BE49-F238E27FC236}">
                        <a16:creationId xmlns:a16="http://schemas.microsoft.com/office/drawing/2014/main" id="{00000000-0008-0000-2900-00000C4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3981" name="Button 13" hidden="1">
                    <a:extLst>
                      <a:ext uri="{63B3BB69-23CF-44E3-9099-C40C66FF867C}">
                        <a14:compatExt spid="_x0000_s83981"/>
                      </a:ext>
                      <a:ext uri="{FF2B5EF4-FFF2-40B4-BE49-F238E27FC236}">
                        <a16:creationId xmlns:a16="http://schemas.microsoft.com/office/drawing/2014/main" id="{00000000-0008-0000-2900-00000D4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3982" name="Button 14" hidden="1">
                    <a:extLst>
                      <a:ext uri="{63B3BB69-23CF-44E3-9099-C40C66FF867C}">
                        <a14:compatExt spid="_x0000_s83982"/>
                      </a:ext>
                      <a:ext uri="{FF2B5EF4-FFF2-40B4-BE49-F238E27FC236}">
                        <a16:creationId xmlns:a16="http://schemas.microsoft.com/office/drawing/2014/main" id="{00000000-0008-0000-2900-00000E4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2143125</xdr:colOff>
          <xdr:row>0</xdr:row>
          <xdr:rowOff>142875</xdr:rowOff>
        </xdr:from>
        <xdr:to>
          <xdr:col>5</xdr:col>
          <xdr:colOff>161925</xdr:colOff>
          <xdr:row>1</xdr:row>
          <xdr:rowOff>114300</xdr:rowOff>
        </xdr:to>
        <xdr:grpSp>
          <xdr:nvGrpSpPr>
            <xdr:cNvPr id="23" name="Group 22">
              <a:extLst>
                <a:ext uri="{FF2B5EF4-FFF2-40B4-BE49-F238E27FC236}">
                  <a16:creationId xmlns:a16="http://schemas.microsoft.com/office/drawing/2014/main" id="{00000000-0008-0000-2900-000017000000}"/>
                </a:ext>
              </a:extLst>
            </xdr:cNvPr>
            <xdr:cNvGrpSpPr/>
          </xdr:nvGrpSpPr>
          <xdr:grpSpPr>
            <a:xfrm>
              <a:off x="4657725" y="142875"/>
              <a:ext cx="990600" cy="257175"/>
              <a:chOff x="771525" y="1314450"/>
              <a:chExt cx="990600" cy="257175"/>
            </a:xfrm>
          </xdr:grpSpPr>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2900-00000F4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3984" name="Button 16" hidden="1">
                <a:extLst>
                  <a:ext uri="{63B3BB69-23CF-44E3-9099-C40C66FF867C}">
                    <a14:compatExt spid="_x0000_s83984"/>
                  </a:ext>
                  <a:ext uri="{FF2B5EF4-FFF2-40B4-BE49-F238E27FC236}">
                    <a16:creationId xmlns:a16="http://schemas.microsoft.com/office/drawing/2014/main" id="{00000000-0008-0000-2900-0000104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133350</xdr:rowOff>
        </xdr:from>
        <xdr:to>
          <xdr:col>11</xdr:col>
          <xdr:colOff>495300</xdr:colOff>
          <xdr:row>1</xdr:row>
          <xdr:rowOff>104775</xdr:rowOff>
        </xdr:to>
        <xdr:grpSp>
          <xdr:nvGrpSpPr>
            <xdr:cNvPr id="24" name="Group 23">
              <a:extLst>
                <a:ext uri="{FF2B5EF4-FFF2-40B4-BE49-F238E27FC236}">
                  <a16:creationId xmlns:a16="http://schemas.microsoft.com/office/drawing/2014/main" id="{00000000-0008-0000-2900-000018000000}"/>
                </a:ext>
              </a:extLst>
            </xdr:cNvPr>
            <xdr:cNvGrpSpPr/>
          </xdr:nvGrpSpPr>
          <xdr:grpSpPr>
            <a:xfrm>
              <a:off x="9220200" y="133350"/>
              <a:ext cx="1095375" cy="257175"/>
              <a:chOff x="8201025" y="3448050"/>
              <a:chExt cx="1095375" cy="257175"/>
            </a:xfrm>
          </xdr:grpSpPr>
          <xdr:sp macro="" textlink="">
            <xdr:nvSpPr>
              <xdr:cNvPr id="83985" name="Button 17" hidden="1">
                <a:extLst>
                  <a:ext uri="{63B3BB69-23CF-44E3-9099-C40C66FF867C}">
                    <a14:compatExt spid="_x0000_s83985"/>
                  </a:ext>
                  <a:ext uri="{FF2B5EF4-FFF2-40B4-BE49-F238E27FC236}">
                    <a16:creationId xmlns:a16="http://schemas.microsoft.com/office/drawing/2014/main" id="{00000000-0008-0000-2900-0000114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3986" name="Button 18" hidden="1">
                <a:extLst>
                  <a:ext uri="{63B3BB69-23CF-44E3-9099-C40C66FF867C}">
                    <a14:compatExt spid="_x0000_s83986"/>
                  </a:ext>
                  <a:ext uri="{FF2B5EF4-FFF2-40B4-BE49-F238E27FC236}">
                    <a16:creationId xmlns:a16="http://schemas.microsoft.com/office/drawing/2014/main" id="{00000000-0008-0000-2900-0000124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6</xdr:row>
          <xdr:rowOff>133350</xdr:rowOff>
        </xdr:from>
        <xdr:to>
          <xdr:col>2</xdr:col>
          <xdr:colOff>171450</xdr:colOff>
          <xdr:row>7</xdr:row>
          <xdr:rowOff>161925</xdr:rowOff>
        </xdr:to>
        <xdr:grpSp>
          <xdr:nvGrpSpPr>
            <xdr:cNvPr id="8" name="Group 7">
              <a:extLst>
                <a:ext uri="{FF2B5EF4-FFF2-40B4-BE49-F238E27FC236}">
                  <a16:creationId xmlns:a16="http://schemas.microsoft.com/office/drawing/2014/main" id="{00000000-0008-0000-2A00-000008000000}"/>
                </a:ext>
              </a:extLst>
            </xdr:cNvPr>
            <xdr:cNvGrpSpPr/>
          </xdr:nvGrpSpPr>
          <xdr:grpSpPr>
            <a:xfrm>
              <a:off x="771525" y="1504950"/>
              <a:ext cx="1104900" cy="257175"/>
              <a:chOff x="771525" y="1314450"/>
              <a:chExt cx="1104900" cy="257175"/>
            </a:xfrm>
          </xdr:grpSpPr>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2A00-000001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2A00-000002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6</xdr:row>
          <xdr:rowOff>133350</xdr:rowOff>
        </xdr:from>
        <xdr:to>
          <xdr:col>3</xdr:col>
          <xdr:colOff>885825</xdr:colOff>
          <xdr:row>7</xdr:row>
          <xdr:rowOff>161925</xdr:rowOff>
        </xdr:to>
        <xdr:grpSp>
          <xdr:nvGrpSpPr>
            <xdr:cNvPr id="7" name="Group 6">
              <a:extLst>
                <a:ext uri="{FF2B5EF4-FFF2-40B4-BE49-F238E27FC236}">
                  <a16:creationId xmlns:a16="http://schemas.microsoft.com/office/drawing/2014/main" id="{00000000-0008-0000-2A00-000007000000}"/>
                </a:ext>
              </a:extLst>
            </xdr:cNvPr>
            <xdr:cNvGrpSpPr/>
          </xdr:nvGrpSpPr>
          <xdr:grpSpPr>
            <a:xfrm>
              <a:off x="2419350" y="1504950"/>
              <a:ext cx="1190625" cy="257175"/>
              <a:chOff x="8201025" y="3448050"/>
              <a:chExt cx="1190625" cy="257175"/>
            </a:xfrm>
          </xdr:grpSpPr>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2A00-000003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2A00-000004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133350</xdr:rowOff>
        </xdr:from>
        <xdr:to>
          <xdr:col>6</xdr:col>
          <xdr:colOff>1123950</xdr:colOff>
          <xdr:row>7</xdr:row>
          <xdr:rowOff>161925</xdr:rowOff>
        </xdr:to>
        <xdr:grpSp>
          <xdr:nvGrpSpPr>
            <xdr:cNvPr id="9" name="Group 8">
              <a:extLst>
                <a:ext uri="{FF2B5EF4-FFF2-40B4-BE49-F238E27FC236}">
                  <a16:creationId xmlns:a16="http://schemas.microsoft.com/office/drawing/2014/main" id="{00000000-0008-0000-2A00-000009000000}"/>
                </a:ext>
              </a:extLst>
            </xdr:cNvPr>
            <xdr:cNvGrpSpPr/>
          </xdr:nvGrpSpPr>
          <xdr:grpSpPr>
            <a:xfrm>
              <a:off x="5105400" y="1504950"/>
              <a:ext cx="1104900" cy="257175"/>
              <a:chOff x="771525" y="1314450"/>
              <a:chExt cx="1104900" cy="257175"/>
            </a:xfrm>
          </xdr:grpSpPr>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2A00-000005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2A00-000006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742950</xdr:colOff>
          <xdr:row>6</xdr:row>
          <xdr:rowOff>133350</xdr:rowOff>
        </xdr:from>
        <xdr:to>
          <xdr:col>8</xdr:col>
          <xdr:colOff>723900</xdr:colOff>
          <xdr:row>7</xdr:row>
          <xdr:rowOff>161925</xdr:rowOff>
        </xdr:to>
        <xdr:grpSp>
          <xdr:nvGrpSpPr>
            <xdr:cNvPr id="10" name="Group 9">
              <a:extLst>
                <a:ext uri="{FF2B5EF4-FFF2-40B4-BE49-F238E27FC236}">
                  <a16:creationId xmlns:a16="http://schemas.microsoft.com/office/drawing/2014/main" id="{00000000-0008-0000-2A00-00000A000000}"/>
                </a:ext>
              </a:extLst>
            </xdr:cNvPr>
            <xdr:cNvGrpSpPr/>
          </xdr:nvGrpSpPr>
          <xdr:grpSpPr>
            <a:xfrm>
              <a:off x="6972300" y="1504950"/>
              <a:ext cx="1190625" cy="257175"/>
              <a:chOff x="8201025" y="3448050"/>
              <a:chExt cx="1190625" cy="257175"/>
            </a:xfrm>
          </xdr:grpSpPr>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2A00-000007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2A00-000008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85725</xdr:colOff>
          <xdr:row>6</xdr:row>
          <xdr:rowOff>133350</xdr:rowOff>
        </xdr:from>
        <xdr:to>
          <xdr:col>20</xdr:col>
          <xdr:colOff>571500</xdr:colOff>
          <xdr:row>7</xdr:row>
          <xdr:rowOff>161925</xdr:rowOff>
        </xdr:to>
        <xdr:grpSp>
          <xdr:nvGrpSpPr>
            <xdr:cNvPr id="11" name="Group 10">
              <a:extLst>
                <a:ext uri="{FF2B5EF4-FFF2-40B4-BE49-F238E27FC236}">
                  <a16:creationId xmlns:a16="http://schemas.microsoft.com/office/drawing/2014/main" id="{00000000-0008-0000-2A00-00000B000000}"/>
                </a:ext>
              </a:extLst>
            </xdr:cNvPr>
            <xdr:cNvGrpSpPr/>
          </xdr:nvGrpSpPr>
          <xdr:grpSpPr>
            <a:xfrm>
              <a:off x="17421225" y="1504950"/>
              <a:ext cx="1104900" cy="257175"/>
              <a:chOff x="771525" y="1314450"/>
              <a:chExt cx="1104900" cy="257175"/>
            </a:xfrm>
          </xdr:grpSpPr>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2A00-000009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2A00-00000A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828675</xdr:colOff>
          <xdr:row>6</xdr:row>
          <xdr:rowOff>133350</xdr:rowOff>
        </xdr:from>
        <xdr:to>
          <xdr:col>27</xdr:col>
          <xdr:colOff>57150</xdr:colOff>
          <xdr:row>7</xdr:row>
          <xdr:rowOff>161925</xdr:rowOff>
        </xdr:to>
        <xdr:grpSp>
          <xdr:nvGrpSpPr>
            <xdr:cNvPr id="12" name="Group 11">
              <a:extLst>
                <a:ext uri="{FF2B5EF4-FFF2-40B4-BE49-F238E27FC236}">
                  <a16:creationId xmlns:a16="http://schemas.microsoft.com/office/drawing/2014/main" id="{00000000-0008-0000-2A00-00000C000000}"/>
                </a:ext>
              </a:extLst>
            </xdr:cNvPr>
            <xdr:cNvGrpSpPr/>
          </xdr:nvGrpSpPr>
          <xdr:grpSpPr>
            <a:xfrm>
              <a:off x="22917150" y="1504950"/>
              <a:ext cx="1190625" cy="257175"/>
              <a:chOff x="8201025" y="3448050"/>
              <a:chExt cx="1190625" cy="257175"/>
            </a:xfrm>
          </xdr:grpSpPr>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2A00-00000B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2A00-00000C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38101</xdr:colOff>
          <xdr:row>0</xdr:row>
          <xdr:rowOff>104775</xdr:rowOff>
        </xdr:from>
        <xdr:to>
          <xdr:col>24</xdr:col>
          <xdr:colOff>447675</xdr:colOff>
          <xdr:row>2</xdr:row>
          <xdr:rowOff>9525</xdr:rowOff>
        </xdr:to>
        <xdr:grpSp>
          <xdr:nvGrpSpPr>
            <xdr:cNvPr id="4" name="Group 3">
              <a:extLst>
                <a:ext uri="{FF2B5EF4-FFF2-40B4-BE49-F238E27FC236}">
                  <a16:creationId xmlns:a16="http://schemas.microsoft.com/office/drawing/2014/main" id="{00000000-0008-0000-2A00-000004000000}"/>
                </a:ext>
              </a:extLst>
            </xdr:cNvPr>
            <xdr:cNvGrpSpPr/>
          </xdr:nvGrpSpPr>
          <xdr:grpSpPr>
            <a:xfrm>
              <a:off x="1737360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A00-000005000000}"/>
                  </a:ext>
                </a:extLst>
              </xdr:cNvPr>
              <xdr:cNvGrpSpPr/>
            </xdr:nvGrpSpPr>
            <xdr:grpSpPr>
              <a:xfrm>
                <a:off x="7867650" y="3409950"/>
                <a:ext cx="1990725" cy="361950"/>
                <a:chOff x="8191500" y="3409950"/>
                <a:chExt cx="1990725" cy="361950"/>
              </a:xfrm>
            </xdr:grpSpPr>
            <xdr:grpSp>
              <xdr:nvGrpSpPr>
                <xdr:cNvPr id="15" name="Group 14">
                  <a:extLst>
                    <a:ext uri="{FF2B5EF4-FFF2-40B4-BE49-F238E27FC236}">
                      <a16:creationId xmlns:a16="http://schemas.microsoft.com/office/drawing/2014/main" id="{00000000-0008-0000-2A00-00000F000000}"/>
                    </a:ext>
                  </a:extLst>
                </xdr:cNvPr>
                <xdr:cNvGrpSpPr/>
              </xdr:nvGrpSpPr>
              <xdr:grpSpPr>
                <a:xfrm>
                  <a:off x="8302013" y="3452813"/>
                  <a:ext cx="1769699" cy="276225"/>
                  <a:chOff x="8305801" y="3457575"/>
                  <a:chExt cx="1769699" cy="276225"/>
                </a:xfrm>
              </xdr:grpSpPr>
              <xdr:sp macro="" textlink="">
                <xdr:nvSpPr>
                  <xdr:cNvPr id="78862" name="Option Button 14" hidden="1">
                    <a:extLst>
                      <a:ext uri="{63B3BB69-23CF-44E3-9099-C40C66FF867C}">
                        <a14:compatExt spid="_x0000_s78862"/>
                      </a:ext>
                      <a:ext uri="{FF2B5EF4-FFF2-40B4-BE49-F238E27FC236}">
                        <a16:creationId xmlns:a16="http://schemas.microsoft.com/office/drawing/2014/main" id="{00000000-0008-0000-2A00-00000E3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8863" name="Option Button 15" hidden="1">
                    <a:extLst>
                      <a:ext uri="{63B3BB69-23CF-44E3-9099-C40C66FF867C}">
                        <a14:compatExt spid="_x0000_s78863"/>
                      </a:ext>
                      <a:ext uri="{FF2B5EF4-FFF2-40B4-BE49-F238E27FC236}">
                        <a16:creationId xmlns:a16="http://schemas.microsoft.com/office/drawing/2014/main" id="{00000000-0008-0000-2A00-00000F3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8864" name="Option Button 16" hidden="1">
                    <a:extLst>
                      <a:ext uri="{63B3BB69-23CF-44E3-9099-C40C66FF867C}">
                        <a14:compatExt spid="_x0000_s78864"/>
                      </a:ext>
                      <a:ext uri="{FF2B5EF4-FFF2-40B4-BE49-F238E27FC236}">
                        <a16:creationId xmlns:a16="http://schemas.microsoft.com/office/drawing/2014/main" id="{00000000-0008-0000-2A00-0000103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8865" name="Option Button 17" hidden="1">
                    <a:extLst>
                      <a:ext uri="{63B3BB69-23CF-44E3-9099-C40C66FF867C}">
                        <a14:compatExt spid="_x0000_s78865"/>
                      </a:ext>
                      <a:ext uri="{FF2B5EF4-FFF2-40B4-BE49-F238E27FC236}">
                        <a16:creationId xmlns:a16="http://schemas.microsoft.com/office/drawing/2014/main" id="{00000000-0008-0000-2A00-0000113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8866" name="Group Box 18" hidden="1">
                  <a:extLst>
                    <a:ext uri="{63B3BB69-23CF-44E3-9099-C40C66FF867C}">
                      <a14:compatExt spid="_x0000_s78866"/>
                    </a:ext>
                    <a:ext uri="{FF2B5EF4-FFF2-40B4-BE49-F238E27FC236}">
                      <a16:creationId xmlns:a16="http://schemas.microsoft.com/office/drawing/2014/main" id="{00000000-0008-0000-2A00-0000123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3" name="Group 12">
                <a:extLst>
                  <a:ext uri="{FF2B5EF4-FFF2-40B4-BE49-F238E27FC236}">
                    <a16:creationId xmlns:a16="http://schemas.microsoft.com/office/drawing/2014/main" id="{00000000-0008-0000-2A00-00000D000000}"/>
                  </a:ext>
                </a:extLst>
              </xdr:cNvPr>
              <xdr:cNvGrpSpPr/>
            </xdr:nvGrpSpPr>
            <xdr:grpSpPr>
              <a:xfrm>
                <a:off x="6162676" y="3409950"/>
                <a:ext cx="1657350" cy="361950"/>
                <a:chOff x="6162676" y="3409950"/>
                <a:chExt cx="1657350" cy="361950"/>
              </a:xfrm>
            </xdr:grpSpPr>
            <xdr:sp macro="" textlink="">
              <xdr:nvSpPr>
                <xdr:cNvPr id="78867" name="Group Box 19" hidden="1">
                  <a:extLst>
                    <a:ext uri="{63B3BB69-23CF-44E3-9099-C40C66FF867C}">
                      <a14:compatExt spid="_x0000_s78867"/>
                    </a:ext>
                    <a:ext uri="{FF2B5EF4-FFF2-40B4-BE49-F238E27FC236}">
                      <a16:creationId xmlns:a16="http://schemas.microsoft.com/office/drawing/2014/main" id="{00000000-0008-0000-2A00-0000133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4" name="Group 13">
                  <a:extLst>
                    <a:ext uri="{FF2B5EF4-FFF2-40B4-BE49-F238E27FC236}">
                      <a16:creationId xmlns:a16="http://schemas.microsoft.com/office/drawing/2014/main" id="{00000000-0008-0000-2A00-00000E000000}"/>
                    </a:ext>
                  </a:extLst>
                </xdr:cNvPr>
                <xdr:cNvGrpSpPr/>
              </xdr:nvGrpSpPr>
              <xdr:grpSpPr>
                <a:xfrm>
                  <a:off x="6243639" y="3500925"/>
                  <a:ext cx="1495425" cy="180000"/>
                  <a:chOff x="6029325" y="4257675"/>
                  <a:chExt cx="1495425" cy="257175"/>
                </a:xfrm>
              </xdr:grpSpPr>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2A00-0000143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8869" name="Button 21" hidden="1">
                    <a:extLst>
                      <a:ext uri="{63B3BB69-23CF-44E3-9099-C40C66FF867C}">
                        <a14:compatExt spid="_x0000_s78869"/>
                      </a:ext>
                      <a:ext uri="{FF2B5EF4-FFF2-40B4-BE49-F238E27FC236}">
                        <a16:creationId xmlns:a16="http://schemas.microsoft.com/office/drawing/2014/main" id="{00000000-0008-0000-2A00-0000153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8870" name="Button 22" hidden="1">
                    <a:extLst>
                      <a:ext uri="{63B3BB69-23CF-44E3-9099-C40C66FF867C}">
                        <a14:compatExt spid="_x0000_s78870"/>
                      </a:ext>
                      <a:ext uri="{FF2B5EF4-FFF2-40B4-BE49-F238E27FC236}">
                        <a16:creationId xmlns:a16="http://schemas.microsoft.com/office/drawing/2014/main" id="{00000000-0008-0000-2A00-0000163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95250</xdr:rowOff>
        </xdr:from>
        <xdr:to>
          <xdr:col>12</xdr:col>
          <xdr:colOff>66675</xdr:colOff>
          <xdr:row>7</xdr:row>
          <xdr:rowOff>123825</xdr:rowOff>
        </xdr:to>
        <xdr:grpSp>
          <xdr:nvGrpSpPr>
            <xdr:cNvPr id="35" name="Group 34">
              <a:extLst>
                <a:ext uri="{FF2B5EF4-FFF2-40B4-BE49-F238E27FC236}">
                  <a16:creationId xmlns:a16="http://schemas.microsoft.com/office/drawing/2014/main" id="{00000000-0008-0000-2A00-000023000000}"/>
                </a:ext>
              </a:extLst>
            </xdr:cNvPr>
            <xdr:cNvGrpSpPr/>
          </xdr:nvGrpSpPr>
          <xdr:grpSpPr>
            <a:xfrm>
              <a:off x="9534525" y="1466850"/>
              <a:ext cx="1181100" cy="257175"/>
              <a:chOff x="771524" y="1314450"/>
              <a:chExt cx="1104901" cy="257175"/>
            </a:xfrm>
          </xdr:grpSpPr>
          <xdr:sp macro="" textlink="">
            <xdr:nvSpPr>
              <xdr:cNvPr id="78872" name="Button 24" hidden="1">
                <a:extLst>
                  <a:ext uri="{63B3BB69-23CF-44E3-9099-C40C66FF867C}">
                    <a14:compatExt spid="_x0000_s78872"/>
                  </a:ext>
                  <a:ext uri="{FF2B5EF4-FFF2-40B4-BE49-F238E27FC236}">
                    <a16:creationId xmlns:a16="http://schemas.microsoft.com/office/drawing/2014/main" id="{00000000-0008-0000-2A00-000018340100}"/>
                  </a:ext>
                </a:extLst>
              </xdr:cNvPr>
              <xdr:cNvSpPr/>
            </xdr:nvSpPr>
            <xdr:spPr bwMode="auto">
              <a:xfrm>
                <a:off x="771524"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73" name="Button 25" hidden="1">
                <a:extLst>
                  <a:ext uri="{63B3BB69-23CF-44E3-9099-C40C66FF867C}">
                    <a14:compatExt spid="_x0000_s78873"/>
                  </a:ext>
                  <a:ext uri="{FF2B5EF4-FFF2-40B4-BE49-F238E27FC236}">
                    <a16:creationId xmlns:a16="http://schemas.microsoft.com/office/drawing/2014/main" id="{00000000-0008-0000-2A00-000019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933450</xdr:colOff>
          <xdr:row>6</xdr:row>
          <xdr:rowOff>133350</xdr:rowOff>
        </xdr:from>
        <xdr:to>
          <xdr:col>15</xdr:col>
          <xdr:colOff>942975</xdr:colOff>
          <xdr:row>7</xdr:row>
          <xdr:rowOff>161925</xdr:rowOff>
        </xdr:to>
        <xdr:grpSp>
          <xdr:nvGrpSpPr>
            <xdr:cNvPr id="38" name="Group 37">
              <a:extLst>
                <a:ext uri="{FF2B5EF4-FFF2-40B4-BE49-F238E27FC236}">
                  <a16:creationId xmlns:a16="http://schemas.microsoft.com/office/drawing/2014/main" id="{00000000-0008-0000-2A00-000026000000}"/>
                </a:ext>
              </a:extLst>
            </xdr:cNvPr>
            <xdr:cNvGrpSpPr/>
          </xdr:nvGrpSpPr>
          <xdr:grpSpPr>
            <a:xfrm>
              <a:off x="13925550" y="1504950"/>
              <a:ext cx="1190625" cy="257175"/>
              <a:chOff x="8201025" y="3448050"/>
              <a:chExt cx="1190625" cy="257175"/>
            </a:xfrm>
          </xdr:grpSpPr>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2A00-00001A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75" name="Button 27" hidden="1">
                <a:extLst>
                  <a:ext uri="{63B3BB69-23CF-44E3-9099-C40C66FF867C}">
                    <a14:compatExt spid="_x0000_s78875"/>
                  </a:ext>
                  <a:ext uri="{FF2B5EF4-FFF2-40B4-BE49-F238E27FC236}">
                    <a16:creationId xmlns:a16="http://schemas.microsoft.com/office/drawing/2014/main" id="{00000000-0008-0000-2A00-00001B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6</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57151</xdr:colOff>
          <xdr:row>0</xdr:row>
          <xdr:rowOff>104775</xdr:rowOff>
        </xdr:from>
        <xdr:to>
          <xdr:col>10</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8858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2B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2B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2B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2B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2B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2B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2B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2B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2B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123825</xdr:rowOff>
        </xdr:from>
        <xdr:to>
          <xdr:col>12</xdr:col>
          <xdr:colOff>209550</xdr:colOff>
          <xdr:row>1</xdr:row>
          <xdr:rowOff>95250</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705475" y="123825"/>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2B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2B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133350</xdr:rowOff>
        </xdr:from>
        <xdr:to>
          <xdr:col>31</xdr:col>
          <xdr:colOff>457200</xdr:colOff>
          <xdr:row>1</xdr:row>
          <xdr:rowOff>104775</xdr:rowOff>
        </xdr:to>
        <xdr:grpSp>
          <xdr:nvGrpSpPr>
            <xdr:cNvPr id="24" name="Group 23">
              <a:extLst>
                <a:ext uri="{FF2B5EF4-FFF2-40B4-BE49-F238E27FC236}">
                  <a16:creationId xmlns:a16="http://schemas.microsoft.com/office/drawing/2014/main" id="{00000000-0008-0000-2B00-000018000000}"/>
                </a:ext>
              </a:extLst>
            </xdr:cNvPr>
            <xdr:cNvGrpSpPr/>
          </xdr:nvGrpSpPr>
          <xdr:grpSpPr>
            <a:xfrm>
              <a:off x="16649700" y="133350"/>
              <a:ext cx="1095375" cy="257175"/>
              <a:chOff x="8201025" y="3448050"/>
              <a:chExt cx="1095375" cy="257175"/>
            </a:xfrm>
          </xdr:grpSpPr>
          <xdr:sp macro="" textlink="">
            <xdr:nvSpPr>
              <xdr:cNvPr id="79889" name="Button 17" hidden="1">
                <a:extLst>
                  <a:ext uri="{63B3BB69-23CF-44E3-9099-C40C66FF867C}">
                    <a14:compatExt spid="_x0000_s79889"/>
                  </a:ext>
                  <a:ext uri="{FF2B5EF4-FFF2-40B4-BE49-F238E27FC236}">
                    <a16:creationId xmlns:a16="http://schemas.microsoft.com/office/drawing/2014/main" id="{00000000-0008-0000-2B00-0000113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9890" name="Button 18" hidden="1">
                <a:extLst>
                  <a:ext uri="{63B3BB69-23CF-44E3-9099-C40C66FF867C}">
                    <a14:compatExt spid="_x0000_s79890"/>
                  </a:ext>
                  <a:ext uri="{FF2B5EF4-FFF2-40B4-BE49-F238E27FC236}">
                    <a16:creationId xmlns:a16="http://schemas.microsoft.com/office/drawing/2014/main" id="{00000000-0008-0000-2B00-0000123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11</xdr:col>
      <xdr:colOff>38100</xdr:colOff>
      <xdr:row>2</xdr:row>
      <xdr:rowOff>38100</xdr:rowOff>
    </xdr:from>
    <xdr:to>
      <xdr:col>29</xdr:col>
      <xdr:colOff>666750</xdr:colOff>
      <xdr:row>20</xdr:row>
      <xdr:rowOff>190500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85725</xdr:colOff>
          <xdr:row>3</xdr:row>
          <xdr:rowOff>123825</xdr:rowOff>
        </xdr:from>
        <xdr:to>
          <xdr:col>11</xdr:col>
          <xdr:colOff>628650</xdr:colOff>
          <xdr:row>4</xdr:row>
          <xdr:rowOff>152400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2B00-000018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600075</xdr:colOff>
      <xdr:row>7</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C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57151</xdr:colOff>
          <xdr:row>0</xdr:row>
          <xdr:rowOff>104775</xdr:rowOff>
        </xdr:from>
        <xdr:to>
          <xdr:col>6</xdr:col>
          <xdr:colOff>47625</xdr:colOff>
          <xdr:row>1</xdr:row>
          <xdr:rowOff>180975</xdr:rowOff>
        </xdr:to>
        <xdr:grpSp>
          <xdr:nvGrpSpPr>
            <xdr:cNvPr id="12" name="Group 11">
              <a:extLst>
                <a:ext uri="{FF2B5EF4-FFF2-40B4-BE49-F238E27FC236}">
                  <a16:creationId xmlns:a16="http://schemas.microsoft.com/office/drawing/2014/main" id="{00000000-0008-0000-2C00-00000C000000}"/>
                </a:ext>
              </a:extLst>
            </xdr:cNvPr>
            <xdr:cNvGrpSpPr/>
          </xdr:nvGrpSpPr>
          <xdr:grpSpPr>
            <a:xfrm>
              <a:off x="88582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C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C00-000014000000}"/>
                    </a:ext>
                  </a:extLst>
                </xdr:cNvPr>
                <xdr:cNvGrpSpPr/>
              </xdr:nvGrpSpPr>
              <xdr:grpSpPr>
                <a:xfrm>
                  <a:off x="8302013" y="3452813"/>
                  <a:ext cx="1769699" cy="276225"/>
                  <a:chOff x="8305801" y="3457575"/>
                  <a:chExt cx="1769699" cy="276225"/>
                </a:xfrm>
              </xdr:grpSpPr>
              <xdr:sp macro="" textlink="">
                <xdr:nvSpPr>
                  <xdr:cNvPr id="81926" name="Option Button 6" hidden="1">
                    <a:extLst>
                      <a:ext uri="{63B3BB69-23CF-44E3-9099-C40C66FF867C}">
                        <a14:compatExt spid="_x0000_s81926"/>
                      </a:ext>
                      <a:ext uri="{FF2B5EF4-FFF2-40B4-BE49-F238E27FC236}">
                        <a16:creationId xmlns:a16="http://schemas.microsoft.com/office/drawing/2014/main" id="{00000000-0008-0000-2C00-0000064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1927" name="Option Button 7" hidden="1">
                    <a:extLst>
                      <a:ext uri="{63B3BB69-23CF-44E3-9099-C40C66FF867C}">
                        <a14:compatExt spid="_x0000_s81927"/>
                      </a:ext>
                      <a:ext uri="{FF2B5EF4-FFF2-40B4-BE49-F238E27FC236}">
                        <a16:creationId xmlns:a16="http://schemas.microsoft.com/office/drawing/2014/main" id="{00000000-0008-0000-2C00-0000074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1928" name="Option Button 8" hidden="1">
                    <a:extLst>
                      <a:ext uri="{63B3BB69-23CF-44E3-9099-C40C66FF867C}">
                        <a14:compatExt spid="_x0000_s81928"/>
                      </a:ext>
                      <a:ext uri="{FF2B5EF4-FFF2-40B4-BE49-F238E27FC236}">
                        <a16:creationId xmlns:a16="http://schemas.microsoft.com/office/drawing/2014/main" id="{00000000-0008-0000-2C00-0000084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1929" name="Option Button 9" hidden="1">
                    <a:extLst>
                      <a:ext uri="{63B3BB69-23CF-44E3-9099-C40C66FF867C}">
                        <a14:compatExt spid="_x0000_s81929"/>
                      </a:ext>
                      <a:ext uri="{FF2B5EF4-FFF2-40B4-BE49-F238E27FC236}">
                        <a16:creationId xmlns:a16="http://schemas.microsoft.com/office/drawing/2014/main" id="{00000000-0008-0000-2C00-0000094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1930" name="Group Box 10" hidden="1">
                  <a:extLst>
                    <a:ext uri="{63B3BB69-23CF-44E3-9099-C40C66FF867C}">
                      <a14:compatExt spid="_x0000_s81930"/>
                    </a:ext>
                    <a:ext uri="{FF2B5EF4-FFF2-40B4-BE49-F238E27FC236}">
                      <a16:creationId xmlns:a16="http://schemas.microsoft.com/office/drawing/2014/main" id="{00000000-0008-0000-2C00-00000A4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C00-00000E000000}"/>
                  </a:ext>
                </a:extLst>
              </xdr:cNvPr>
              <xdr:cNvGrpSpPr/>
            </xdr:nvGrpSpPr>
            <xdr:grpSpPr>
              <a:xfrm>
                <a:off x="6162676" y="3409950"/>
                <a:ext cx="1657350" cy="361950"/>
                <a:chOff x="6162676" y="3409950"/>
                <a:chExt cx="1657350" cy="361950"/>
              </a:xfrm>
            </xdr:grpSpPr>
            <xdr:sp macro="" textlink="">
              <xdr:nvSpPr>
                <xdr:cNvPr id="81931" name="Group Box 11" hidden="1">
                  <a:extLst>
                    <a:ext uri="{63B3BB69-23CF-44E3-9099-C40C66FF867C}">
                      <a14:compatExt spid="_x0000_s81931"/>
                    </a:ext>
                    <a:ext uri="{FF2B5EF4-FFF2-40B4-BE49-F238E27FC236}">
                      <a16:creationId xmlns:a16="http://schemas.microsoft.com/office/drawing/2014/main" id="{00000000-0008-0000-2C00-00000B4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C00-000010000000}"/>
                    </a:ext>
                  </a:extLst>
                </xdr:cNvPr>
                <xdr:cNvGrpSpPr/>
              </xdr:nvGrpSpPr>
              <xdr:grpSpPr>
                <a:xfrm>
                  <a:off x="6243639" y="3500925"/>
                  <a:ext cx="1495425" cy="180000"/>
                  <a:chOff x="6029325" y="4257675"/>
                  <a:chExt cx="1495425" cy="257175"/>
                </a:xfrm>
              </xdr:grpSpPr>
              <xdr:sp macro="" textlink="">
                <xdr:nvSpPr>
                  <xdr:cNvPr id="81932" name="Button 12" hidden="1">
                    <a:extLst>
                      <a:ext uri="{63B3BB69-23CF-44E3-9099-C40C66FF867C}">
                        <a14:compatExt spid="_x0000_s81932"/>
                      </a:ext>
                      <a:ext uri="{FF2B5EF4-FFF2-40B4-BE49-F238E27FC236}">
                        <a16:creationId xmlns:a16="http://schemas.microsoft.com/office/drawing/2014/main" id="{00000000-0008-0000-2C00-00000C4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1933" name="Button 13" hidden="1">
                    <a:extLst>
                      <a:ext uri="{63B3BB69-23CF-44E3-9099-C40C66FF867C}">
                        <a14:compatExt spid="_x0000_s81933"/>
                      </a:ext>
                      <a:ext uri="{FF2B5EF4-FFF2-40B4-BE49-F238E27FC236}">
                        <a16:creationId xmlns:a16="http://schemas.microsoft.com/office/drawing/2014/main" id="{00000000-0008-0000-2C00-00000D4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1934" name="Button 14" hidden="1">
                    <a:extLst>
                      <a:ext uri="{63B3BB69-23CF-44E3-9099-C40C66FF867C}">
                        <a14:compatExt spid="_x0000_s81934"/>
                      </a:ext>
                      <a:ext uri="{FF2B5EF4-FFF2-40B4-BE49-F238E27FC236}">
                        <a16:creationId xmlns:a16="http://schemas.microsoft.com/office/drawing/2014/main" id="{00000000-0008-0000-2C00-00000E4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1038225</xdr:colOff>
          <xdr:row>1</xdr:row>
          <xdr:rowOff>114300</xdr:rowOff>
        </xdr:to>
        <xdr:grpSp>
          <xdr:nvGrpSpPr>
            <xdr:cNvPr id="23" name="Group 22">
              <a:extLst>
                <a:ext uri="{FF2B5EF4-FFF2-40B4-BE49-F238E27FC236}">
                  <a16:creationId xmlns:a16="http://schemas.microsoft.com/office/drawing/2014/main" id="{00000000-0008-0000-2C00-000017000000}"/>
                </a:ext>
              </a:extLst>
            </xdr:cNvPr>
            <xdr:cNvGrpSpPr/>
          </xdr:nvGrpSpPr>
          <xdr:grpSpPr>
            <a:xfrm>
              <a:off x="6276975" y="142875"/>
              <a:ext cx="990600" cy="257175"/>
              <a:chOff x="771525" y="1314450"/>
              <a:chExt cx="990600" cy="257175"/>
            </a:xfrm>
          </xdr:grpSpPr>
          <xdr:sp macro="" textlink="">
            <xdr:nvSpPr>
              <xdr:cNvPr id="81935" name="Button 15" hidden="1">
                <a:extLst>
                  <a:ext uri="{63B3BB69-23CF-44E3-9099-C40C66FF867C}">
                    <a14:compatExt spid="_x0000_s81935"/>
                  </a:ext>
                  <a:ext uri="{FF2B5EF4-FFF2-40B4-BE49-F238E27FC236}">
                    <a16:creationId xmlns:a16="http://schemas.microsoft.com/office/drawing/2014/main" id="{00000000-0008-0000-2C00-00000F4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1936" name="Button 16" hidden="1">
                <a:extLst>
                  <a:ext uri="{63B3BB69-23CF-44E3-9099-C40C66FF867C}">
                    <a14:compatExt spid="_x0000_s81936"/>
                  </a:ext>
                  <a:ext uri="{FF2B5EF4-FFF2-40B4-BE49-F238E27FC236}">
                    <a16:creationId xmlns:a16="http://schemas.microsoft.com/office/drawing/2014/main" id="{00000000-0008-0000-2C00-0000104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133350</xdr:rowOff>
        </xdr:from>
        <xdr:to>
          <xdr:col>11</xdr:col>
          <xdr:colOff>438150</xdr:colOff>
          <xdr:row>1</xdr:row>
          <xdr:rowOff>104775</xdr:rowOff>
        </xdr:to>
        <xdr:grpSp>
          <xdr:nvGrpSpPr>
            <xdr:cNvPr id="24" name="Group 23">
              <a:extLst>
                <a:ext uri="{FF2B5EF4-FFF2-40B4-BE49-F238E27FC236}">
                  <a16:creationId xmlns:a16="http://schemas.microsoft.com/office/drawing/2014/main" id="{00000000-0008-0000-2C00-000018000000}"/>
                </a:ext>
              </a:extLst>
            </xdr:cNvPr>
            <xdr:cNvGrpSpPr/>
          </xdr:nvGrpSpPr>
          <xdr:grpSpPr>
            <a:xfrm>
              <a:off x="8010525" y="133350"/>
              <a:ext cx="1095375" cy="257175"/>
              <a:chOff x="8201025" y="3448050"/>
              <a:chExt cx="1095375" cy="257175"/>
            </a:xfrm>
          </xdr:grpSpPr>
          <xdr:sp macro="" textlink="">
            <xdr:nvSpPr>
              <xdr:cNvPr id="81937" name="Button 17" hidden="1">
                <a:extLst>
                  <a:ext uri="{63B3BB69-23CF-44E3-9099-C40C66FF867C}">
                    <a14:compatExt spid="_x0000_s81937"/>
                  </a:ext>
                  <a:ext uri="{FF2B5EF4-FFF2-40B4-BE49-F238E27FC236}">
                    <a16:creationId xmlns:a16="http://schemas.microsoft.com/office/drawing/2014/main" id="{00000000-0008-0000-2C00-0000114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1938" name="Button 18" hidden="1">
                <a:extLst>
                  <a:ext uri="{63B3BB69-23CF-44E3-9099-C40C66FF867C}">
                    <a14:compatExt spid="_x0000_s81938"/>
                  </a:ext>
                  <a:ext uri="{FF2B5EF4-FFF2-40B4-BE49-F238E27FC236}">
                    <a16:creationId xmlns:a16="http://schemas.microsoft.com/office/drawing/2014/main" id="{00000000-0008-0000-2C00-0000124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4</xdr:row>
      <xdr:rowOff>85725</xdr:rowOff>
    </xdr:to>
    <xdr:pic>
      <xdr:nvPicPr>
        <xdr:cNvPr id="26" name="Graphic 25" descr="Arrow: Straight with solid fill">
          <a:hlinkClick xmlns:r="http://schemas.openxmlformats.org/officeDocument/2006/relationships" r:id="rId1"/>
          <a:extLst>
            <a:ext uri="{FF2B5EF4-FFF2-40B4-BE49-F238E27FC236}">
              <a16:creationId xmlns:a16="http://schemas.microsoft.com/office/drawing/2014/main" id="{00000000-0008-0000-2D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276225</xdr:colOff>
          <xdr:row>1</xdr:row>
          <xdr:rowOff>180975</xdr:rowOff>
        </xdr:to>
        <xdr:grpSp>
          <xdr:nvGrpSpPr>
            <xdr:cNvPr id="27" name="Group 26">
              <a:extLst>
                <a:ext uri="{FF2B5EF4-FFF2-40B4-BE49-F238E27FC236}">
                  <a16:creationId xmlns:a16="http://schemas.microsoft.com/office/drawing/2014/main" id="{00000000-0008-0000-2D00-00001B000000}"/>
                </a:ext>
              </a:extLst>
            </xdr:cNvPr>
            <xdr:cNvGrpSpPr/>
          </xdr:nvGrpSpPr>
          <xdr:grpSpPr>
            <a:xfrm>
              <a:off x="790576" y="104775"/>
              <a:ext cx="3695699" cy="361950"/>
              <a:chOff x="6162676" y="3409950"/>
              <a:chExt cx="3695699" cy="361950"/>
            </a:xfrm>
          </xdr:grpSpPr>
          <xdr:grpSp>
            <xdr:nvGrpSpPr>
              <xdr:cNvPr id="28" name="Group 27">
                <a:extLst>
                  <a:ext uri="{FF2B5EF4-FFF2-40B4-BE49-F238E27FC236}">
                    <a16:creationId xmlns:a16="http://schemas.microsoft.com/office/drawing/2014/main" id="{00000000-0008-0000-2D00-00001C000000}"/>
                  </a:ext>
                </a:extLst>
              </xdr:cNvPr>
              <xdr:cNvGrpSpPr/>
            </xdr:nvGrpSpPr>
            <xdr:grpSpPr>
              <a:xfrm>
                <a:off x="7867650" y="3409950"/>
                <a:ext cx="1990725" cy="361950"/>
                <a:chOff x="8191500" y="3409950"/>
                <a:chExt cx="1990725" cy="361950"/>
              </a:xfrm>
            </xdr:grpSpPr>
            <xdr:grpSp>
              <xdr:nvGrpSpPr>
                <xdr:cNvPr id="35" name="Group 34">
                  <a:extLst>
                    <a:ext uri="{FF2B5EF4-FFF2-40B4-BE49-F238E27FC236}">
                      <a16:creationId xmlns:a16="http://schemas.microsoft.com/office/drawing/2014/main" id="{00000000-0008-0000-2D00-000023000000}"/>
                    </a:ext>
                  </a:extLst>
                </xdr:cNvPr>
                <xdr:cNvGrpSpPr/>
              </xdr:nvGrpSpPr>
              <xdr:grpSpPr>
                <a:xfrm>
                  <a:off x="8302013" y="3452813"/>
                  <a:ext cx="1769699" cy="276225"/>
                  <a:chOff x="8305801" y="3457575"/>
                  <a:chExt cx="1769699" cy="276225"/>
                </a:xfrm>
              </xdr:grpSpPr>
              <xdr:sp macro="" textlink="">
                <xdr:nvSpPr>
                  <xdr:cNvPr id="88079" name="Option Button 15" hidden="1">
                    <a:extLst>
                      <a:ext uri="{63B3BB69-23CF-44E3-9099-C40C66FF867C}">
                        <a14:compatExt spid="_x0000_s88079"/>
                      </a:ext>
                      <a:ext uri="{FF2B5EF4-FFF2-40B4-BE49-F238E27FC236}">
                        <a16:creationId xmlns:a16="http://schemas.microsoft.com/office/drawing/2014/main" id="{00000000-0008-0000-2D00-00000F5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8080" name="Option Button 16" hidden="1">
                    <a:extLst>
                      <a:ext uri="{63B3BB69-23CF-44E3-9099-C40C66FF867C}">
                        <a14:compatExt spid="_x0000_s88080"/>
                      </a:ext>
                      <a:ext uri="{FF2B5EF4-FFF2-40B4-BE49-F238E27FC236}">
                        <a16:creationId xmlns:a16="http://schemas.microsoft.com/office/drawing/2014/main" id="{00000000-0008-0000-2D00-0000105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8081" name="Option Button 17" hidden="1">
                    <a:extLst>
                      <a:ext uri="{63B3BB69-23CF-44E3-9099-C40C66FF867C}">
                        <a14:compatExt spid="_x0000_s88081"/>
                      </a:ext>
                      <a:ext uri="{FF2B5EF4-FFF2-40B4-BE49-F238E27FC236}">
                        <a16:creationId xmlns:a16="http://schemas.microsoft.com/office/drawing/2014/main" id="{00000000-0008-0000-2D00-0000115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8082" name="Option Button 18" hidden="1">
                    <a:extLst>
                      <a:ext uri="{63B3BB69-23CF-44E3-9099-C40C66FF867C}">
                        <a14:compatExt spid="_x0000_s88082"/>
                      </a:ext>
                      <a:ext uri="{FF2B5EF4-FFF2-40B4-BE49-F238E27FC236}">
                        <a16:creationId xmlns:a16="http://schemas.microsoft.com/office/drawing/2014/main" id="{00000000-0008-0000-2D00-0000125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8083" name="Group Box 19" hidden="1">
                  <a:extLst>
                    <a:ext uri="{63B3BB69-23CF-44E3-9099-C40C66FF867C}">
                      <a14:compatExt spid="_x0000_s88083"/>
                    </a:ext>
                    <a:ext uri="{FF2B5EF4-FFF2-40B4-BE49-F238E27FC236}">
                      <a16:creationId xmlns:a16="http://schemas.microsoft.com/office/drawing/2014/main" id="{00000000-0008-0000-2D00-0000135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9" name="Group 28">
                <a:extLst>
                  <a:ext uri="{FF2B5EF4-FFF2-40B4-BE49-F238E27FC236}">
                    <a16:creationId xmlns:a16="http://schemas.microsoft.com/office/drawing/2014/main" id="{00000000-0008-0000-2D00-00001D000000}"/>
                  </a:ext>
                </a:extLst>
              </xdr:cNvPr>
              <xdr:cNvGrpSpPr/>
            </xdr:nvGrpSpPr>
            <xdr:grpSpPr>
              <a:xfrm>
                <a:off x="6162676" y="3409950"/>
                <a:ext cx="1657350" cy="361950"/>
                <a:chOff x="6162676" y="3409950"/>
                <a:chExt cx="1657350" cy="361950"/>
              </a:xfrm>
            </xdr:grpSpPr>
            <xdr:sp macro="" textlink="">
              <xdr:nvSpPr>
                <xdr:cNvPr id="88084" name="Group Box 20" hidden="1">
                  <a:extLst>
                    <a:ext uri="{63B3BB69-23CF-44E3-9099-C40C66FF867C}">
                      <a14:compatExt spid="_x0000_s88084"/>
                    </a:ext>
                    <a:ext uri="{FF2B5EF4-FFF2-40B4-BE49-F238E27FC236}">
                      <a16:creationId xmlns:a16="http://schemas.microsoft.com/office/drawing/2014/main" id="{00000000-0008-0000-2D00-0000145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1" name="Group 30">
                  <a:extLst>
                    <a:ext uri="{FF2B5EF4-FFF2-40B4-BE49-F238E27FC236}">
                      <a16:creationId xmlns:a16="http://schemas.microsoft.com/office/drawing/2014/main" id="{00000000-0008-0000-2D00-00001F000000}"/>
                    </a:ext>
                  </a:extLst>
                </xdr:cNvPr>
                <xdr:cNvGrpSpPr/>
              </xdr:nvGrpSpPr>
              <xdr:grpSpPr>
                <a:xfrm>
                  <a:off x="6243639" y="3500925"/>
                  <a:ext cx="1495425" cy="180000"/>
                  <a:chOff x="6029325" y="4257675"/>
                  <a:chExt cx="1495425" cy="257175"/>
                </a:xfrm>
              </xdr:grpSpPr>
              <xdr:sp macro="" textlink="">
                <xdr:nvSpPr>
                  <xdr:cNvPr id="88085" name="Button 21" hidden="1">
                    <a:extLst>
                      <a:ext uri="{63B3BB69-23CF-44E3-9099-C40C66FF867C}">
                        <a14:compatExt spid="_x0000_s88085"/>
                      </a:ext>
                      <a:ext uri="{FF2B5EF4-FFF2-40B4-BE49-F238E27FC236}">
                        <a16:creationId xmlns:a16="http://schemas.microsoft.com/office/drawing/2014/main" id="{00000000-0008-0000-2D00-0000155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8086" name="Button 22" hidden="1">
                    <a:extLst>
                      <a:ext uri="{63B3BB69-23CF-44E3-9099-C40C66FF867C}">
                        <a14:compatExt spid="_x0000_s88086"/>
                      </a:ext>
                      <a:ext uri="{FF2B5EF4-FFF2-40B4-BE49-F238E27FC236}">
                        <a16:creationId xmlns:a16="http://schemas.microsoft.com/office/drawing/2014/main" id="{00000000-0008-0000-2D00-0000165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8087" name="Button 23" hidden="1">
                    <a:extLst>
                      <a:ext uri="{63B3BB69-23CF-44E3-9099-C40C66FF867C}">
                        <a14:compatExt spid="_x0000_s88087"/>
                      </a:ext>
                      <a:ext uri="{FF2B5EF4-FFF2-40B4-BE49-F238E27FC236}">
                        <a16:creationId xmlns:a16="http://schemas.microsoft.com/office/drawing/2014/main" id="{00000000-0008-0000-2D00-0000175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133350</xdr:rowOff>
        </xdr:from>
        <xdr:to>
          <xdr:col>6</xdr:col>
          <xdr:colOff>533400</xdr:colOff>
          <xdr:row>1</xdr:row>
          <xdr:rowOff>104775</xdr:rowOff>
        </xdr:to>
        <xdr:grpSp>
          <xdr:nvGrpSpPr>
            <xdr:cNvPr id="23" name="Group 22">
              <a:extLst>
                <a:ext uri="{FF2B5EF4-FFF2-40B4-BE49-F238E27FC236}">
                  <a16:creationId xmlns:a16="http://schemas.microsoft.com/office/drawing/2014/main" id="{00000000-0008-0000-2D00-000017000000}"/>
                </a:ext>
              </a:extLst>
            </xdr:cNvPr>
            <xdr:cNvGrpSpPr/>
          </xdr:nvGrpSpPr>
          <xdr:grpSpPr>
            <a:xfrm>
              <a:off x="4914900" y="133350"/>
              <a:ext cx="1104900" cy="257175"/>
              <a:chOff x="771525" y="1314450"/>
              <a:chExt cx="1104900" cy="257175"/>
            </a:xfrm>
          </xdr:grpSpPr>
          <xdr:sp macro="" textlink="">
            <xdr:nvSpPr>
              <xdr:cNvPr id="88088" name="Button 24" hidden="1">
                <a:extLst>
                  <a:ext uri="{63B3BB69-23CF-44E3-9099-C40C66FF867C}">
                    <a14:compatExt spid="_x0000_s88088"/>
                  </a:ext>
                  <a:ext uri="{FF2B5EF4-FFF2-40B4-BE49-F238E27FC236}">
                    <a16:creationId xmlns:a16="http://schemas.microsoft.com/office/drawing/2014/main" id="{00000000-0008-0000-2D00-0000185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8089" name="Button 25" hidden="1">
                <a:extLst>
                  <a:ext uri="{63B3BB69-23CF-44E3-9099-C40C66FF867C}">
                    <a14:compatExt spid="_x0000_s88089"/>
                  </a:ext>
                  <a:ext uri="{FF2B5EF4-FFF2-40B4-BE49-F238E27FC236}">
                    <a16:creationId xmlns:a16="http://schemas.microsoft.com/office/drawing/2014/main" id="{00000000-0008-0000-2D00-0000195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133350</xdr:rowOff>
        </xdr:from>
        <xdr:to>
          <xdr:col>12</xdr:col>
          <xdr:colOff>1162050</xdr:colOff>
          <xdr:row>1</xdr:row>
          <xdr:rowOff>104775</xdr:rowOff>
        </xdr:to>
        <xdr:grpSp>
          <xdr:nvGrpSpPr>
            <xdr:cNvPr id="24" name="Group 23">
              <a:extLst>
                <a:ext uri="{FF2B5EF4-FFF2-40B4-BE49-F238E27FC236}">
                  <a16:creationId xmlns:a16="http://schemas.microsoft.com/office/drawing/2014/main" id="{00000000-0008-0000-2D00-000018000000}"/>
                </a:ext>
              </a:extLst>
            </xdr:cNvPr>
            <xdr:cNvGrpSpPr/>
          </xdr:nvGrpSpPr>
          <xdr:grpSpPr>
            <a:xfrm>
              <a:off x="10734675" y="133350"/>
              <a:ext cx="1095375" cy="257175"/>
              <a:chOff x="8201025" y="3448050"/>
              <a:chExt cx="1095375" cy="257175"/>
            </a:xfrm>
          </xdr:grpSpPr>
          <xdr:sp macro="" textlink="">
            <xdr:nvSpPr>
              <xdr:cNvPr id="88090" name="Button 26" hidden="1">
                <a:extLst>
                  <a:ext uri="{63B3BB69-23CF-44E3-9099-C40C66FF867C}">
                    <a14:compatExt spid="_x0000_s88090"/>
                  </a:ext>
                  <a:ext uri="{FF2B5EF4-FFF2-40B4-BE49-F238E27FC236}">
                    <a16:creationId xmlns:a16="http://schemas.microsoft.com/office/drawing/2014/main" id="{00000000-0008-0000-2D00-00001A5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8091" name="Button 27" hidden="1">
                <a:extLst>
                  <a:ext uri="{63B3BB69-23CF-44E3-9099-C40C66FF867C}">
                    <a14:compatExt spid="_x0000_s88091"/>
                  </a:ext>
                  <a:ext uri="{FF2B5EF4-FFF2-40B4-BE49-F238E27FC236}">
                    <a16:creationId xmlns:a16="http://schemas.microsoft.com/office/drawing/2014/main" id="{00000000-0008-0000-2D00-00001B5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171450</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104776</xdr:colOff>
          <xdr:row>0</xdr:row>
          <xdr:rowOff>104775</xdr:rowOff>
        </xdr:from>
        <xdr:to>
          <xdr:col>5</xdr:col>
          <xdr:colOff>285750</xdr:colOff>
          <xdr:row>2</xdr:row>
          <xdr:rowOff>38100</xdr:rowOff>
        </xdr:to>
        <xdr:grpSp>
          <xdr:nvGrpSpPr>
            <xdr:cNvPr id="12" name="Group 11">
              <a:extLst>
                <a:ext uri="{FF2B5EF4-FFF2-40B4-BE49-F238E27FC236}">
                  <a16:creationId xmlns:a16="http://schemas.microsoft.com/office/drawing/2014/main" id="{00000000-0008-0000-2E00-00000C000000}"/>
                </a:ext>
              </a:extLst>
            </xdr:cNvPr>
            <xdr:cNvGrpSpPr/>
          </xdr:nvGrpSpPr>
          <xdr:grpSpPr>
            <a:xfrm>
              <a:off x="12001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E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E00-000014000000}"/>
                    </a:ext>
                  </a:extLst>
                </xdr:cNvPr>
                <xdr:cNvGrpSpPr/>
              </xdr:nvGrpSpPr>
              <xdr:grpSpPr>
                <a:xfrm>
                  <a:off x="8302013" y="3452813"/>
                  <a:ext cx="1769699" cy="276225"/>
                  <a:chOff x="8305801" y="3457575"/>
                  <a:chExt cx="1769699" cy="276225"/>
                </a:xfrm>
              </xdr:grpSpPr>
              <xdr:sp macro="" textlink="">
                <xdr:nvSpPr>
                  <xdr:cNvPr id="87046" name="Option Button 6" hidden="1">
                    <a:extLst>
                      <a:ext uri="{63B3BB69-23CF-44E3-9099-C40C66FF867C}">
                        <a14:compatExt spid="_x0000_s87046"/>
                      </a:ext>
                      <a:ext uri="{FF2B5EF4-FFF2-40B4-BE49-F238E27FC236}">
                        <a16:creationId xmlns:a16="http://schemas.microsoft.com/office/drawing/2014/main" id="{00000000-0008-0000-2E00-0000065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7047" name="Option Button 7" hidden="1">
                    <a:extLst>
                      <a:ext uri="{63B3BB69-23CF-44E3-9099-C40C66FF867C}">
                        <a14:compatExt spid="_x0000_s87047"/>
                      </a:ext>
                      <a:ext uri="{FF2B5EF4-FFF2-40B4-BE49-F238E27FC236}">
                        <a16:creationId xmlns:a16="http://schemas.microsoft.com/office/drawing/2014/main" id="{00000000-0008-0000-2E00-0000075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7048" name="Option Button 8" hidden="1">
                    <a:extLst>
                      <a:ext uri="{63B3BB69-23CF-44E3-9099-C40C66FF867C}">
                        <a14:compatExt spid="_x0000_s87048"/>
                      </a:ext>
                      <a:ext uri="{FF2B5EF4-FFF2-40B4-BE49-F238E27FC236}">
                        <a16:creationId xmlns:a16="http://schemas.microsoft.com/office/drawing/2014/main" id="{00000000-0008-0000-2E00-0000085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7049" name="Option Button 9" hidden="1">
                    <a:extLst>
                      <a:ext uri="{63B3BB69-23CF-44E3-9099-C40C66FF867C}">
                        <a14:compatExt spid="_x0000_s87049"/>
                      </a:ext>
                      <a:ext uri="{FF2B5EF4-FFF2-40B4-BE49-F238E27FC236}">
                        <a16:creationId xmlns:a16="http://schemas.microsoft.com/office/drawing/2014/main" id="{00000000-0008-0000-2E00-0000095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7050" name="Group Box 10" hidden="1">
                  <a:extLst>
                    <a:ext uri="{63B3BB69-23CF-44E3-9099-C40C66FF867C}">
                      <a14:compatExt spid="_x0000_s87050"/>
                    </a:ext>
                    <a:ext uri="{FF2B5EF4-FFF2-40B4-BE49-F238E27FC236}">
                      <a16:creationId xmlns:a16="http://schemas.microsoft.com/office/drawing/2014/main" id="{00000000-0008-0000-2E00-00000A5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E00-00000E000000}"/>
                  </a:ext>
                </a:extLst>
              </xdr:cNvPr>
              <xdr:cNvGrpSpPr/>
            </xdr:nvGrpSpPr>
            <xdr:grpSpPr>
              <a:xfrm>
                <a:off x="6162676" y="3409950"/>
                <a:ext cx="1657350" cy="361950"/>
                <a:chOff x="6162676" y="3409950"/>
                <a:chExt cx="1657350" cy="361950"/>
              </a:xfrm>
            </xdr:grpSpPr>
            <xdr:sp macro="" textlink="">
              <xdr:nvSpPr>
                <xdr:cNvPr id="87051" name="Group Box 11" hidden="1">
                  <a:extLst>
                    <a:ext uri="{63B3BB69-23CF-44E3-9099-C40C66FF867C}">
                      <a14:compatExt spid="_x0000_s87051"/>
                    </a:ext>
                    <a:ext uri="{FF2B5EF4-FFF2-40B4-BE49-F238E27FC236}">
                      <a16:creationId xmlns:a16="http://schemas.microsoft.com/office/drawing/2014/main" id="{00000000-0008-0000-2E00-00000B5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E00-000010000000}"/>
                    </a:ext>
                  </a:extLst>
                </xdr:cNvPr>
                <xdr:cNvGrpSpPr/>
              </xdr:nvGrpSpPr>
              <xdr:grpSpPr>
                <a:xfrm>
                  <a:off x="6243639" y="3500925"/>
                  <a:ext cx="1495425" cy="180000"/>
                  <a:chOff x="6029325" y="4257675"/>
                  <a:chExt cx="1495425" cy="257175"/>
                </a:xfrm>
              </xdr:grpSpPr>
              <xdr:sp macro="" textlink="">
                <xdr:nvSpPr>
                  <xdr:cNvPr id="87052" name="Button 12" hidden="1">
                    <a:extLst>
                      <a:ext uri="{63B3BB69-23CF-44E3-9099-C40C66FF867C}">
                        <a14:compatExt spid="_x0000_s87052"/>
                      </a:ext>
                      <a:ext uri="{FF2B5EF4-FFF2-40B4-BE49-F238E27FC236}">
                        <a16:creationId xmlns:a16="http://schemas.microsoft.com/office/drawing/2014/main" id="{00000000-0008-0000-2E00-00000C5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7053" name="Button 13" hidden="1">
                    <a:extLst>
                      <a:ext uri="{63B3BB69-23CF-44E3-9099-C40C66FF867C}">
                        <a14:compatExt spid="_x0000_s87053"/>
                      </a:ext>
                      <a:ext uri="{FF2B5EF4-FFF2-40B4-BE49-F238E27FC236}">
                        <a16:creationId xmlns:a16="http://schemas.microsoft.com/office/drawing/2014/main" id="{00000000-0008-0000-2E00-00000D5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2E00-00000E5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123825</xdr:rowOff>
        </xdr:from>
        <xdr:to>
          <xdr:col>0</xdr:col>
          <xdr:colOff>1009650</xdr:colOff>
          <xdr:row>3</xdr:row>
          <xdr:rowOff>171450</xdr:rowOff>
        </xdr:to>
        <xdr:grpSp>
          <xdr:nvGrpSpPr>
            <xdr:cNvPr id="26" name="Group 25">
              <a:extLst>
                <a:ext uri="{FF2B5EF4-FFF2-40B4-BE49-F238E27FC236}">
                  <a16:creationId xmlns:a16="http://schemas.microsoft.com/office/drawing/2014/main" id="{00000000-0008-0000-2E00-00001A000000}"/>
                </a:ext>
              </a:extLst>
            </xdr:cNvPr>
            <xdr:cNvGrpSpPr/>
          </xdr:nvGrpSpPr>
          <xdr:grpSpPr>
            <a:xfrm>
              <a:off x="19050" y="552450"/>
              <a:ext cx="990600" cy="257175"/>
              <a:chOff x="771525" y="1314450"/>
              <a:chExt cx="990600" cy="257175"/>
            </a:xfrm>
          </xdr:grpSpPr>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2E00-0000115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2E00-0000125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371475</xdr:colOff>
          <xdr:row>1</xdr:row>
          <xdr:rowOff>200025</xdr:rowOff>
        </xdr:to>
        <xdr:grpSp>
          <xdr:nvGrpSpPr>
            <xdr:cNvPr id="23" name="Group 22">
              <a:extLst>
                <a:ext uri="{FF2B5EF4-FFF2-40B4-BE49-F238E27FC236}">
                  <a16:creationId xmlns:a16="http://schemas.microsoft.com/office/drawing/2014/main" id="{00000000-0008-0000-2E00-000017000000}"/>
                </a:ext>
              </a:extLst>
            </xdr:cNvPr>
            <xdr:cNvGrpSpPr/>
          </xdr:nvGrpSpPr>
          <xdr:grpSpPr>
            <a:xfrm>
              <a:off x="5429250" y="161925"/>
              <a:ext cx="1095375" cy="257175"/>
              <a:chOff x="8201025" y="3448050"/>
              <a:chExt cx="1095375" cy="257175"/>
            </a:xfrm>
          </xdr:grpSpPr>
          <xdr:sp macro="" textlink="">
            <xdr:nvSpPr>
              <xdr:cNvPr id="87059" name="Button 19" hidden="1">
                <a:extLst>
                  <a:ext uri="{63B3BB69-23CF-44E3-9099-C40C66FF867C}">
                    <a14:compatExt spid="_x0000_s87059"/>
                  </a:ext>
                  <a:ext uri="{FF2B5EF4-FFF2-40B4-BE49-F238E27FC236}">
                    <a16:creationId xmlns:a16="http://schemas.microsoft.com/office/drawing/2014/main" id="{00000000-0008-0000-2E00-0000135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7060" name="Button 20" hidden="1">
                <a:extLst>
                  <a:ext uri="{63B3BB69-23CF-44E3-9099-C40C66FF867C}">
                    <a14:compatExt spid="_x0000_s87060"/>
                  </a:ext>
                  <a:ext uri="{FF2B5EF4-FFF2-40B4-BE49-F238E27FC236}">
                    <a16:creationId xmlns:a16="http://schemas.microsoft.com/office/drawing/2014/main" id="{00000000-0008-0000-2E00-0000145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38101</xdr:colOff>
          <xdr:row>0</xdr:row>
          <xdr:rowOff>104775</xdr:rowOff>
        </xdr:from>
        <xdr:to>
          <xdr:col>10</xdr:col>
          <xdr:colOff>304800</xdr:colOff>
          <xdr:row>1</xdr:row>
          <xdr:rowOff>180975</xdr:rowOff>
        </xdr:to>
        <xdr:grpSp>
          <xdr:nvGrpSpPr>
            <xdr:cNvPr id="12" name="Group 11">
              <a:extLst>
                <a:ext uri="{FF2B5EF4-FFF2-40B4-BE49-F238E27FC236}">
                  <a16:creationId xmlns:a16="http://schemas.microsoft.com/office/drawing/2014/main" id="{00000000-0008-0000-2F00-00000C000000}"/>
                </a:ext>
              </a:extLst>
            </xdr:cNvPr>
            <xdr:cNvGrpSpPr/>
          </xdr:nvGrpSpPr>
          <xdr:grpSpPr>
            <a:xfrm>
              <a:off x="34099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F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F00-000014000000}"/>
                    </a:ext>
                  </a:extLst>
                </xdr:cNvPr>
                <xdr:cNvGrpSpPr/>
              </xdr:nvGrpSpPr>
              <xdr:grpSpPr>
                <a:xfrm>
                  <a:off x="8302013" y="3452813"/>
                  <a:ext cx="1769699" cy="276225"/>
                  <a:chOff x="8305801" y="3457575"/>
                  <a:chExt cx="1769699" cy="276225"/>
                </a:xfrm>
              </xdr:grpSpPr>
              <xdr:sp macro="" textlink="">
                <xdr:nvSpPr>
                  <xdr:cNvPr id="86023" name="Option Button 7" hidden="1">
                    <a:extLst>
                      <a:ext uri="{63B3BB69-23CF-44E3-9099-C40C66FF867C}">
                        <a14:compatExt spid="_x0000_s86023"/>
                      </a:ext>
                      <a:ext uri="{FF2B5EF4-FFF2-40B4-BE49-F238E27FC236}">
                        <a16:creationId xmlns:a16="http://schemas.microsoft.com/office/drawing/2014/main" id="{00000000-0008-0000-2F00-0000075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6024" name="Option Button 8" hidden="1">
                    <a:extLst>
                      <a:ext uri="{63B3BB69-23CF-44E3-9099-C40C66FF867C}">
                        <a14:compatExt spid="_x0000_s86024"/>
                      </a:ext>
                      <a:ext uri="{FF2B5EF4-FFF2-40B4-BE49-F238E27FC236}">
                        <a16:creationId xmlns:a16="http://schemas.microsoft.com/office/drawing/2014/main" id="{00000000-0008-0000-2F00-0000085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6025" name="Option Button 9" hidden="1">
                    <a:extLst>
                      <a:ext uri="{63B3BB69-23CF-44E3-9099-C40C66FF867C}">
                        <a14:compatExt spid="_x0000_s86025"/>
                      </a:ext>
                      <a:ext uri="{FF2B5EF4-FFF2-40B4-BE49-F238E27FC236}">
                        <a16:creationId xmlns:a16="http://schemas.microsoft.com/office/drawing/2014/main" id="{00000000-0008-0000-2F00-0000095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6026" name="Option Button 10" hidden="1">
                    <a:extLst>
                      <a:ext uri="{63B3BB69-23CF-44E3-9099-C40C66FF867C}">
                        <a14:compatExt spid="_x0000_s86026"/>
                      </a:ext>
                      <a:ext uri="{FF2B5EF4-FFF2-40B4-BE49-F238E27FC236}">
                        <a16:creationId xmlns:a16="http://schemas.microsoft.com/office/drawing/2014/main" id="{00000000-0008-0000-2F00-00000A5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6027" name="Group Box 11" hidden="1">
                  <a:extLst>
                    <a:ext uri="{63B3BB69-23CF-44E3-9099-C40C66FF867C}">
                      <a14:compatExt spid="_x0000_s86027"/>
                    </a:ext>
                    <a:ext uri="{FF2B5EF4-FFF2-40B4-BE49-F238E27FC236}">
                      <a16:creationId xmlns:a16="http://schemas.microsoft.com/office/drawing/2014/main" id="{00000000-0008-0000-2F00-00000B5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F00-00000E000000}"/>
                  </a:ext>
                </a:extLst>
              </xdr:cNvPr>
              <xdr:cNvGrpSpPr/>
            </xdr:nvGrpSpPr>
            <xdr:grpSpPr>
              <a:xfrm>
                <a:off x="6162676" y="3409950"/>
                <a:ext cx="1657350" cy="361950"/>
                <a:chOff x="6162676" y="3409950"/>
                <a:chExt cx="1657350" cy="361950"/>
              </a:xfrm>
            </xdr:grpSpPr>
            <xdr:sp macro="" textlink="">
              <xdr:nvSpPr>
                <xdr:cNvPr id="86028" name="Group Box 12" hidden="1">
                  <a:extLst>
                    <a:ext uri="{63B3BB69-23CF-44E3-9099-C40C66FF867C}">
                      <a14:compatExt spid="_x0000_s86028"/>
                    </a:ext>
                    <a:ext uri="{FF2B5EF4-FFF2-40B4-BE49-F238E27FC236}">
                      <a16:creationId xmlns:a16="http://schemas.microsoft.com/office/drawing/2014/main" id="{00000000-0008-0000-2F00-00000C5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F00-000010000000}"/>
                    </a:ext>
                  </a:extLst>
                </xdr:cNvPr>
                <xdr:cNvGrpSpPr/>
              </xdr:nvGrpSpPr>
              <xdr:grpSpPr>
                <a:xfrm>
                  <a:off x="6243639" y="3500925"/>
                  <a:ext cx="1495425" cy="180000"/>
                  <a:chOff x="6029325" y="4257675"/>
                  <a:chExt cx="1495425" cy="257175"/>
                </a:xfrm>
              </xdr:grpSpPr>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2F00-00000D5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2F00-00000E5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2F00-00000F5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xdr:row>
          <xdr:rowOff>47625</xdr:rowOff>
        </xdr:from>
        <xdr:to>
          <xdr:col>2</xdr:col>
          <xdr:colOff>447675</xdr:colOff>
          <xdr:row>2</xdr:row>
          <xdr:rowOff>76200</xdr:rowOff>
        </xdr:to>
        <xdr:grpSp>
          <xdr:nvGrpSpPr>
            <xdr:cNvPr id="23" name="Group 22">
              <a:extLst>
                <a:ext uri="{FF2B5EF4-FFF2-40B4-BE49-F238E27FC236}">
                  <a16:creationId xmlns:a16="http://schemas.microsoft.com/office/drawing/2014/main" id="{00000000-0008-0000-2F00-000017000000}"/>
                </a:ext>
              </a:extLst>
            </xdr:cNvPr>
            <xdr:cNvGrpSpPr/>
          </xdr:nvGrpSpPr>
          <xdr:grpSpPr>
            <a:xfrm>
              <a:off x="866775" y="333375"/>
              <a:ext cx="990600" cy="257175"/>
              <a:chOff x="771525" y="1314450"/>
              <a:chExt cx="990600" cy="257175"/>
            </a:xfrm>
          </xdr:grpSpPr>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2F00-0000105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2F00-0000115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171450</xdr:rowOff>
        </xdr:from>
        <xdr:to>
          <xdr:col>6</xdr:col>
          <xdr:colOff>485775</xdr:colOff>
          <xdr:row>4</xdr:row>
          <xdr:rowOff>200025</xdr:rowOff>
        </xdr:to>
        <xdr:grpSp>
          <xdr:nvGrpSpPr>
            <xdr:cNvPr id="24" name="Group 23">
              <a:extLst>
                <a:ext uri="{FF2B5EF4-FFF2-40B4-BE49-F238E27FC236}">
                  <a16:creationId xmlns:a16="http://schemas.microsoft.com/office/drawing/2014/main" id="{00000000-0008-0000-2F00-000018000000}"/>
                </a:ext>
              </a:extLst>
            </xdr:cNvPr>
            <xdr:cNvGrpSpPr/>
          </xdr:nvGrpSpPr>
          <xdr:grpSpPr>
            <a:xfrm>
              <a:off x="3448050" y="914400"/>
              <a:ext cx="1095375" cy="257175"/>
              <a:chOff x="8201025" y="3448050"/>
              <a:chExt cx="1095375" cy="257175"/>
            </a:xfrm>
          </xdr:grpSpPr>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2F00-0000125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2F00-0000135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xdr:row>
          <xdr:rowOff>76200</xdr:rowOff>
        </xdr:from>
        <xdr:to>
          <xdr:col>9</xdr:col>
          <xdr:colOff>609600</xdr:colOff>
          <xdr:row>2</xdr:row>
          <xdr:rowOff>104775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8629650" y="304800"/>
              <a:ext cx="1076325" cy="257175"/>
              <a:chOff x="8201025" y="3448050"/>
              <a:chExt cx="1076325" cy="257175"/>
            </a:xfrm>
          </xdr:grpSpPr>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3000-0000019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3000-000002980100}"/>
                  </a:ext>
                </a:extLst>
              </xdr:cNvPr>
              <xdr:cNvSpPr/>
            </xdr:nvSpPr>
            <xdr:spPr bwMode="auto">
              <a:xfrm>
                <a:off x="87344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95251</xdr:colOff>
          <xdr:row>0</xdr:row>
          <xdr:rowOff>47625</xdr:rowOff>
        </xdr:from>
        <xdr:to>
          <xdr:col>3</xdr:col>
          <xdr:colOff>1066800</xdr:colOff>
          <xdr:row>1</xdr:row>
          <xdr:rowOff>180975</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21920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30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30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30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30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30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30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30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30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30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30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30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30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30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114300</xdr:rowOff>
        </xdr:from>
        <xdr:to>
          <xdr:col>4</xdr:col>
          <xdr:colOff>1000125</xdr:colOff>
          <xdr:row>1</xdr:row>
          <xdr:rowOff>142875</xdr:rowOff>
        </xdr:to>
        <xdr:grpSp>
          <xdr:nvGrpSpPr>
            <xdr:cNvPr id="32" name="Group 31">
              <a:extLst>
                <a:ext uri="{FF2B5EF4-FFF2-40B4-BE49-F238E27FC236}">
                  <a16:creationId xmlns:a16="http://schemas.microsoft.com/office/drawing/2014/main" id="{00000000-0008-0000-3000-000020000000}"/>
                </a:ext>
              </a:extLst>
            </xdr:cNvPr>
            <xdr:cNvGrpSpPr/>
          </xdr:nvGrpSpPr>
          <xdr:grpSpPr>
            <a:xfrm>
              <a:off x="4972050" y="114300"/>
              <a:ext cx="971550" cy="257175"/>
              <a:chOff x="771525" y="1314450"/>
              <a:chExt cx="971550"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30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3000-000016980100}"/>
                  </a:ext>
                </a:extLst>
              </xdr:cNvPr>
              <xdr:cNvSpPr/>
            </xdr:nvSpPr>
            <xdr:spPr bwMode="auto">
              <a:xfrm>
                <a:off x="12668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1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552450</xdr:colOff>
          <xdr:row>1</xdr:row>
          <xdr:rowOff>180975</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79057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1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100-000014000000}"/>
                    </a:ext>
                  </a:extLst>
                </xdr:cNvPr>
                <xdr:cNvGrpSpPr/>
              </xdr:nvGrpSpPr>
              <xdr:grpSpPr>
                <a:xfrm>
                  <a:off x="8302013" y="3452813"/>
                  <a:ext cx="1769699" cy="276225"/>
                  <a:chOff x="8305801" y="3457575"/>
                  <a:chExt cx="1769699" cy="276225"/>
                </a:xfrm>
              </xdr:grpSpPr>
              <xdr:sp macro="" textlink="">
                <xdr:nvSpPr>
                  <xdr:cNvPr id="84998" name="Option Button 6" hidden="1">
                    <a:extLst>
                      <a:ext uri="{63B3BB69-23CF-44E3-9099-C40C66FF867C}">
                        <a14:compatExt spid="_x0000_s84998"/>
                      </a:ext>
                      <a:ext uri="{FF2B5EF4-FFF2-40B4-BE49-F238E27FC236}">
                        <a16:creationId xmlns:a16="http://schemas.microsoft.com/office/drawing/2014/main" id="{00000000-0008-0000-3100-0000064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4999" name="Option Button 7" hidden="1">
                    <a:extLst>
                      <a:ext uri="{63B3BB69-23CF-44E3-9099-C40C66FF867C}">
                        <a14:compatExt spid="_x0000_s84999"/>
                      </a:ext>
                      <a:ext uri="{FF2B5EF4-FFF2-40B4-BE49-F238E27FC236}">
                        <a16:creationId xmlns:a16="http://schemas.microsoft.com/office/drawing/2014/main" id="{00000000-0008-0000-3100-0000074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5000" name="Option Button 8" hidden="1">
                    <a:extLst>
                      <a:ext uri="{63B3BB69-23CF-44E3-9099-C40C66FF867C}">
                        <a14:compatExt spid="_x0000_s85000"/>
                      </a:ext>
                      <a:ext uri="{FF2B5EF4-FFF2-40B4-BE49-F238E27FC236}">
                        <a16:creationId xmlns:a16="http://schemas.microsoft.com/office/drawing/2014/main" id="{00000000-0008-0000-3100-0000084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5001" name="Option Button 9" hidden="1">
                    <a:extLst>
                      <a:ext uri="{63B3BB69-23CF-44E3-9099-C40C66FF867C}">
                        <a14:compatExt spid="_x0000_s85001"/>
                      </a:ext>
                      <a:ext uri="{FF2B5EF4-FFF2-40B4-BE49-F238E27FC236}">
                        <a16:creationId xmlns:a16="http://schemas.microsoft.com/office/drawing/2014/main" id="{00000000-0008-0000-3100-0000094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5002" name="Group Box 10" hidden="1">
                  <a:extLst>
                    <a:ext uri="{63B3BB69-23CF-44E3-9099-C40C66FF867C}">
                      <a14:compatExt spid="_x0000_s85002"/>
                    </a:ext>
                    <a:ext uri="{FF2B5EF4-FFF2-40B4-BE49-F238E27FC236}">
                      <a16:creationId xmlns:a16="http://schemas.microsoft.com/office/drawing/2014/main" id="{00000000-0008-0000-3100-00000A4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100-00000E000000}"/>
                  </a:ext>
                </a:extLst>
              </xdr:cNvPr>
              <xdr:cNvGrpSpPr/>
            </xdr:nvGrpSpPr>
            <xdr:grpSpPr>
              <a:xfrm>
                <a:off x="6162676" y="3409950"/>
                <a:ext cx="1657350" cy="361950"/>
                <a:chOff x="6162676" y="3409950"/>
                <a:chExt cx="1657350" cy="361950"/>
              </a:xfrm>
            </xdr:grpSpPr>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100-00000B4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100-000010000000}"/>
                    </a:ext>
                  </a:extLst>
                </xdr:cNvPr>
                <xdr:cNvGrpSpPr/>
              </xdr:nvGrpSpPr>
              <xdr:grpSpPr>
                <a:xfrm>
                  <a:off x="6243639" y="3500925"/>
                  <a:ext cx="1495425" cy="180000"/>
                  <a:chOff x="6029325" y="4257675"/>
                  <a:chExt cx="1495425" cy="257175"/>
                </a:xfrm>
              </xdr:grpSpPr>
              <xdr:sp macro="" textlink="">
                <xdr:nvSpPr>
                  <xdr:cNvPr id="85004" name="Button 12" hidden="1">
                    <a:extLst>
                      <a:ext uri="{63B3BB69-23CF-44E3-9099-C40C66FF867C}">
                        <a14:compatExt spid="_x0000_s85004"/>
                      </a:ext>
                      <a:ext uri="{FF2B5EF4-FFF2-40B4-BE49-F238E27FC236}">
                        <a16:creationId xmlns:a16="http://schemas.microsoft.com/office/drawing/2014/main" id="{00000000-0008-0000-3100-00000C4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5005" name="Button 13" hidden="1">
                    <a:extLst>
                      <a:ext uri="{63B3BB69-23CF-44E3-9099-C40C66FF867C}">
                        <a14:compatExt spid="_x0000_s85005"/>
                      </a:ext>
                      <a:ext uri="{FF2B5EF4-FFF2-40B4-BE49-F238E27FC236}">
                        <a16:creationId xmlns:a16="http://schemas.microsoft.com/office/drawing/2014/main" id="{00000000-0008-0000-3100-00000D4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100-00000E4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114300</xdr:rowOff>
        </xdr:from>
        <xdr:to>
          <xdr:col>8</xdr:col>
          <xdr:colOff>257175</xdr:colOff>
          <xdr:row>1</xdr:row>
          <xdr:rowOff>85725</xdr:rowOff>
        </xdr:to>
        <xdr:grpSp>
          <xdr:nvGrpSpPr>
            <xdr:cNvPr id="23" name="Group 22">
              <a:extLst>
                <a:ext uri="{FF2B5EF4-FFF2-40B4-BE49-F238E27FC236}">
                  <a16:creationId xmlns:a16="http://schemas.microsoft.com/office/drawing/2014/main" id="{00000000-0008-0000-3100-000017000000}"/>
                </a:ext>
              </a:extLst>
            </xdr:cNvPr>
            <xdr:cNvGrpSpPr/>
          </xdr:nvGrpSpPr>
          <xdr:grpSpPr>
            <a:xfrm>
              <a:off x="4686300" y="114300"/>
              <a:ext cx="990600" cy="257175"/>
              <a:chOff x="771525" y="1314450"/>
              <a:chExt cx="990600" cy="257175"/>
            </a:xfrm>
          </xdr:grpSpPr>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100-00000F4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5008" name="Button 16" hidden="1">
                <a:extLst>
                  <a:ext uri="{63B3BB69-23CF-44E3-9099-C40C66FF867C}">
                    <a14:compatExt spid="_x0000_s85008"/>
                  </a:ext>
                  <a:ext uri="{FF2B5EF4-FFF2-40B4-BE49-F238E27FC236}">
                    <a16:creationId xmlns:a16="http://schemas.microsoft.com/office/drawing/2014/main" id="{00000000-0008-0000-3100-0000104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3</xdr:row>
          <xdr:rowOff>114300</xdr:rowOff>
        </xdr:from>
        <xdr:to>
          <xdr:col>13</xdr:col>
          <xdr:colOff>476250</xdr:colOff>
          <xdr:row>4</xdr:row>
          <xdr:rowOff>142875</xdr:rowOff>
        </xdr:to>
        <xdr:grpSp>
          <xdr:nvGrpSpPr>
            <xdr:cNvPr id="26" name="Group 25">
              <a:extLst>
                <a:ext uri="{FF2B5EF4-FFF2-40B4-BE49-F238E27FC236}">
                  <a16:creationId xmlns:a16="http://schemas.microsoft.com/office/drawing/2014/main" id="{00000000-0008-0000-3100-00001A000000}"/>
                </a:ext>
              </a:extLst>
            </xdr:cNvPr>
            <xdr:cNvGrpSpPr/>
          </xdr:nvGrpSpPr>
          <xdr:grpSpPr>
            <a:xfrm>
              <a:off x="8020050" y="857250"/>
              <a:ext cx="1095375" cy="257175"/>
              <a:chOff x="8201025" y="3448050"/>
              <a:chExt cx="1095375" cy="257175"/>
            </a:xfrm>
          </xdr:grpSpPr>
          <xdr:sp macro="" textlink="">
            <xdr:nvSpPr>
              <xdr:cNvPr id="85009" name="Button 17" hidden="1">
                <a:extLst>
                  <a:ext uri="{63B3BB69-23CF-44E3-9099-C40C66FF867C}">
                    <a14:compatExt spid="_x0000_s85009"/>
                  </a:ext>
                  <a:ext uri="{FF2B5EF4-FFF2-40B4-BE49-F238E27FC236}">
                    <a16:creationId xmlns:a16="http://schemas.microsoft.com/office/drawing/2014/main" id="{00000000-0008-0000-3100-0000114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5010" name="Button 18" hidden="1">
                <a:extLst>
                  <a:ext uri="{63B3BB69-23CF-44E3-9099-C40C66FF867C}">
                    <a14:compatExt spid="_x0000_s85010"/>
                  </a:ext>
                  <a:ext uri="{FF2B5EF4-FFF2-40B4-BE49-F238E27FC236}">
                    <a16:creationId xmlns:a16="http://schemas.microsoft.com/office/drawing/2014/main" id="{00000000-0008-0000-3100-0000124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4" name="Graphic 13" descr="Arrow: Straight with solid fill">
          <a:hlinkClick xmlns:r="http://schemas.openxmlformats.org/officeDocument/2006/relationships" r:id="rId1"/>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95251</xdr:colOff>
          <xdr:row>0</xdr:row>
          <xdr:rowOff>104775</xdr:rowOff>
        </xdr:from>
        <xdr:to>
          <xdr:col>9</xdr:col>
          <xdr:colOff>104775</xdr:colOff>
          <xdr:row>1</xdr:row>
          <xdr:rowOff>180975</xdr:rowOff>
        </xdr:to>
        <xdr:grpSp>
          <xdr:nvGrpSpPr>
            <xdr:cNvPr id="15" name="Group 14">
              <a:extLst>
                <a:ext uri="{FF2B5EF4-FFF2-40B4-BE49-F238E27FC236}">
                  <a16:creationId xmlns:a16="http://schemas.microsoft.com/office/drawing/2014/main" id="{00000000-0008-0000-3200-00000F000000}"/>
                </a:ext>
              </a:extLst>
            </xdr:cNvPr>
            <xdr:cNvGrpSpPr/>
          </xdr:nvGrpSpPr>
          <xdr:grpSpPr>
            <a:xfrm>
              <a:off x="3990976" y="104775"/>
              <a:ext cx="3695699" cy="361950"/>
              <a:chOff x="6162676" y="3409950"/>
              <a:chExt cx="3695699" cy="361950"/>
            </a:xfrm>
          </xdr:grpSpPr>
          <xdr:grpSp>
            <xdr:nvGrpSpPr>
              <xdr:cNvPr id="16" name="Group 15">
                <a:extLst>
                  <a:ext uri="{FF2B5EF4-FFF2-40B4-BE49-F238E27FC236}">
                    <a16:creationId xmlns:a16="http://schemas.microsoft.com/office/drawing/2014/main" id="{00000000-0008-0000-32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2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3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3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3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3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3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2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3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2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3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3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3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657225</xdr:colOff>
          <xdr:row>0</xdr:row>
          <xdr:rowOff>66675</xdr:rowOff>
        </xdr:from>
        <xdr:to>
          <xdr:col>1</xdr:col>
          <xdr:colOff>914400</xdr:colOff>
          <xdr:row>1</xdr:row>
          <xdr:rowOff>38100</xdr:rowOff>
        </xdr:to>
        <xdr:grpSp>
          <xdr:nvGrpSpPr>
            <xdr:cNvPr id="24" name="Group 23">
              <a:extLst>
                <a:ext uri="{FF2B5EF4-FFF2-40B4-BE49-F238E27FC236}">
                  <a16:creationId xmlns:a16="http://schemas.microsoft.com/office/drawing/2014/main" id="{00000000-0008-0000-3200-000018000000}"/>
                </a:ext>
              </a:extLst>
            </xdr:cNvPr>
            <xdr:cNvGrpSpPr/>
          </xdr:nvGrpSpPr>
          <xdr:grpSpPr>
            <a:xfrm>
              <a:off x="657225" y="6667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3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3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8</xdr:row>
          <xdr:rowOff>133350</xdr:rowOff>
        </xdr:from>
        <xdr:to>
          <xdr:col>15</xdr:col>
          <xdr:colOff>533400</xdr:colOff>
          <xdr:row>9</xdr:row>
          <xdr:rowOff>161925</xdr:rowOff>
        </xdr:to>
        <xdr:grpSp>
          <xdr:nvGrpSpPr>
            <xdr:cNvPr id="25" name="Group 24">
              <a:extLst>
                <a:ext uri="{FF2B5EF4-FFF2-40B4-BE49-F238E27FC236}">
                  <a16:creationId xmlns:a16="http://schemas.microsoft.com/office/drawing/2014/main" id="{00000000-0008-0000-3200-000019000000}"/>
                </a:ext>
              </a:extLst>
            </xdr:cNvPr>
            <xdr:cNvGrpSpPr/>
          </xdr:nvGrpSpPr>
          <xdr:grpSpPr>
            <a:xfrm>
              <a:off x="12315825" y="2019300"/>
              <a:ext cx="1095375" cy="257175"/>
              <a:chOff x="8201025" y="3448050"/>
              <a:chExt cx="1095375" cy="257175"/>
            </a:xfrm>
          </xdr:grpSpPr>
          <xdr:sp macro="" textlink="">
            <xdr:nvSpPr>
              <xdr:cNvPr id="82963" name="Button 19" hidden="1">
                <a:extLst>
                  <a:ext uri="{63B3BB69-23CF-44E3-9099-C40C66FF867C}">
                    <a14:compatExt spid="_x0000_s82963"/>
                  </a:ext>
                  <a:ext uri="{FF2B5EF4-FFF2-40B4-BE49-F238E27FC236}">
                    <a16:creationId xmlns:a16="http://schemas.microsoft.com/office/drawing/2014/main" id="{00000000-0008-0000-3200-0000134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2964" name="Button 20" hidden="1">
                <a:extLst>
                  <a:ext uri="{63B3BB69-23CF-44E3-9099-C40C66FF867C}">
                    <a14:compatExt spid="_x0000_s82964"/>
                  </a:ext>
                  <a:ext uri="{FF2B5EF4-FFF2-40B4-BE49-F238E27FC236}">
                    <a16:creationId xmlns:a16="http://schemas.microsoft.com/office/drawing/2014/main" id="{00000000-0008-0000-3200-0000144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114301</xdr:colOff>
          <xdr:row>0</xdr:row>
          <xdr:rowOff>104775</xdr:rowOff>
        </xdr:from>
        <xdr:to>
          <xdr:col>11</xdr:col>
          <xdr:colOff>381000</xdr:colOff>
          <xdr:row>1</xdr:row>
          <xdr:rowOff>180975</xdr:rowOff>
        </xdr:to>
        <xdr:grpSp>
          <xdr:nvGrpSpPr>
            <xdr:cNvPr id="12" name="Group 11">
              <a:extLst>
                <a:ext uri="{FF2B5EF4-FFF2-40B4-BE49-F238E27FC236}">
                  <a16:creationId xmlns:a16="http://schemas.microsoft.com/office/drawing/2014/main" id="{00000000-0008-0000-3300-00000C000000}"/>
                </a:ext>
              </a:extLst>
            </xdr:cNvPr>
            <xdr:cNvGrpSpPr/>
          </xdr:nvGrpSpPr>
          <xdr:grpSpPr>
            <a:xfrm>
              <a:off x="37528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3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300-000014000000}"/>
                    </a:ext>
                  </a:extLst>
                </xdr:cNvPr>
                <xdr:cNvGrpSpPr/>
              </xdr:nvGrpSpPr>
              <xdr:grpSpPr>
                <a:xfrm>
                  <a:off x="8302013" y="3452813"/>
                  <a:ext cx="1769699" cy="276225"/>
                  <a:chOff x="8305801" y="3457575"/>
                  <a:chExt cx="1769699" cy="276225"/>
                </a:xfrm>
              </xdr:grpSpPr>
              <xdr:sp macro="" textlink="">
                <xdr:nvSpPr>
                  <xdr:cNvPr id="80902" name="Option Button 6" hidden="1">
                    <a:extLst>
                      <a:ext uri="{63B3BB69-23CF-44E3-9099-C40C66FF867C}">
                        <a14:compatExt spid="_x0000_s80902"/>
                      </a:ext>
                      <a:ext uri="{FF2B5EF4-FFF2-40B4-BE49-F238E27FC236}">
                        <a16:creationId xmlns:a16="http://schemas.microsoft.com/office/drawing/2014/main" id="{00000000-0008-0000-3300-0000063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0903" name="Option Button 7" hidden="1">
                    <a:extLst>
                      <a:ext uri="{63B3BB69-23CF-44E3-9099-C40C66FF867C}">
                        <a14:compatExt spid="_x0000_s80903"/>
                      </a:ext>
                      <a:ext uri="{FF2B5EF4-FFF2-40B4-BE49-F238E27FC236}">
                        <a16:creationId xmlns:a16="http://schemas.microsoft.com/office/drawing/2014/main" id="{00000000-0008-0000-3300-0000073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0904" name="Option Button 8" hidden="1">
                    <a:extLst>
                      <a:ext uri="{63B3BB69-23CF-44E3-9099-C40C66FF867C}">
                        <a14:compatExt spid="_x0000_s80904"/>
                      </a:ext>
                      <a:ext uri="{FF2B5EF4-FFF2-40B4-BE49-F238E27FC236}">
                        <a16:creationId xmlns:a16="http://schemas.microsoft.com/office/drawing/2014/main" id="{00000000-0008-0000-3300-0000083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0905" name="Option Button 9" hidden="1">
                    <a:extLst>
                      <a:ext uri="{63B3BB69-23CF-44E3-9099-C40C66FF867C}">
                        <a14:compatExt spid="_x0000_s80905"/>
                      </a:ext>
                      <a:ext uri="{FF2B5EF4-FFF2-40B4-BE49-F238E27FC236}">
                        <a16:creationId xmlns:a16="http://schemas.microsoft.com/office/drawing/2014/main" id="{00000000-0008-0000-3300-0000093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0906" name="Group Box 10" hidden="1">
                  <a:extLst>
                    <a:ext uri="{63B3BB69-23CF-44E3-9099-C40C66FF867C}">
                      <a14:compatExt spid="_x0000_s80906"/>
                    </a:ext>
                    <a:ext uri="{FF2B5EF4-FFF2-40B4-BE49-F238E27FC236}">
                      <a16:creationId xmlns:a16="http://schemas.microsoft.com/office/drawing/2014/main" id="{00000000-0008-0000-3300-00000A3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300-00000E000000}"/>
                  </a:ext>
                </a:extLst>
              </xdr:cNvPr>
              <xdr:cNvGrpSpPr/>
            </xdr:nvGrpSpPr>
            <xdr:grpSpPr>
              <a:xfrm>
                <a:off x="6162676" y="3409950"/>
                <a:ext cx="1657350" cy="361950"/>
                <a:chOff x="6162676" y="3409950"/>
                <a:chExt cx="1657350" cy="361950"/>
              </a:xfrm>
            </xdr:grpSpPr>
            <xdr:sp macro="" textlink="">
              <xdr:nvSpPr>
                <xdr:cNvPr id="80907" name="Group Box 11" hidden="1">
                  <a:extLst>
                    <a:ext uri="{63B3BB69-23CF-44E3-9099-C40C66FF867C}">
                      <a14:compatExt spid="_x0000_s80907"/>
                    </a:ext>
                    <a:ext uri="{FF2B5EF4-FFF2-40B4-BE49-F238E27FC236}">
                      <a16:creationId xmlns:a16="http://schemas.microsoft.com/office/drawing/2014/main" id="{00000000-0008-0000-3300-00000B3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300-000010000000}"/>
                    </a:ext>
                  </a:extLst>
                </xdr:cNvPr>
                <xdr:cNvGrpSpPr/>
              </xdr:nvGrpSpPr>
              <xdr:grpSpPr>
                <a:xfrm>
                  <a:off x="6243639" y="3500925"/>
                  <a:ext cx="1495425" cy="180000"/>
                  <a:chOff x="6029325" y="4257675"/>
                  <a:chExt cx="1495425" cy="257175"/>
                </a:xfrm>
              </xdr:grpSpPr>
              <xdr:sp macro="" textlink="">
                <xdr:nvSpPr>
                  <xdr:cNvPr id="80908" name="Button 12" hidden="1">
                    <a:extLst>
                      <a:ext uri="{63B3BB69-23CF-44E3-9099-C40C66FF867C}">
                        <a14:compatExt spid="_x0000_s80908"/>
                      </a:ext>
                      <a:ext uri="{FF2B5EF4-FFF2-40B4-BE49-F238E27FC236}">
                        <a16:creationId xmlns:a16="http://schemas.microsoft.com/office/drawing/2014/main" id="{00000000-0008-0000-3300-00000C3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0909" name="Button 13" hidden="1">
                    <a:extLst>
                      <a:ext uri="{63B3BB69-23CF-44E3-9099-C40C66FF867C}">
                        <a14:compatExt spid="_x0000_s80909"/>
                      </a:ext>
                      <a:ext uri="{FF2B5EF4-FFF2-40B4-BE49-F238E27FC236}">
                        <a16:creationId xmlns:a16="http://schemas.microsoft.com/office/drawing/2014/main" id="{00000000-0008-0000-3300-00000D3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0910" name="Button 14" hidden="1">
                    <a:extLst>
                      <a:ext uri="{63B3BB69-23CF-44E3-9099-C40C66FF867C}">
                        <a14:compatExt spid="_x0000_s80910"/>
                      </a:ext>
                      <a:ext uri="{FF2B5EF4-FFF2-40B4-BE49-F238E27FC236}">
                        <a16:creationId xmlns:a16="http://schemas.microsoft.com/office/drawing/2014/main" id="{00000000-0008-0000-3300-00000E3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200025</xdr:rowOff>
        </xdr:from>
        <xdr:to>
          <xdr:col>2</xdr:col>
          <xdr:colOff>495300</xdr:colOff>
          <xdr:row>1</xdr:row>
          <xdr:rowOff>171450</xdr:rowOff>
        </xdr:to>
        <xdr:grpSp>
          <xdr:nvGrpSpPr>
            <xdr:cNvPr id="23" name="Group 22">
              <a:extLst>
                <a:ext uri="{FF2B5EF4-FFF2-40B4-BE49-F238E27FC236}">
                  <a16:creationId xmlns:a16="http://schemas.microsoft.com/office/drawing/2014/main" id="{00000000-0008-0000-3300-000017000000}"/>
                </a:ext>
              </a:extLst>
            </xdr:cNvPr>
            <xdr:cNvGrpSpPr/>
          </xdr:nvGrpSpPr>
          <xdr:grpSpPr>
            <a:xfrm>
              <a:off x="847725" y="200025"/>
              <a:ext cx="990600" cy="257175"/>
              <a:chOff x="771525" y="1314450"/>
              <a:chExt cx="990600" cy="257175"/>
            </a:xfrm>
          </xdr:grpSpPr>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3300-00000F3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0912" name="Button 16" hidden="1">
                <a:extLst>
                  <a:ext uri="{63B3BB69-23CF-44E3-9099-C40C66FF867C}">
                    <a14:compatExt spid="_x0000_s80912"/>
                  </a:ext>
                  <a:ext uri="{FF2B5EF4-FFF2-40B4-BE49-F238E27FC236}">
                    <a16:creationId xmlns:a16="http://schemas.microsoft.com/office/drawing/2014/main" id="{00000000-0008-0000-3300-0000103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200025</xdr:rowOff>
        </xdr:from>
        <xdr:to>
          <xdr:col>4</xdr:col>
          <xdr:colOff>561975</xdr:colOff>
          <xdr:row>1</xdr:row>
          <xdr:rowOff>171450</xdr:rowOff>
        </xdr:to>
        <xdr:grpSp>
          <xdr:nvGrpSpPr>
            <xdr:cNvPr id="24" name="Group 23">
              <a:extLst>
                <a:ext uri="{FF2B5EF4-FFF2-40B4-BE49-F238E27FC236}">
                  <a16:creationId xmlns:a16="http://schemas.microsoft.com/office/drawing/2014/main" id="{00000000-0008-0000-3300-000018000000}"/>
                </a:ext>
              </a:extLst>
            </xdr:cNvPr>
            <xdr:cNvGrpSpPr/>
          </xdr:nvGrpSpPr>
          <xdr:grpSpPr>
            <a:xfrm>
              <a:off x="1885950" y="200025"/>
              <a:ext cx="1095375" cy="257175"/>
              <a:chOff x="8201025" y="3448050"/>
              <a:chExt cx="1095375" cy="257175"/>
            </a:xfrm>
          </xdr:grpSpPr>
          <xdr:sp macro="" textlink="">
            <xdr:nvSpPr>
              <xdr:cNvPr id="80913" name="Button 17" hidden="1">
                <a:extLst>
                  <a:ext uri="{63B3BB69-23CF-44E3-9099-C40C66FF867C}">
                    <a14:compatExt spid="_x0000_s80913"/>
                  </a:ext>
                  <a:ext uri="{FF2B5EF4-FFF2-40B4-BE49-F238E27FC236}">
                    <a16:creationId xmlns:a16="http://schemas.microsoft.com/office/drawing/2014/main" id="{00000000-0008-0000-3300-0000113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3300-0000123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125" backgroundQuery="1" createdVersion="7" refreshedVersion="8" minRefreshableVersion="3" recordCount="0" supportSubquery="1" supportAdvancedDrill="1" xr:uid="{7E64645C-B4A5-4C45-A699-FB72FC1E192A}">
  <cacheSource type="external" connectionId="1"/>
  <cacheFields count="12">
    <cacheField name="[Table_DonBan].[Ngày lập].[Ngày lập]" caption="Ngày lập" numFmtId="0" hierarchy="138" level="1">
      <sharedItems containsSemiMixedTypes="0" containsNonDate="0" containsDate="1" containsString="0" minDate="2023-11-05T00:00:00" maxDate="2024-04-26T00:00:00" count="18">
        <d v="2023-11-05T00:00:00"/>
        <d v="2023-11-15T00:00:00"/>
        <d v="2023-11-25T00:00:00"/>
        <d v="2023-12-05T00:00:00"/>
        <d v="2023-12-15T00:00:00"/>
        <d v="2023-12-25T00:00:00"/>
        <d v="2024-01-05T00:00:00"/>
        <d v="2024-01-15T00:00:00"/>
        <d v="2024-01-25T00:00:00"/>
        <d v="2024-02-05T00:00:00"/>
        <d v="2024-02-15T00:00:00"/>
        <d v="2024-02-25T00:00:00"/>
        <d v="2024-03-05T00:00:00"/>
        <d v="2024-03-15T00:00:00"/>
        <d v="2024-03-25T00:00:00"/>
        <d v="2024-04-05T00:00:00"/>
        <d v="2024-04-15T00:00:00"/>
        <d v="2024-04-25T00:00:00"/>
      </sharedItems>
    </cacheField>
    <cacheField name="[Table_KhachHang].[Phân khúc].[Phân khúc]" caption="Phân khúc" numFmtId="0" hierarchy="189" level="1">
      <sharedItems count="2">
        <s v="B2C"/>
        <s v="B2B"/>
      </sharedItems>
    </cacheField>
    <cacheField name="[Table_KhachHang].[Tỉnh].[Tỉnh]" caption="Tỉnh" numFmtId="0" hierarchy="194" level="1">
      <sharedItems count="7">
        <s v="Yên Bái"/>
        <s v="Hà Tĩnh"/>
        <s v="Thanh Hóa"/>
        <s v="Nghệ An"/>
        <s v="Lào Cai"/>
        <s v="Thái Bình"/>
        <s v="Nam Định"/>
      </sharedItems>
    </cacheField>
    <cacheField name="[Table_DonBan].[Mã Đơn bán].[Mã Đơn bán]" caption="Mã Đơn bán" numFmtId="0" hierarchy="137" level="1">
      <sharedItems count="18">
        <s v="BAN-KH02-231105-1"/>
        <s v="BAN-KH04-231115-1"/>
        <s v="BAN-KH02-231125-1"/>
        <s v="BAN-KH05-231205-1"/>
        <s v="BAN-KH03-231215-1"/>
        <s v="BAN-KH01-231225-1"/>
        <s v="BAN-KH02-240105-1"/>
        <s v="BAN-KH05-240115-1"/>
        <s v="BAN-KH04-240125-1"/>
        <s v="BAN-KH06-240205-1"/>
        <s v="BAN-KH06-240215-1"/>
        <s v="BAN-KH07-240225-1"/>
        <s v="BAN-KH02-240305-1"/>
        <s v="BAN-KH01-240315-1"/>
        <s v="BAN-KH05-240325-1"/>
        <s v="BAN-KH03-240405-1"/>
        <s v="BAN-KH03-240415-1"/>
        <s v="BAN-KH04-240425-1"/>
      </sharedItems>
    </cacheField>
    <cacheField name="[Measures].[Sum of Số lượng]" caption="Sum of Số lượng" numFmtId="0" hierarchy="506" level="32767"/>
    <cacheField name="[Table_SKU].[Nhóm 1].[Nhóm 1]" caption="Nhóm 1" numFmtId="0" hierarchy="333" level="1">
      <sharedItems count="3">
        <s v="Nhóm 1"/>
        <s v="Nhóm 2"/>
        <s v="Nhóm 3"/>
      </sharedItems>
    </cacheField>
    <cacheField name="[Table_Main].[Mã SKU].[Mã SKU]" caption="Mã SKU" numFmtId="0" hierarchy="225" level="1">
      <sharedItems count="3">
        <s v="TP-Aa1-1"/>
        <s v="TP-Bb2-2"/>
        <s v="TP-Cc3-3"/>
      </sharedItems>
    </cacheField>
    <cacheField name="[Measures].[Sum of Giá trị bán trước VAT]" caption="Sum of Giá trị bán trước VAT" numFmtId="0" hierarchy="479" level="32767"/>
    <cacheField name="[Table_Main].[Loại].[Loại]" caption="Loại" numFmtId="0" hierarchy="242" level="1">
      <sharedItems count="1">
        <s v="Xuất"/>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1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9"/>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3"/>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2"/>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6"/>
      </fieldsUsage>
    </cacheHierarchy>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2" memberValueDatatype="130" unbalanced="0">
      <fieldsUsage count="2">
        <fieldUsage x="-1"/>
        <fieldUsage x="8"/>
      </fieldsUsage>
    </cacheHierarchy>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7"/>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4"/>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9421299" backgroundQuery="1" createdVersion="8" refreshedVersion="8" minRefreshableVersion="3" recordCount="0" supportSubquery="1" supportAdvancedDrill="1" xr:uid="{97528A33-6E01-4113-A8A8-DC946B083376}">
  <cacheSource type="external" connectionId="1"/>
  <cacheFields count="10">
    <cacheField name="[Table_ChiPhiKD].[Kỳ].[Kỳ]" caption="Kỳ" numFmtId="0" hierarchy="20"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hachHang].[Phân khúc].[Phân khúc]" caption="Phân khúc" numFmtId="0" hierarchy="189" level="1">
      <sharedItems count="2">
        <s v="B2C"/>
        <s v="B2B"/>
      </sharedItems>
    </cacheField>
    <cacheField name="[Ref_Periods].[Kỳ].[Kỳ]" caption="Kỳ" numFmtId="0" hierarchy="14"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DonBan].[Ngày lập].[Ngày lập]" caption="Ngày lập" numFmtId="0" hierarchy="138" level="1">
      <sharedItems containsSemiMixedTypes="0" containsNonDate="0" containsDate="1" containsString="0" minDate="2024-01-05T00:00:00" maxDate="2024-10-26T00:00:00" count="29">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u="1"/>
        <d v="2024-09-25T00:00:00" u="1"/>
        <d v="2024-10-05T00:00:00" u="1"/>
        <d v="2024-10-15T00:00:00" u="1"/>
        <d v="2024-10-25T00:00:00" u="1"/>
      </sharedItems>
    </cacheField>
    <cacheField name="[Table_DonBan].[Điểm khả dụng].[Điểm khả dụng]" caption="Điểm khả dụng" numFmtId="0" hierarchy="144"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Điểm khả dụng].&amp;[107600000]"/>
            <x15:cachedUniqueName index="1" name="[Table_DonBan].[Điểm khả dụng].&amp;[109500000]"/>
            <x15:cachedUniqueName index="2" name="[Table_DonBan].[Điểm khả dụng].&amp;[113600000]"/>
            <x15:cachedUniqueName index="3" name="[Table_DonBan].[Điểm khả dụng].&amp;[114200000]"/>
            <x15:cachedUniqueName index="4" name="[Table_DonBan].[Điểm khả dụng].&amp;[115800000]"/>
            <x15:cachedUniqueName index="5" name="[Table_DonBan].[Điểm khả dụng].&amp;[113900000]"/>
            <x15:cachedUniqueName index="6" name="[Table_DonBan].[Điểm khả dụng].&amp;[113500000]"/>
            <x15:cachedUniqueName index="7" name="[Table_DonBan].[Điểm khả dụng].&amp;[113200000]"/>
            <x15:cachedUniqueName index="8" name="[Table_DonBan].[Điểm khả dụng].&amp;[112200000]"/>
            <x15:cachedUniqueName index="9" name="[Table_DonBan].[Điểm khả dụng].&amp;[115200000]"/>
            <x15:cachedUniqueName index="10" name="[Table_DonBan].[Điểm khả dụng].&amp;[118600000]"/>
            <x15:cachedUniqueName index="11" name="[Table_DonBan].[Điểm khả dụng].&amp;[121300000]"/>
            <x15:cachedUniqueName index="12" name="[Table_DonBan].[Điểm khả dụng].&amp;[122900000]"/>
            <x15:cachedUniqueName index="13" name="[Table_DonBan].[Điểm khả dụng].&amp;[126600000]"/>
            <x15:cachedUniqueName index="14" name="[Table_DonBan].[Điểm khả dụng].&amp;[126900000]"/>
            <x15:cachedUniqueName index="15" name="[Table_DonBan].[Điểm khả dụng].&amp;[127700000]"/>
            <x15:cachedUniqueName index="16" name="[Table_DonBan].[Điểm khả dụng].&amp;[127500000]"/>
            <x15:cachedUniqueName index="17" name="[Table_DonBan].[Điểm khả dụng].&amp;[129400000]"/>
            <x15:cachedUniqueName index="18" name="[Table_DonBan].[Điểm khả dụng].&amp;[130900000]"/>
            <x15:cachedUniqueName index="19" name="[Table_DonBan].[Điểm khả dụng].&amp;[131700000]"/>
            <x15:cachedUniqueName index="20" name="[Table_DonBan].[Điểm khả dụng].&amp;[134300000]"/>
            <x15:cachedUniqueName index="21" name="[Table_DonBan].[Điểm khả dụng].&amp;[136900000]"/>
            <x15:cachedUniqueName index="22" name="[Table_DonBan].[Điểm khả dụng].&amp;[140200000]"/>
            <x15:cachedUniqueName index="23" name="[Table_DonBan].[Điểm khả dụng].&amp;[143900000]"/>
            <x15:cachedUniqueName index="24" name="[Table_DonBan].[Điểm khả dụng].&amp;[146100000]"/>
            <x15:cachedUniqueName index="25" name="[Table_DonBan].[Điểm khả dụng].&amp;[146700000]"/>
            <x15:cachedUniqueName index="26" name="[Table_DonBan].[Điểm khả dụng].&amp;[149900000]"/>
            <x15:cachedUniqueName index="27" name="[Table_DonBan].[Điểm khả dụng].&amp;[155100000]"/>
            <x15:cachedUniqueName index="28" name="[Table_DonBan].[Điểm khả dụng].&amp;[155000000]"/>
            <x15:cachedUniqueName index="29" name="[Table_DonBan].[Điểm khả dụng].&amp;[159200000]"/>
            <x15:cachedUniqueName index="30" name="[Table_DonBan].[Điểm khả dụng].&amp;[154600000]"/>
            <x15:cachedUniqueName index="31" name="[Table_DonBan].[Điểm khả dụng].&amp;[160000000]"/>
            <x15:cachedUniqueName index="32" name="[Table_DonBan].[Điểm khả dụng].&amp;[162600000]"/>
            <x15:cachedUniqueName index="33" name="[Table_DonBan].[Điểm khả dụng].&amp;[162900000]"/>
            <x15:cachedUniqueName index="34" name="[Table_DonBan].[Điểm khả dụng].&amp;[164900000]"/>
            <x15:cachedUniqueName index="35" name="[Table_DonBan].[Điểm khả dụng].&amp;[168000000]"/>
          </x15:cachedUniqueNames>
        </ext>
      </extLst>
    </cacheField>
    <cacheField name="[Table_SKU].[Nhóm 1].[Nhóm 1]" caption="Nhóm 1" numFmtId="0" hierarchy="333" level="1">
      <sharedItems count="3">
        <s v="Nhóm 1"/>
        <s v="Nhóm 2"/>
        <s v="Nhóm 3"/>
      </sharedItems>
    </cacheField>
    <cacheField name="[Table_NhanVien].[Mã NV].[Mã NV]" caption="Mã NV" numFmtId="0" hierarchy="285" level="1">
      <sharedItems count="2">
        <s v="NV02"/>
        <s v="NV03"/>
      </sharedItems>
    </cacheField>
    <cacheField name="[Table_Kenh].[Mã Kênh].[Mã Kênh]" caption="Mã Kênh" numFmtId="0" hierarchy="182" level="1">
      <sharedItems count="6">
        <s v="ST"/>
        <s v="SP"/>
        <s v="FB"/>
        <s v="TK"/>
        <s v="LZ"/>
        <s v="TT"/>
      </sharedItems>
    </cacheField>
    <cacheField name="[Measures].[Sum of Giá trị bán trước VAT]" caption="Sum of Giá trị bán trước VAT" numFmtId="0" hierarchy="479" level="32767"/>
    <cacheField name="[Table_DonBan].[Doanh thu ròng].[Doanh thu ròng]" caption="Doanh thu ròng" numFmtId="0" hierarchy="150" level="1">
      <sharedItems containsSemiMixedTypes="0" containsString="0" containsNumber="1" containsInteger="1" minValue="107600000" maxValue="143900000" count="24">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s>
        </ext>
      </extLst>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2"/>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0"/>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3"/>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4"/>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9"/>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2" memberValueDatatype="130" unbalanced="0">
      <fieldsUsage count="2">
        <fieldUsage x="-1"/>
        <fieldUsage x="7"/>
      </fieldsUsage>
    </cacheHierarchy>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2" memberValueDatatype="130" unbalanced="0">
      <fieldsUsage count="2">
        <fieldUsage x="-1"/>
        <fieldUsage x="6"/>
      </fieldsUsage>
    </cacheHierarchy>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8"/>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8217589" backgroundQuery="1" createdVersion="7" refreshedVersion="8" minRefreshableVersion="3" recordCount="0" supportSubquery="1" supportAdvancedDrill="1" xr:uid="{5D5766AE-A7F7-43B4-A82C-D0520083DCF1}">
  <cacheSource type="external" connectionId="1"/>
  <cacheFields count="12">
    <cacheField name="[Table_DonBan].[Ngày lập].[Ngày lập]" caption="Ngày lập" numFmtId="0" hierarchy="138"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KhachHang].[Phân khúc].[Phân khúc]" caption="Phân khúc" numFmtId="0" hierarchy="189" level="1">
      <sharedItems count="2">
        <s v="B2C"/>
        <s v="B2B"/>
      </sharedItems>
    </cacheField>
    <cacheField name="[Table_KhachHang].[Mã KH].[Mã KH]" caption="Mã KH" numFmtId="0" hierarchy="187" level="1">
      <sharedItems count="7">
        <s v="KH02"/>
        <s v="KH05"/>
        <s v="KH04"/>
        <s v="KH06"/>
        <s v="KH07"/>
        <s v="KH01"/>
        <s v="KH03"/>
      </sharedItems>
    </cacheField>
    <cacheField name="[Table_KhachHang].[Tỉnh].[Tỉnh]" caption="Tỉnh" numFmtId="0" hierarchy="194" level="1">
      <sharedItems count="7">
        <s v="Yên Bái"/>
        <s v="Thanh Hóa"/>
        <s v="Hà Tĩnh"/>
        <s v="Thái Bình"/>
        <s v="Nam Định"/>
        <s v="Lào Cai"/>
        <s v="Nghệ An"/>
      </sharedItems>
    </cacheField>
    <cacheField name="[Table_DonBan].[Mã Đơn bán].[Mã Đơn bán]" caption="Mã Đơn bán" numFmtId="0" hierarchy="137" level="1">
      <sharedItems count="36">
        <s v="BAN-KH02-240105-1"/>
        <s v="BAN-KH05-240115-1"/>
        <s v="BAN-KH04-240125-1"/>
        <s v="BAN-KH06-240205-1"/>
        <s v="BAN-KH06-240215-1"/>
        <s v="BAN-KH07-240225-1"/>
        <s v="BAN-KH02-240305-1"/>
        <s v="BAN-KH01-240315-1"/>
        <s v="BAN-KH05-240325-1"/>
        <s v="BAN-KH03-240405-1"/>
        <s v="BAN-KH03-240415-1"/>
        <s v="BAN-KH04-240425-1"/>
        <s v="BAN-KH02-240505-1"/>
        <s v="BAN-KH01-240515-1"/>
        <s v="BAN-KH06-240525-1"/>
        <s v="BAN-KH02-240605-1"/>
        <s v="BAN-KH04-240615-1"/>
        <s v="BAN-KH03-240625-1"/>
        <s v="BAN-KH02-240705-1"/>
        <s v="BAN-KH01-240715-1"/>
        <s v="BAN-KH04-240725-1"/>
        <s v="BAN-KH05-240805-1"/>
        <s v="BAN-KH02-240815-1"/>
        <s v="BAN-KH01-240825-1"/>
        <s v="BAN-KH03-240905-1"/>
        <s v="BAN-KH05-240915-1"/>
        <s v="BAN-KH01-240925-1"/>
        <s v="BAN-KH02-241005-1"/>
        <s v="BAN-KH04-241015-1"/>
        <s v="BAN-KH03-241025-1"/>
        <s v="BAN-KH01-241105-1"/>
        <s v="BAN-KH03-241115-1"/>
        <s v="BAN-KH05-241125-1"/>
        <s v="BAN-KH06-241205-1"/>
        <s v="BAN-KH02-241215-1"/>
        <s v="BAN-KH07-241225-1"/>
      </sharedItems>
    </cacheField>
    <cacheField name="[Measures].[Sum of Số lượng]" caption="Sum of Số lượng" numFmtId="0" hierarchy="506" level="32767"/>
    <cacheField name="[Table_DonBan].[STT đơn của khách].[STT đơn của khách]" caption="STT đơn của khách" numFmtId="0" hierarchy="153"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333" level="1">
      <sharedItems count="3">
        <s v="Nhóm 1"/>
        <s v="Nhóm 2"/>
        <s v="Nhóm 3"/>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onBan].[Doanh thu ròng].[Doanh thu ròng]" caption="Doanh thu ròng" numFmtId="0" hierarchy="150"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9"/>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8"/>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4"/>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0"/>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6"/>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2" memberValueDatatype="130" unbalanced="0">
      <fieldsUsage count="2">
        <fieldUsage x="-1"/>
        <fieldUsage x="2"/>
      </fieldsUsage>
    </cacheHierarchy>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3"/>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7"/>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5"/>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983796" backgroundQuery="1" createdVersion="8" refreshedVersion="8" minRefreshableVersion="3" recordCount="0" supportSubquery="1" supportAdvancedDrill="1" xr:uid="{AFD95C94-565E-4D2B-8944-941522BFB052}">
  <cacheSource type="external" connectionId="1"/>
  <cacheFields count="4">
    <cacheField name="[Ref_Periods].[Kỳ (Year)].[Kỳ (Year)]" caption="Kỳ (Year)" numFmtId="0" hierarchy="15" level="1">
      <sharedItems containsSemiMixedTypes="0" containsNonDate="0" containsString="0"/>
    </cacheField>
    <cacheField name="[Table_Datafeed].[Kỳ].[Kỳ]" caption="Kỳ" numFmtId="0" hierarchy="59" level="1">
      <sharedItems containsSemiMixedTypes="0" containsNonDate="0" containsDate="1" containsString="0" minDate="2024-01-01T00:00:00" maxDate="2024-09-02T00:00:00" count="9">
        <d v="2024-01-01T00:00:00"/>
        <d v="2024-02-01T00:00:00"/>
        <d v="2024-03-01T00:00:00"/>
        <d v="2024-04-01T00:00:00"/>
        <d v="2024-05-01T00:00:00"/>
        <d v="2024-06-01T00:00:00"/>
        <d v="2024-07-01T00:00:00"/>
        <d v="2024-08-01T00:00:00"/>
        <d v="2024-09-01T00:00:00"/>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3"/>
      </fieldsUsage>
    </cacheHierarchy>
    <cacheHierarchy uniqueName="[Ref_Periods].[Kỳ (Year)]" caption="Kỳ (Year)" attribute="1" defaultMemberUniqueName="[Ref_Periods].[Kỳ (Year)].[All]" allUniqueName="[Ref_Periods].[Kỳ (Year)].[All]" dimensionUniqueName="[Ref_Periods]" displayFolder="" count="2" memberValueDatatype="130" unbalanced="0">
      <fieldsUsage count="2">
        <fieldUsage x="-1"/>
        <fieldUsage x="0"/>
      </fieldsUsage>
    </cacheHierarchy>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2"/>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565626157404" createdVersion="8" refreshedVersion="8" minRefreshableVersion="3" recordCount="13" xr:uid="{868B2116-02AA-48F0-921C-3E76D59F30F0}">
  <cacheSource type="worksheet">
    <worksheetSource name="Table_VayNo_LichTra"/>
  </cacheSource>
  <cacheFields count="21">
    <cacheField name="Kỳ" numFmtId="166">
      <sharedItems containsSemiMixedTypes="0" containsNonDate="0" containsDate="1" containsString="0" minDate="2025-04-01T00:00:00" maxDate="2027-12-02T00:00:00"/>
    </cacheField>
    <cacheField name="Năm" numFmtId="174">
      <sharedItems containsSemiMixedTypes="0" containsString="0" containsNumber="1" containsInteger="1" minValue="2025" maxValue="2027"/>
    </cacheField>
    <cacheField name="Tháng" numFmtId="174">
      <sharedItems containsString="0" containsBlank="1" containsNumber="1" containsInteger="1" minValue="4" maxValue="10"/>
    </cacheField>
    <cacheField name="Khoản vay" numFmtId="174">
      <sharedItems count="4">
        <s v="VAY4"/>
        <s v="VAY3"/>
        <s v="VAY2"/>
        <s v="VAY1"/>
      </sharedItems>
    </cacheField>
    <cacheField name="Tần suất" numFmtId="174">
      <sharedItems/>
    </cacheField>
    <cacheField name="Ngày vay" numFmtId="175">
      <sharedItems containsSemiMixedTypes="0" containsNonDate="0" containsDate="1" containsString="0" minDate="2024-02-24T00:00:00" maxDate="2025-08-01T00:00:00"/>
    </cacheField>
    <cacheField name="Ngày bắt đầu" numFmtId="175">
      <sharedItems containsSemiMixedTypes="0" containsNonDate="0" containsDate="1" containsString="0" minDate="1899-12-30T00:00:00" maxDate="2025-04-03T00:00:00"/>
    </cacheField>
    <cacheField name="Ngày kết thúc" numFmtId="175">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4">
      <sharedItems containsSemiMixedTypes="0" containsString="0" containsNumber="1" minValue="33333333.333333343" maxValue="5000000000"/>
    </cacheField>
    <cacheField name="Trả gốc trong kỳ" numFmtId="164">
      <sharedItems containsSemiMixedTypes="0" containsString="0" containsNumber="1" minValue="0" maxValue="1666666666.6666667"/>
    </cacheField>
    <cacheField name="Lãi vay" numFmtId="164">
      <sharedItems containsSemiMixedTypes="0" containsString="0" containsNumber="1" minValue="194444.44444444453" maxValue="500000000"/>
    </cacheField>
    <cacheField name="Phân bổ lãi tháng" numFmtId="164">
      <sharedItems containsSemiMixedTypes="0" containsString="0" containsNumber="1" minValue="194444.44444444453" maxValue="52000000"/>
    </cacheField>
    <cacheField name="Tổng phải trả" numFmtId="164">
      <sharedItems containsSemiMixedTypes="0" containsString="0" containsNumber="1" minValue="500000" maxValue="2166666666.666667"/>
    </cacheField>
    <cacheField name="Chi phí tính thuế" numFmtId="164">
      <sharedItems containsSemiMixedTypes="0" containsString="0" containsNumber="1" minValue="194444.44444444453" maxValue="52000000"/>
    </cacheField>
    <cacheField name="Ngày phải trả" numFmtId="175">
      <sharedItems containsSemiMixedTypes="0" containsNonDate="0" containsDate="1" containsString="0" minDate="2025-02-25T00:00:00" maxDate="2027-02-26T00:00:00" count="13">
        <d v="2025-10-31T00:00:00"/>
        <d v="2025-10-01T00:00:00"/>
        <d v="2025-08-31T00:00:00"/>
        <d v="2026-05-15T00:00:00"/>
        <d v="2025-09-01T00:00:00"/>
        <d v="2025-08-01T00:00:00"/>
        <d v="2025-07-01T00:00:00"/>
        <d v="2025-06-01T00:00:00"/>
        <d v="2025-05-01T00:00:00"/>
        <d v="2025-04-01T00:00:00"/>
        <d v="2027-02-25T00:00:00"/>
        <d v="2026-02-25T00:00:00"/>
        <d v="2025-02-25T00:00:00"/>
      </sharedItems>
      <fieldGroup par="20"/>
    </cacheField>
    <cacheField name="Remain" numFmtId="164">
      <sharedItems containsSemiMixedTypes="0" containsString="0" containsNumber="1" minValue="500000" maxValue="5861111111.1111107"/>
    </cacheField>
    <cacheField name="Add" numFmtId="174">
      <sharedItems containsNonDate="0" containsString="0" containsBlank="1"/>
    </cacheField>
    <cacheField name="Months (Ngày phải trả)" numFmtId="0" databaseField="0">
      <fieldGroup base="15">
        <rangePr groupBy="months" startDate="2025-02-25T00:00:00" endDate="2027-02-26T00:00:00"/>
        <groupItems count="14">
          <s v="&lt;25-02-25"/>
          <s v="Jan"/>
          <s v="Feb"/>
          <s v="Mar"/>
          <s v="Apr"/>
          <s v="May"/>
          <s v="Jun"/>
          <s v="Jul"/>
          <s v="Aug"/>
          <s v="Sep"/>
          <s v="Oct"/>
          <s v="Nov"/>
          <s v="Dec"/>
          <s v="&gt;26-02-27"/>
        </groupItems>
      </fieldGroup>
    </cacheField>
    <cacheField name="Quarters (Ngày phải trả)" numFmtId="0" databaseField="0">
      <fieldGroup base="15">
        <rangePr groupBy="quarters" startDate="2025-02-25T00:00:00" endDate="2027-02-26T00:00:00"/>
        <groupItems count="6">
          <s v="&lt;25-02-25"/>
          <s v="Qtr1"/>
          <s v="Qtr2"/>
          <s v="Qtr3"/>
          <s v="Qtr4"/>
          <s v="&gt;26-02-27"/>
        </groupItems>
      </fieldGroup>
    </cacheField>
    <cacheField name="Years (Ngày phải trả)" numFmtId="0" databaseField="0">
      <fieldGroup base="15">
        <rangePr groupBy="years" startDate="2025-02-25T00:00:00" endDate="2027-02-26T00:00:00"/>
        <groupItems count="5">
          <s v="&lt;25-02-25"/>
          <s v="2025"/>
          <s v="2026"/>
          <s v="2027"/>
          <s v="&gt;26-02-2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055494213" createdVersion="8" refreshedVersion="8" minRefreshableVersion="3" recordCount="6" xr:uid="{2985F43B-F1B2-4AF9-A484-1202145B6E91}">
  <cacheSource type="worksheet">
    <worksheetSource name="Table_TSCD"/>
  </cacheSource>
  <cacheFields count="23">
    <cacheField name="Mã Tài sản" numFmtId="174">
      <sharedItems count="6">
        <s v="TS6"/>
        <s v="TS5"/>
        <s v="TS4"/>
        <s v="TS3"/>
        <s v="TS2"/>
        <s v="TS1"/>
      </sharedItems>
    </cacheField>
    <cacheField name="Tên tài sản" numFmtId="174">
      <sharedItems containsNonDate="0" containsString="0" containsBlank="1"/>
    </cacheField>
    <cacheField name="Chức năng" numFmtId="174">
      <sharedItems/>
    </cacheField>
    <cacheField name="Phân loại" numFmtId="174">
      <sharedItems count="6">
        <s v="Thương hiệu - Nhãn hiệu"/>
        <s v="Phần mềm - Tài sản số"/>
        <s v="Thiết bị - Dụng cụ quản lý"/>
        <s v="Phương tiện vận tải - truyền dẫn"/>
        <s v="Dây chuyền - Máy móc"/>
        <s v="Nhà cửa - Xây dựng"/>
      </sharedItems>
    </cacheField>
    <cacheField name="Công suất" numFmtId="164">
      <sharedItems containsNonDate="0" containsString="0" containsBlank="1"/>
    </cacheField>
    <cacheField name="Đơn vị công suất" numFmtId="174">
      <sharedItems containsNonDate="0" containsString="0" containsBlank="1"/>
    </cacheField>
    <cacheField name="Giá trị sổ sách" numFmtId="164">
      <sharedItems containsSemiMixedTypes="0" containsString="0" containsNumber="1" containsInteger="1" minValue="25000000" maxValue="5000000000"/>
    </cacheField>
    <cacheField name="Ngày mua" numFmtId="166">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6">
      <sharedItems containsSemiMixedTypes="0" containsNonDate="0" containsDate="1" containsString="0" minDate="2023-03-12T00:00:00" maxDate="2024-04-19T00:00:00"/>
    </cacheField>
    <cacheField name="Ngày thanh lý" numFmtId="166">
      <sharedItems containsNonDate="0" containsString="0" containsBlank="1"/>
    </cacheField>
    <cacheField name="Ngày kết thúc" numFmtId="175">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Tình trạng VAT" numFmtId="174">
      <sharedItems containsNonDate="0" containsString="0" containsBlank="1"/>
    </cacheField>
    <cacheField name="Tỷ suất VAT" numFmtId="9">
      <sharedItems containsNonDate="0" containsString="0" containsBlank="1"/>
    </cacheField>
    <cacheField name="VAT khấu trừ" numFmtId="164">
      <sharedItems containsSemiMixedTypes="0" containsString="0" containsNumber="1" containsInteger="1" minValue="0" maxValue="0"/>
    </cacheField>
    <cacheField name="Số ngày vận hành" numFmtId="164">
      <sharedItems containsSemiMixedTypes="0" containsString="0" containsNumber="1" containsInteger="1" minValue="418" maxValue="821"/>
    </cacheField>
    <cacheField name="Khấu hao lũy kế theo ngày" numFmtId="164">
      <sharedItems containsSemiMixedTypes="0" containsString="0" containsNumber="1" minValue="10997033.994980607" maxValue="440109514.03148526"/>
    </cacheField>
    <cacheField name="Tỷ lệ khấu hao" numFmtId="9">
      <sharedItems containsSemiMixedTypes="0" containsString="0" containsNumber="1" minValue="8.8021902806297056E-2" maxValue="0.43988135979922427"/>
    </cacheField>
    <cacheField name="Giá trị còn lại" numFmtId="164">
      <sharedItems containsSemiMixedTypes="0" containsString="0" containsNumber="1" minValue="14002966.005019393" maxValue="4559890485.9685144"/>
    </cacheField>
    <cacheField name="Số ngày còn lại" numFmtId="164">
      <sharedItems containsSemiMixedTypes="0" containsString="0" containsNumber="1" containsInteger="1" minValue="614" maxValue="8310"/>
    </cacheField>
    <cacheField name="Add" numFmtId="17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23432986111" createdVersion="8" refreshedVersion="8" minRefreshableVersion="3" recordCount="33" xr:uid="{A139B564-2AC2-42E3-80AD-DB8AFD891909}">
  <cacheSource type="worksheet">
    <worksheetSource name="Table_TSCD_KhauHao"/>
  </cacheSource>
  <cacheFields count="12">
    <cacheField name="Kỳ" numFmtId="166">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11"/>
    </cacheField>
    <cacheField name="Năm" numFmtId="174">
      <sharedItems containsSemiMixedTypes="0" containsString="0" containsNumber="1" containsInteger="1" minValue="2023" maxValue="2025"/>
    </cacheField>
    <cacheField name="Tháng" numFmtId="174">
      <sharedItems containsSemiMixedTypes="0" containsString="0" containsNumber="1" containsInteger="1" minValue="1" maxValue="12"/>
    </cacheField>
    <cacheField name="Khấu hao" numFmtId="174">
      <sharedItems containsSemiMixedTypes="0" containsString="0" containsNumber="1" minValue="10000000" maxValue="51111111.111111104"/>
    </cacheField>
    <cacheField name="Khấu hao sản xuất" numFmtId="174">
      <sharedItems containsSemiMixedTypes="0" containsString="0" containsNumber="1" minValue="10000000" maxValue="30833333.333333332"/>
    </cacheField>
    <cacheField name="Khấu hao bán hàng" numFmtId="174">
      <sharedItems containsSemiMixedTypes="0" containsString="0" containsNumber="1" minValue="0" maxValue="11250000"/>
    </cacheField>
    <cacheField name="Khấu hao quản lý" numFmtId="174">
      <sharedItems containsSemiMixedTypes="0" containsString="0" containsNumber="1" minValue="0" maxValue="9027777.777777778"/>
    </cacheField>
    <cacheField name="Giá trị tính thuế" numFmtId="174">
      <sharedItems containsSemiMixedTypes="0" containsString="0" containsNumber="1" minValue="10000000" maxValue="51111111.111111104"/>
    </cacheField>
    <cacheField name="Add" numFmtId="174">
      <sharedItems containsNonDate="0" containsString="0" containsBlank="1"/>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09807754627" createdVersion="8" refreshedVersion="8" minRefreshableVersion="3" recordCount="3" xr:uid="{318E765F-B752-434D-ACA6-3F6C9A6001DC}">
  <cacheSource type="worksheet">
    <worksheetSource name="Table_DiemDatHang"/>
  </cacheSource>
  <cacheFields count="12">
    <cacheField name="Mã hàng" numFmtId="0">
      <sharedItems count="3">
        <s v="HH1"/>
        <s v="TP1"/>
        <s v="TP2"/>
      </sharedItems>
    </cacheField>
    <cacheField name="Tồn tối thiểu" numFmtId="164">
      <sharedItems containsSemiMixedTypes="0" containsString="0" containsNumber="1" minValue="21.641304347826093" maxValue="23.947826086956525"/>
    </cacheField>
    <cacheField name="Tồn tối đa" numFmtId="164">
      <sharedItems containsSemiMixedTypes="0" containsString="0" containsNumber="1" minValue="64.923913043478279" maxValue="71.843478260869574"/>
    </cacheField>
    <cacheField name="Tồn đầu ngày" numFmtId="164">
      <sharedItems containsSemiMixedTypes="0" containsString="0" containsNumber="1" containsInteger="1" minValue="22" maxValue="85"/>
    </cacheField>
    <cacheField name="Tiêu thụ / ngày" numFmtId="164">
      <sharedItems containsSemiMixedTypes="0" containsString="0" containsNumber="1" minValue="1.9673913043478262" maxValue="2.2173913043478262"/>
    </cacheField>
    <cacheField name="Tăng trưởng tiêu thụ" numFmtId="9">
      <sharedItems containsSemiMixedTypes="0" containsString="0" containsNumber="1" minValue="0.05" maxValue="0.1"/>
    </cacheField>
    <cacheField name="Ngày tồn kho" numFmtId="164">
      <sharedItems containsSemiMixedTypes="0" containsString="0" containsNumber="1" containsInteger="1" minValue="11" maxValue="36"/>
    </cacheField>
    <cacheField name="Ngày giao / sản xuất" numFmtId="164">
      <sharedItems containsSemiMixedTypes="0" containsString="0" containsNumber="1" containsInteger="1" minValue="0" maxValue="3"/>
    </cacheField>
    <cacheField name="Hạn đặt hàng" numFmtId="168">
      <sharedItems containsSemiMixedTypes="0" containsNonDate="0" containsDate="1" containsString="0" minDate="2025-05-30T00:00:00" maxDate="2025-06-24T00:00:00"/>
    </cacheField>
    <cacheField name="SL cần đặt" numFmtId="164">
      <sharedItems containsSemiMixedTypes="0" containsString="0" containsNumber="1" minValue="0" maxValue="45.446739130434793"/>
    </cacheField>
    <cacheField name="Giá trị cần đặt" numFmtId="164">
      <sharedItems containsSemiMixedTypes="0" containsString="0" containsNumber="1" containsInteger="1" minValue="0" maxValue="0"/>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53197453707" createdVersion="8" refreshedVersion="8" minRefreshableVersion="3" recordCount="15" xr:uid="{4CD68702-FB15-4468-931C-9EBC0531F93E}">
  <cacheSource type="worksheet">
    <worksheetSource name="Table_TonKho"/>
  </cacheSource>
  <cacheFields count="27">
    <cacheField name="Kỳ" numFmtId="166">
      <sharedItems containsSemiMixedTypes="0" containsNonDate="0" containsDate="1" containsString="0" minDate="2025-03-01T00:00:00" maxDate="2025-05-02T00:00:00" count="3">
        <d v="2025-05-01T00:00:00"/>
        <d v="2025-04-01T00:00:00"/>
        <d v="2025-03-01T00:00:00"/>
      </sharedItems>
      <fieldGroup par="2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SKU" numFmtId="0">
      <sharedItems containsBlank="1"/>
    </cacheField>
    <cacheField name="Nguyên liệu" numFmtId="0">
      <sharedItems containsBlank="1"/>
    </cacheField>
    <cacheField name="Chức năng" numFmtId="0">
      <sharedItems count="3">
        <s v="Thành phẩm"/>
        <s v="Hàng hóa"/>
        <s v="Nguyên liệu"/>
      </sharedItems>
    </cacheField>
    <cacheField name="Đối tượng" numFmtId="0">
      <sharedItems count="5">
        <s v="TP2"/>
        <s v="TP1"/>
        <s v="HH1"/>
        <s v="NL1"/>
        <s v="NL2"/>
      </sharedItems>
    </cacheField>
    <cacheField name="Kho" numFmtId="0">
      <sharedItems count="1">
        <s v="Kho1"/>
      </sharedItems>
    </cacheField>
    <cacheField name="SL Đầu kỳ" numFmtId="164">
      <sharedItems containsSemiMixedTypes="0" containsString="0" containsNumber="1" containsInteger="1" minValue="0" maxValue="171"/>
    </cacheField>
    <cacheField name="SL nhập" numFmtId="164">
      <sharedItems containsSemiMixedTypes="0" containsString="0" containsNumber="1" containsInteger="1" minValue="11" maxValue="320"/>
    </cacheField>
    <cacheField name="SL xuất" numFmtId="164">
      <sharedItems containsSemiMixedTypes="0" containsString="0" containsNumber="1" containsInteger="1" minValue="14" maxValue="149"/>
    </cacheField>
    <cacheField name="SL Cuối kỳ" numFmtId="164">
      <sharedItems containsSemiMixedTypes="0" containsString="0" containsNumber="1" containsInteger="1" minValue="8" maxValue="171"/>
    </cacheField>
    <cacheField name="KQ kiểm kê" numFmtId="164">
      <sharedItems containsNonDate="0" containsString="0" containsBlank="1"/>
    </cacheField>
    <cacheField name="Chênh lệch" numFmtId="164">
      <sharedItems containsSemiMixedTypes="0" containsString="0" containsNumber="1" containsInteger="1" minValue="-171" maxValue="-8"/>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8"/>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Giá trị cuối kỳ" numFmtId="164">
      <sharedItems containsSemiMixedTypes="0" containsString="0" containsNumber="1" minValue="0" maxValue="26813759.183285851"/>
    </cacheField>
    <cacheField name="VAT hàng xuất" numFmtId="164">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Dự phòng lũy kế" numFmtId="164">
      <sharedItems containsString="0" containsBlank="1" containsNumber="1" minValue="71284.637313432802" maxValue="5461230.0948885884"/>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9516087963" createdVersion="8" refreshedVersion="8" minRefreshableVersion="3" recordCount="6" xr:uid="{21CAAC80-807B-408F-BEE2-2817C48E4302}">
  <cacheSource type="worksheet">
    <worksheetSource name="Table_DuPhong"/>
  </cacheSource>
  <cacheFields count="8">
    <cacheField name="Kỳ" numFmtId="166">
      <sharedItems containsSemiMixedTypes="0" containsNonDate="0" containsDate="1" containsString="0" minDate="2025-03-01T00:00:00" maxDate="2025-05-02T00:00:00" count="3">
        <d v="2025-05-01T00:00:00"/>
        <d v="2025-04-01T00:00:00"/>
        <d v="2025-03-01T00:00:00"/>
      </sharedItems>
      <fieldGroup par="7"/>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đối tác" numFmtId="0">
      <sharedItems count="2">
        <s v="KH2"/>
        <s v="KH1"/>
      </sharedItems>
    </cacheField>
    <cacheField name="Dự phòng lũy kế" numFmtId="164">
      <sharedItems containsSemiMixedTypes="0" containsString="0" containsNumber="1" containsInteger="1" minValue="100000" maxValue="200000"/>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5949073" backgroundQuery="1" createdVersion="7" refreshedVersion="8" minRefreshableVersion="3" recordCount="0" supportSubquery="1" supportAdvancedDrill="1" xr:uid="{AAC2DA83-3316-463B-94B9-E94021029A5F}">
  <cacheSource type="external" connectionId="1"/>
  <cacheFields count="15">
    <cacheField name="[Table_DonBan].[Ngày lập].[Ngày lập]" caption="Ngày lập" numFmtId="0" hierarchy="81"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DonBan].[Chương trình].[Chương trình]" caption="Chương trình" numFmtId="0" hierarchy="89" level="1">
      <sharedItems containsBlank="1" count="2">
        <m/>
        <s v="2024-05tr"/>
      </sharedItems>
    </cacheField>
    <cacheField name="[Table_DonBan].[Giá trị CK].[Giá trị CK]" caption="Giá trị CK" numFmtId="0" hierarchy="91" level="1">
      <sharedItems containsSemiMixedTypes="0" containsString="0" containsNumber="1" containsInteger="1" minValue="0" maxValue="5000000" count="2">
        <n v="0"/>
        <n v="5000000"/>
      </sharedItems>
      <extLst>
        <ext xmlns:x15="http://schemas.microsoft.com/office/spreadsheetml/2010/11/main" uri="{4F2E5C28-24EA-4eb8-9CBF-B6C8F9C3D259}">
          <x15:cachedUniqueNames>
            <x15:cachedUniqueName index="0" name="[Table_DonBan].[Giá trị CK].&amp;[0]"/>
            <x15:cachedUniqueName index="1" name="[Table_DonBan].[Giá trị CK].&amp;[5000000]"/>
          </x15:cachedUniqueNames>
        </ext>
      </extLst>
    </cacheField>
    <cacheField name="[Table_DonBan].[Điểm khả dụng].[Điểm khả dụng]" caption="Điểm khả dụng" numFmtId="0" hierarchy="87" level="1">
      <sharedItems containsNonDate="0" containsString="0" containsBlank="1" count="1">
        <m/>
      </sharedItems>
    </cacheField>
    <cacheField name="[Table_DonBan].[Mã Khách].[Mã Khách]" caption="Mã Khách" numFmtId="0" hierarchy="82" level="1">
      <sharedItems count="7">
        <s v="KH02"/>
        <s v="KH05"/>
        <s v="KH04"/>
        <s v="KH06"/>
        <s v="KH07"/>
        <s v="KH01"/>
        <s v="KH03"/>
      </sharedItems>
    </cacheField>
    <cacheField name="[Table_DonBan].[Kênh].[Kênh]" caption="Kênh" numFmtId="0" hierarchy="84" level="1">
      <sharedItems count="6">
        <s v="ST"/>
        <s v="SP"/>
        <s v="FB"/>
        <s v="TK"/>
        <s v="LZ"/>
        <s v="TT"/>
      </sharedItems>
    </cacheField>
    <cacheField name="[Table_DonBan].[Mã NV].[Mã NV]" caption="Mã NV" numFmtId="0" hierarchy="83" level="1">
      <sharedItems count="2">
        <s v="NV02"/>
        <s v="NV03"/>
      </sharedItems>
    </cacheField>
    <cacheField name="[Table_KhachHang].[Phân khúc].[Phân khúc]" caption="Phân khúc" numFmtId="0" hierarchy="119" level="1">
      <sharedItems count="2">
        <s v="B2C"/>
        <s v="B2B"/>
      </sharedItems>
    </cacheField>
    <cacheField name="[Table_DonBan].[STT đơn của khách].[STT đơn của khách]" caption="STT đơn của khách" numFmtId="0" hierarchy="99"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194" level="1">
      <sharedItems count="3">
        <s v="Nhóm 1"/>
        <s v="Nhóm 2"/>
        <s v="Nhóm 3"/>
      </sharedItems>
    </cacheField>
    <cacheField name="[Table_Main].[Mã SKU].[Mã SKU]" caption="Mã SKU" numFmtId="0" hierarchy="140" level="1">
      <sharedItems count="3">
        <s v="TP-Aa1-1"/>
        <s v="TP-Bb2-2"/>
        <s v="TP-Cc3-3"/>
      </sharedItems>
    </cacheField>
    <cacheField name="[Table_Main].[Chương trình].[Chương trình]" caption="Chương trình" numFmtId="0" hierarchy="165" level="1">
      <sharedItems containsNonDate="0" containsString="0" containsBlank="1" count="1">
        <m/>
      </sharedItems>
    </cacheField>
    <cacheField name="[Table_Main].[Giá trị CK].[Giá trị CK]" caption="Giá trị CK" numFmtId="0" hierarchy="167" level="1">
      <sharedItems count="1">
        <s v=" -"/>
      </sharedItems>
    </cacheField>
    <cacheField name="[Measures].[Sum of Giá trị bán trước VAT]" caption="Sum of Giá trị bán trước VAT" numFmtId="0" hierarchy="228" level="32767"/>
    <cacheField name="[Table_DonBan].[Doanh thu ròng].[Doanh thu ròng]" caption="Doanh thu ròng" numFmtId="0" hierarchy="93"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Mã NV]" caption="Mã NV" attribute="1" defaultMemberUniqueName="[Table_DonBan].[Mã NV].[All]" allUniqueName="[Table_DonBan].[Mã NV].[All]" dimensionUniqueName="[Table_DonBan]" displayFolder="" count="2" memberValueDatatype="130" unbalanced="0">
      <fieldsUsage count="2">
        <fieldUsage x="-1"/>
        <fieldUsage x="6"/>
      </fieldsUsage>
    </cacheHierarchy>
    <cacheHierarchy uniqueName="[Table_DonBan].[Kênh]" caption="Kênh" attribute="1" defaultMemberUniqueName="[Table_DonBan].[Kênh].[All]" allUniqueName="[Table_DonBan].[Kênh].[All]" dimensionUniqueName="[Table_DonBan]" displayFolder="" count="2" memberValueDatatype="130" unbalanced="0">
      <fieldsUsage count="2">
        <fieldUsage x="-1"/>
        <fieldUsage x="5"/>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3"/>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2" memberValueDatatype="130" unbalanced="0">
      <fieldsUsage count="2">
        <fieldUsage x="-1"/>
        <fieldUsage x="1"/>
      </fieldsUsage>
    </cacheHierarchy>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2" memberValueDatatype="20" unbalanced="0">
      <fieldsUsage count="2">
        <fieldUsage x="-1"/>
        <fieldUsage x="2"/>
      </fieldsUsage>
    </cacheHierarchy>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4"/>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8"/>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7"/>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10"/>
      </fieldsUsage>
    </cacheHierarchy>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2" memberValueDatatype="130" unbalanced="0">
      <fieldsUsage count="2">
        <fieldUsage x="-1"/>
        <fieldUsage x="11"/>
      </fieldsUsage>
    </cacheHierarchy>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2" memberValueDatatype="130" unbalanced="0">
      <fieldsUsage count="2">
        <fieldUsage x="-1"/>
        <fieldUsage x="12"/>
      </fieldsUsage>
    </cacheHierarchy>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9"/>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13"/>
      </fieldsUsage>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790.665422453705" backgroundQuery="1" createdVersion="8" refreshedVersion="7" minRefreshableVersion="3" recordCount="0" supportSubquery="1" supportAdvancedDrill="1" xr:uid="{07849A5A-D74E-4C69-BF67-E59D38FF7C85}">
  <cacheSource type="external" connectionId="1"/>
  <cacheFields count="8">
    <cacheField name="[Ref_Periods].[Kỳ].[Kỳ]" caption="Kỳ" numFmtId="0" hierarchy="7"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PI].[Nhân viên].[Nhân viên]" caption="Nhân viên" numFmtId="0" hierarchy="132" level="1">
      <sharedItems containsBlank="1" count="3">
        <m/>
        <s v="NV02"/>
        <s v="NV03"/>
      </sharedItems>
    </cacheField>
    <cacheField name="[Table_KPI].[Kênh].[Kênh]" caption="Kênh" numFmtId="0" hierarchy="133" level="1">
      <sharedItems containsBlank="1" count="3">
        <s v="SP"/>
        <s v="TT"/>
        <m/>
      </sharedItems>
    </cacheField>
    <cacheField name="[Measures].[Sum of Doanh thu KPI]" caption="Sum of Doanh thu KPI" numFmtId="0" hierarchy="255" level="32767"/>
    <cacheField name="[Measures].[Sum of Doanh thu thực tế]" caption="Sum of Doanh thu thực tế" numFmtId="0" hierarchy="256" level="32767"/>
    <cacheField name="[Table_KPI].[Năm].[Năm]" caption="Năm" numFmtId="0" hierarchy="130"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Table_KPI].[Năm].&amp;[2024]"/>
          </x15:cachedUniqueNames>
        </ext>
      </extLst>
    </cacheField>
    <cacheField name="[Table_KPI].[Tháng].[Tháng]" caption="Tháng" numFmtId="0" hierarchy="131" level="1">
      <sharedItems containsString="0" containsBlank="1" containsNumber="1" containsInteger="1" minValue="1" maxValue="12" count="13">
        <m/>
        <n v="1"/>
        <n v="2"/>
        <n v="3"/>
        <n v="4"/>
        <n v="5"/>
        <n v="6"/>
        <n v="7"/>
        <n v="8"/>
        <n v="9"/>
        <n v="10"/>
        <n v="11"/>
        <n v="12"/>
      </sharedItems>
      <extLst>
        <ext xmlns:x15="http://schemas.microsoft.com/office/spreadsheetml/2010/11/main" uri="{4F2E5C28-24EA-4eb8-9CBF-B6C8F9C3D259}">
          <x15:cachedUniqueNames>
            <x15:cachedUniqueName index="1" name="[Table_KPI].[Tháng].&amp;[1]"/>
            <x15:cachedUniqueName index="2" name="[Table_KPI].[Tháng].&amp;[2]"/>
            <x15:cachedUniqueName index="3" name="[Table_KPI].[Tháng].&amp;[3]"/>
            <x15:cachedUniqueName index="4" name="[Table_KPI].[Tháng].&amp;[4]"/>
            <x15:cachedUniqueName index="5" name="[Table_KPI].[Tháng].&amp;[5]"/>
            <x15:cachedUniqueName index="6" name="[Table_KPI].[Tháng].&amp;[6]"/>
            <x15:cachedUniqueName index="7" name="[Table_KPI].[Tháng].&amp;[7]"/>
            <x15:cachedUniqueName index="8" name="[Table_KPI].[Tháng].&amp;[8]"/>
            <x15:cachedUniqueName index="9" name="[Table_KPI].[Tháng].&amp;[9]"/>
            <x15:cachedUniqueName index="10" name="[Table_KPI].[Tháng].&amp;[10]"/>
            <x15:cachedUniqueName index="11" name="[Table_KPI].[Tháng].&amp;[11]"/>
            <x15:cachedUniqueName index="12" name="[Table_KPI].[Tháng].&amp;[12]"/>
          </x15:cachedUniqueNames>
        </ext>
      </extLst>
    </cacheField>
    <cacheField name="[Measures].[Sum of Tỷ lệ KPI]" caption="Sum of Tỷ lệ KPI" numFmtId="0" hierarchy="254" level="32767"/>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2" memberValueDatatype="20" unbalanced="0">
      <fieldsUsage count="2">
        <fieldUsage x="-1"/>
        <fieldUsage x="5"/>
      </fieldsUsage>
    </cacheHierarchy>
    <cacheHierarchy uniqueName="[Table_KPI].[Tháng]" caption="Tháng" attribute="1" defaultMemberUniqueName="[Table_KPI].[Tháng].[All]" allUniqueName="[Table_KPI].[Tháng].[All]" dimensionUniqueName="[Table_KPI]" displayFolder="" count="2" memberValueDatatype="20" unbalanced="0">
      <fieldsUsage count="2">
        <fieldUsage x="-1"/>
        <fieldUsage x="6"/>
      </fieldsUsage>
    </cacheHierarchy>
    <cacheHierarchy uniqueName="[Table_KPI].[Nhân viên]" caption="Nhân viên" attribute="1" defaultMemberUniqueName="[Table_KPI].[Nhân viên].[All]" allUniqueName="[Table_KPI].[Nhân viên].[All]" dimensionUniqueName="[Table_KPI]" displayFolder="" count="2" memberValueDatatype="130" unbalanced="0">
      <fieldsUsage count="2">
        <fieldUsage x="-1"/>
        <fieldUsage x="1"/>
      </fieldsUsage>
    </cacheHierarchy>
    <cacheHierarchy uniqueName="[Table_KPI].[Kênh]" caption="Kênh" attribute="1" defaultMemberUniqueName="[Table_KPI].[Kênh].[All]" allUniqueName="[Table_KPI].[Kênh].[All]" dimensionUniqueName="[Table_KPI]" displayFolder="" count="2" memberValueDatatype="130" unbalanced="0">
      <fieldsUsage count="2">
        <fieldUsage x="-1"/>
        <fieldUsage x="2"/>
      </fieldsUsage>
    </cacheHierarchy>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oneField="1" hidden="1">
      <fieldsUsage count="1">
        <fieldUsage x="7"/>
      </fieldsUsage>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oneField="1" hidden="1">
      <fieldsUsage count="1">
        <fieldUsage x="3"/>
      </fieldsUsage>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oneField="1" hidden="1">
      <fieldsUsage count="1">
        <fieldUsage x="4"/>
      </fieldsUsage>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0949075" createdVersion="8" refreshedVersion="8" minRefreshableVersion="3" recordCount="3" xr:uid="{A2B86BA7-6DFE-4370-9A22-DBECFC9B7A0D}">
  <cacheSource type="worksheet">
    <worksheetSource name="Table_HieuQuaSX"/>
  </cacheSource>
  <cacheFields count="7">
    <cacheField name="Kỳ" numFmtId="173">
      <sharedItems containsSemiMixedTypes="0" containsNonDate="0" containsDate="1" containsString="0" minDate="2025-03-01T00:00:00" maxDate="2025-05-02T00:00:00" count="3">
        <d v="2025-03-01T00:00:00"/>
        <d v="2025-04-01T00:00:00"/>
        <d v="2025-05-01T00:00:00"/>
      </sharedItems>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Giá vốn mục tiêu" numFmtId="164">
      <sharedItems containsSemiMixedTypes="0" containsString="0" containsNumber="1" containsInteger="1" minValue="10000000" maxValue="25000000"/>
    </cacheField>
    <cacheField name="Giá vốn thực tế" numFmtId="164">
      <sharedItems containsSemiMixedTypes="0" containsString="0" containsNumber="1" minValue="8488470.3856612295" maxValue="27200000"/>
    </cacheField>
    <cacheField name="Hiệu quả" numFmtId="9">
      <sharedItems containsSemiMixedTypes="0" containsString="0" containsNumber="1" minValue="-8.8000000000000078E-2" maxValue="0.1511529614338770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4" xr:uid="{1358B5A8-71E0-404D-844B-3FC36351D681}">
  <cacheSource type="worksheet">
    <worksheetSource name="Table_HieuQuaSX_KHTieuThu"/>
  </cacheSource>
  <cacheFields count="8">
    <cacheField name="Nguyên liệu" numFmtId="0">
      <sharedItems containsBlank="1" count="3">
        <s v="NL1"/>
        <s v="NL2"/>
        <m/>
      </sharedItems>
    </cacheField>
    <cacheField name="Tiện ích sản xuất" numFmtId="0">
      <sharedItems containsBlank="1"/>
    </cacheField>
    <cacheField name="Đơn vị" numFmtId="0">
      <sharedItems containsSemiMixedTypes="0" containsString="0" containsNumber="1" containsInteger="1" minValue="0" maxValue="0"/>
    </cacheField>
    <cacheField name="Đơn giá" numFmtId="164">
      <sharedItems containsSemiMixedTypes="0" containsString="0" containsNumber="1" containsInteger="1" minValue="3000" maxValue="200000"/>
    </cacheField>
    <cacheField name="Tồn kho hiện tại" numFmtId="164">
      <sharedItems containsSemiMixedTypes="0" containsString="0" containsNumber="1" containsInteger="1" minValue="0" maxValue="169"/>
    </cacheField>
    <cacheField name="Số lượng cần đặt" numFmtId="164">
      <sharedItems containsSemiMixedTypes="0" containsString="0" containsNumber="1" minValue="264.68583830710799" maxValue="746.89799240368961"/>
    </cacheField>
    <cacheField name="Giá trị cần đặt" numFmtId="164">
      <sharedItems containsSemiMixedTypes="0" containsString="0" containsNumber="1" minValue="1238578.4047748237" maxValue="74689799.24036896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6" xr:uid="{184C310A-79D5-4520-9E4D-A4DF1B5B6E49}">
  <cacheSource type="worksheet">
    <worksheetSource name="Table_HieuQuaSX_DinhMuc"/>
  </cacheSource>
  <cacheFields count="14">
    <cacheField name="SKU" numFmtId="164">
      <sharedItems count="2">
        <s v="TP1"/>
        <s v="TP2"/>
      </sharedItems>
    </cacheField>
    <cacheField name="Đơn vị SKU" numFmtId="164">
      <sharedItems containsSemiMixedTypes="0" containsString="0" containsNumber="1" containsInteger="1" minValue="0" maxValue="0"/>
    </cacheField>
    <cacheField name="Sản lượng kế hoạch" numFmtId="164">
      <sharedItems containsSemiMixedTypes="0" containsString="0" containsNumber="1" containsInteger="1" minValue="200" maxValue="300"/>
    </cacheField>
    <cacheField name="Nguyên liệu" numFmtId="0">
      <sharedItems containsBlank="1"/>
    </cacheField>
    <cacheField name="Tiện ích sản xuất" numFmtId="0">
      <sharedItems containsBlank="1"/>
    </cacheField>
    <cacheField name="Đầu vào" numFmtId="0">
      <sharedItems count="6">
        <s v="NL1"/>
        <s v="NL2"/>
        <s v="Điện"/>
        <s v="Nước"/>
        <s v="Chi phí tiện ích - Năng lượng" u="1"/>
        <s v="Chi phí tiện ích - Cấp thoát nước" u="1"/>
      </sharedItems>
    </cacheField>
    <cacheField name="Đơn vị" numFmtId="0">
      <sharedItems containsMixedTypes="1" containsNumber="1" containsInteger="1" minValue="0" maxValue="0"/>
    </cacheField>
    <cacheField name="Định mức" numFmtId="43">
      <sharedItems containsSemiMixedTypes="0" containsString="0" containsNumber="1" minValue="0.4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3000" maxValue="200000"/>
    </cacheField>
    <cacheField name="Giá trị tiêu thụ" numFmtId="164">
      <sharedItems containsSemiMixedTypes="0" containsString="0" containsNumber="1" minValue="821052.6315789473" maxValue="49484536.082474224"/>
    </cacheField>
    <cacheField name="Giá vốn bình quân" numFmtId="164">
      <sharedItems containsSemiMixedTypes="0" containsString="0" containsNumber="1" minValue="4105.2631578947367" maxValue="210526.31578947368"/>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7598611111" createdVersion="8" refreshedVersion="8" minRefreshableVersion="3" recordCount="77" xr:uid="{C007B81A-5DED-4487-9848-4239BA821347}">
  <cacheSource type="worksheet">
    <worksheetSource name="Table_Main"/>
  </cacheSource>
  <cacheFields count="51">
    <cacheField name="Mã SKU" numFmtId="0">
      <sharedItems containsBlank="1"/>
    </cacheField>
    <cacheField name="Mã Nguyên liệu" numFmtId="0">
      <sharedItems containsBlank="1"/>
    </cacheField>
    <cacheField name="Đối tượng" numFmtId="0">
      <sharedItems containsMixedTypes="1" containsNumber="1" containsInteger="1" minValue="0" maxValue="0" count="6">
        <s v="TP2"/>
        <s v="TP1"/>
        <s v="NL1"/>
        <s v="NL2"/>
        <s v="HH1"/>
        <n v="0"/>
      </sharedItems>
    </cacheField>
    <cacheField name="Tồn kho đầu ngày" numFmtId="164">
      <sharedItems containsSemiMixedTypes="0" containsString="0" containsNumber="1" containsInteger="1" minValue="-5" maxValue="300"/>
    </cacheField>
    <cacheField name="Tồn kho cuối ngày" numFmtId="164">
      <sharedItems containsSemiMixedTypes="0" containsString="0" containsNumber="1" containsInteger="1" minValue="-5" maxValue="300"/>
    </cacheField>
    <cacheField name="Giá trị tồn đầu ngày" numFmtId="164">
      <sharedItems containsSemiMixedTypes="0" containsString="0" containsNumber="1" minValue="-450663.50746268593" maxValue="30000000"/>
    </cacheField>
    <cacheField name="Giá trị tồn cuối ngày" numFmtId="164">
      <sharedItems containsSemiMixedTypes="0" containsString="0" containsNumber="1" minValue="-450663.50746268593" maxValue="30000000"/>
    </cacheField>
    <cacheField name="Giá trị bình quân đầu ngày" numFmtId="164">
      <sharedItems containsSemiMixedTypes="0" containsString="0" containsNumber="1" minValue="0" maxValue="150000"/>
    </cacheField>
    <cacheField name="Giá trị bình quân cuối ngày" numFmtId="164">
      <sharedItems containsSemiMixedTypes="0" containsString="0" containsNumber="1" minValue="0" maxValue="150000"/>
    </cacheField>
    <cacheField name="Ngày xuất nhập" numFmtId="168">
      <sharedItems containsNonDate="0" containsDate="1" containsString="0" containsBlank="1" minDate="2025-03-04T00:00:00" maxDate="2025-06-01T00:00:00" count="60">
        <d v="2025-05-31T00:00:00"/>
        <d v="2025-05-30T00:00:00"/>
        <d v="2025-05-29T00:00:00"/>
        <d v="2025-05-28T00:00:00"/>
        <d v="2025-05-27T00:00:00"/>
        <d v="2025-05-25T00:00:00"/>
        <d v="2025-05-22T00:00:00"/>
        <d v="2025-05-19T00:00:00"/>
        <d v="2025-05-16T00:00:00"/>
        <d v="2025-05-15T00:00:00"/>
        <d v="2025-05-12T00:00:00"/>
        <d v="2025-05-11T00:00:00"/>
        <d v="2025-05-09T00:00:00"/>
        <d v="2025-05-07T00:00:00"/>
        <d v="2025-05-05T00:00:00"/>
        <d v="2025-05-02T00:00:00"/>
        <d v="2025-05-01T00:00:00"/>
        <d v="2025-04-30T00:00:00"/>
        <d v="2025-04-29T00:00:00"/>
        <d v="2025-04-28T00:00:00"/>
        <d v="2025-04-27T00:00:00"/>
        <d v="2025-04-26T00:00:00"/>
        <d v="2025-04-25T00:00:00"/>
        <d v="2025-04-24T00:00:00"/>
        <d v="2025-04-22T00:00:00"/>
        <d v="2025-04-18T00:00:00"/>
        <d v="2025-04-17T00:00:00"/>
        <d v="2025-04-15T00:00:00"/>
        <d v="2025-04-14T00:00:00"/>
        <d v="2025-04-12T00:00:00"/>
        <d v="2025-04-11T00:00:00"/>
        <d v="2025-04-09T00:00:00"/>
        <d v="2025-04-08T00:00:00"/>
        <d v="2025-04-07T00:00:00"/>
        <d v="2025-04-06T00:00:00"/>
        <d v="2025-04-04T00:00:00"/>
        <d v="2025-04-03T00:00:00"/>
        <d v="2025-03-30T00:00:00"/>
        <d v="2025-03-27T00:00:00"/>
        <d v="2025-03-26T00:00:00"/>
        <d v="2025-03-25T00:00:00"/>
        <d v="2025-03-21T00:00:00"/>
        <d v="2025-03-20T00:00:00"/>
        <d v="2025-03-19T00:00:00"/>
        <d v="2025-03-18T00:00:00"/>
        <d v="2025-03-17T00:00:00"/>
        <d v="2025-03-16T00:00:00"/>
        <d v="2025-03-14T00:00:00"/>
        <d v="2025-03-15T00:00:00"/>
        <d v="2025-03-13T00:00:00"/>
        <d v="2025-03-12T00:00:00"/>
        <d v="2025-03-10T00:00:00"/>
        <d v="2025-03-08T00:00:00"/>
        <d v="2025-03-06T00:00:00"/>
        <m/>
        <d v="2025-05-23T00:00:00" u="1"/>
        <d v="2025-05-20T00:00:00" u="1"/>
        <d v="2025-04-20T00:00:00" u="1"/>
        <d v="2025-03-28T00:00:00" u="1"/>
        <d v="2025-03-04T00:00:00" u="1"/>
      </sharedItems>
      <fieldGroup par="50"/>
    </cacheField>
    <cacheField name="Ngày lên đơn" numFmtId="168">
      <sharedItems containsSemiMixedTypes="0" containsNonDate="0" containsDate="1" containsString="0" minDate="1899-12-30T00:00:00" maxDate="2025-06-01T00:00:00" count="43">
        <d v="1899-12-30T00:00:00"/>
        <d v="2025-05-31T00:00:00"/>
        <d v="2025-05-28T00:00:00"/>
        <d v="2025-05-27T00:00:00"/>
        <d v="2025-05-25T00:00:00"/>
        <d v="2025-05-23T00:00:00"/>
        <d v="2025-05-20T00:00:00"/>
        <d v="2025-05-19T00:00:00"/>
        <d v="2025-05-16T00:00:00"/>
        <d v="2025-05-15T00:00:00"/>
        <d v="2025-05-11T00:00:00"/>
        <d v="2025-05-09T00:00:00"/>
        <d v="2025-05-07T00:00:00"/>
        <d v="2025-05-05T00:00:00"/>
        <d v="2025-05-02T00:00:00"/>
        <d v="2025-05-01T00:00:00"/>
        <d v="2025-04-30T00:00:00"/>
        <d v="2025-04-29T00:00:00"/>
        <d v="2025-04-28T00:00:00"/>
        <d v="2025-04-27T00:00:00"/>
        <d v="2025-04-25T00:00:00"/>
        <d v="2025-04-24T00:00:00"/>
        <d v="2025-04-20T00:00:00"/>
        <d v="2025-04-17T00:00:00"/>
        <d v="2025-04-15T00:00:00"/>
        <d v="2025-04-14T00:00:00"/>
        <d v="2025-04-11T00:00:00"/>
        <d v="2025-04-09T00:00:00"/>
        <d v="2025-04-08T00:00:00"/>
        <d v="2025-04-03T00:00:00"/>
        <d v="2025-03-30T00:00:00"/>
        <d v="2025-03-28T00:00:00"/>
        <d v="2025-03-27T00:00:00"/>
        <d v="2025-03-25T00:00:00"/>
        <d v="2025-03-21T00:00:00"/>
        <d v="2025-03-20T00:00:00"/>
        <d v="2025-03-19T00:00:00"/>
        <d v="2025-03-16T00:00:00"/>
        <d v="2025-03-14T00:00:00"/>
        <d v="2025-03-13T00:00:00"/>
        <d v="2025-03-12T00:00:00"/>
        <d v="2025-03-06T00:00:00"/>
        <d v="2025-03-04T00:00:00"/>
      </sharedItems>
      <fieldGroup par="48"/>
    </cacheField>
    <cacheField name="Tháng lên đơn" numFmtId="164">
      <sharedItems containsSemiMixedTypes="0" containsString="0" containsNumber="1" containsInteger="1" minValue="1" maxValue="5"/>
    </cacheField>
    <cacheField name="Ngày ship mua" numFmtId="0">
      <sharedItems containsMixedTypes="1" containsNumber="1" containsInteger="1" minValue="0" maxValue="3"/>
    </cacheField>
    <cacheField name="Loại" numFmtId="0">
      <sharedItems containsBlank="1"/>
    </cacheField>
    <cacheField name="Kho" numFmtId="0">
      <sharedItems containsBlank="1"/>
    </cacheField>
    <cacheField name="Số lượng" numFmtId="164">
      <sharedItems containsString="0" containsBlank="1" containsNumber="1" containsInteger="1" minValue="1" maxValue="300"/>
    </cacheField>
    <cacheField name="Đơn Mua" numFmtId="0">
      <sharedItems containsBlank="1" count="20">
        <m/>
        <s v="NHAP-NCC1-250528-"/>
        <s v="NHAP-NCC2-250527-"/>
        <s v="NHAP-NCC3-250525-"/>
        <s v="NHAP-NCC2-250523-"/>
        <s v="NHAP-NCC2-250520-"/>
        <s v="NHAP-NCC2-250511-"/>
        <s v="NHAP-NCC1-250505-"/>
        <s v="NHAP-NCC2-250501-"/>
        <s v="NHAP-NCC1-250428-"/>
        <s v="NHAP-NCC2-250425-"/>
        <s v="NHAP-NCC3-250420-"/>
        <s v="NHAP-NCC1-250417-"/>
        <s v="NHAP-NCC2-250328-"/>
        <s v="NHAP-NCC1-250321-"/>
        <s v="NHAP-NCC1-250316-"/>
        <s v="NHAP-NCC2-250314-"/>
        <s v="NHAP-NCC3-250312-"/>
        <s v="NHAP-NCC1-250306-"/>
        <s v="NHAP-NCC2-250304-"/>
      </sharedItems>
    </cacheField>
    <cacheField name="Nhà cung cấp" numFmtId="0">
      <sharedItems containsMixedTypes="1" containsNumber="1" containsInteger="1" minValue="0" maxValue="0" count="4">
        <n v="0"/>
        <s v="NCC1"/>
        <s v="NCC2"/>
        <s v="NCC3"/>
      </sharedItems>
    </cacheField>
    <cacheField name="Giá nhập" numFmtId="164">
      <sharedItems containsString="0" containsBlank="1" containsNumber="1" containsInteger="1" minValue="56213" maxValue="150000"/>
    </cacheField>
    <cacheField name="Giá trị hàng nhập" numFmtId="164">
      <sharedItems containsSemiMixedTypes="0" containsString="0" containsNumber="1" minValue="0" maxValue="30000000"/>
    </cacheField>
    <cacheField name="Tỷ suất VAT khấu trừ" numFmtId="9">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Đơn bán" numFmtId="0">
      <sharedItems containsBlank="1"/>
    </cacheField>
    <cacheField name="Khách hàng" numFmtId="0">
      <sharedItems containsMixedTypes="1" containsNumber="1" containsInteger="1" minValue="0" maxValue="0"/>
    </cacheField>
    <cacheField name="Giá bán niêm yết" numFmtId="164">
      <sharedItems containsSemiMixedTypes="0" containsString="0" containsNumber="1" containsInteger="1" minValue="0" maxValue="500000"/>
    </cacheField>
    <cacheField name="Thành tiền niêm yết" numFmtId="164">
      <sharedItems containsSemiMixedTypes="0" containsString="0" containsNumber="1" containsInteger="1" minValue="0" maxValue="24000000"/>
    </cacheField>
    <cacheField name="Chương trình" numFmtId="0">
      <sharedItems containsNonDate="0" containsString="0" containsBlank="1"/>
    </cacheField>
    <cacheField name="Tỷ lệ CK" numFmtId="165">
      <sharedItems containsSemiMixedTypes="0" containsString="0" containsNumber="1" containsInteger="1" minValue="0" maxValue="0"/>
    </cacheField>
    <cacheField name="Giá trị CK" numFmtId="164">
      <sharedItems containsMixedTypes="1" containsNumber="1" containsInteger="1" minValue="0" maxValue="0"/>
    </cacheField>
    <cacheField name="Giá trị bán trước VAT" numFmtId="164">
      <sharedItems containsSemiMixedTypes="0" containsString="0" containsNumber="1" containsInteger="1" minValue="0" maxValue="24000000"/>
    </cacheField>
    <cacheField name="VAT" numFmtId="164">
      <sharedItems containsSemiMixedTypes="0" containsString="0" containsNumber="1" containsInteger="1" minValue="0" maxValue="0"/>
    </cacheField>
    <cacheField name="NV Bán hàng" numFmtId="0">
      <sharedItems containsSemiMixedTypes="0" containsString="0" containsNumber="1" containsInteger="1" minValue="0" maxValue="0"/>
    </cacheField>
    <cacheField name="Tỷ lệ hoa hồng" numFmtId="9">
      <sharedItems containsSemiMixedTypes="0" containsString="0" containsNumber="1" containsInteger="1" minValue="0" maxValue="0"/>
    </cacheField>
    <cacheField name="Hoa hồng" numFmtId="164">
      <sharedItems containsSemiMixedTypes="0" containsString="0" containsNumber="1" containsInteger="1" minValue="0" maxValue="0"/>
    </cacheField>
    <cacheField name="Kênh" numFmtId="164">
      <sharedItems containsSemiMixedTypes="0" containsString="0" containsNumber="1" containsInteger="1" minValue="0" maxValue="0"/>
    </cacheField>
    <cacheField name="Tỷ lệ CK kênh" numFmtId="9">
      <sharedItems containsSemiMixedTypes="0" containsString="0" containsNumber="1" containsInteger="1" minValue="0" maxValue="0"/>
    </cacheField>
    <cacheField name="CK kênh" numFmtId="164">
      <sharedItems containsSemiMixedTypes="0" containsString="0" containsNumber="1" containsInteger="1" minValue="0" maxValue="0"/>
    </cacheField>
    <cacheField name="Vận đơn bán" numFmtId="0">
      <sharedItems containsNonDate="0" containsString="0" containsBlank="1"/>
    </cacheField>
    <cacheField name="Add" numFmtId="0">
      <sharedItems containsNonDate="0" containsString="0" containsBlank="1"/>
    </cacheField>
    <cacheField name="Tổng hợp ĐK" numFmtId="0">
      <sharedItems containsSemiMixedTypes="0" containsString="0" containsNumber="1" containsInteger="1" minValue="1" maxValue="1"/>
    </cacheField>
    <cacheField name="ĐK - Phân loại" numFmtId="0">
      <sharedItems containsSemiMixedTypes="0" containsString="0" containsNumber="1" containsInteger="1" minValue="1" maxValue="1"/>
    </cacheField>
    <cacheField name="ĐK - Thời gian" numFmtId="0">
      <sharedItems containsSemiMixedTypes="0" containsString="0" containsNumber="1" containsInteger="1" minValue="1" maxValue="1"/>
    </cacheField>
    <cacheField name="ĐK - Giá trị" numFmtId="0">
      <sharedItems containsSemiMixedTypes="0" containsString="0" containsNumber="1" containsInteger="1" minValue="1" maxValue="1"/>
    </cacheField>
    <cacheField name="ĐK - Số lượng" numFmtId="0">
      <sharedItems containsSemiMixedTypes="0" containsString="0" containsNumber="1" containsInteger="1" minValue="1" maxValue="1"/>
    </cacheField>
    <cacheField name="ĐK - Sinh nhật" numFmtId="0">
      <sharedItems containsSemiMixedTypes="0" containsString="0" containsNumber="1" containsInteger="1" minValue="1" maxValue="1"/>
    </cacheField>
    <cacheField name="ĐK - Ngày mua cuối" numFmtId="0">
      <sharedItems containsSemiMixedTypes="0" containsString="0" containsNumber="1" containsInteger="1" minValue="1" maxValue="1"/>
    </cacheField>
    <cacheField name="Months (Ngày lên đơn)" numFmtId="0" databaseField="0">
      <fieldGroup base="10">
        <rangePr groupBy="months" startDate="1899-12-30T00:00:00" endDate="2025-06-01T00:00:00"/>
        <groupItems count="14">
          <s v="&lt;00-01-00"/>
          <s v="Jan"/>
          <s v="Feb"/>
          <s v="Mar"/>
          <s v="Apr"/>
          <s v="May"/>
          <s v="Jun"/>
          <s v="Jul"/>
          <s v="Aug"/>
          <s v="Sep"/>
          <s v="Oct"/>
          <s v="Nov"/>
          <s v="Dec"/>
          <s v="&gt;01-06-25"/>
        </groupItems>
      </fieldGroup>
    </cacheField>
    <cacheField name="Quarters (Ngày lên đơn)" numFmtId="0" databaseField="0">
      <fieldGroup base="10">
        <rangePr groupBy="quarters" startDate="1899-12-30T00:00:00" endDate="2025-06-01T00:00:00"/>
        <groupItems count="6">
          <s v="&lt;00-01-00"/>
          <s v="Qtr1"/>
          <s v="Qtr2"/>
          <s v="Qtr3"/>
          <s v="Qtr4"/>
          <s v="&gt;01-06-25"/>
        </groupItems>
      </fieldGroup>
    </cacheField>
    <cacheField name="Years (Ngày lên đơn)" numFmtId="0" databaseField="0">
      <fieldGroup base="10">
        <rangePr groupBy="years" startDate="1899-12-30T00:00:00" endDate="2025-06-01T00:00:00"/>
        <groupItems count="128">
          <s v="&lt;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01-06-25"/>
        </groupItems>
      </fieldGroup>
    </cacheField>
    <cacheField name="Days (Ngày xuất nhập)" numFmtId="0" databaseField="0">
      <fieldGroup base="9">
        <rangePr groupBy="days" startDate="2025-03-06T00:00:00" endDate="2025-06-0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xuất nhập)" numFmtId="0" databaseField="0">
      <fieldGroup base="9">
        <rangePr groupBy="months" startDate="2025-03-06T00:00:00" endDate="2025-06-01T00:00:00"/>
        <groupItems count="14">
          <s v="&lt;06-03-25"/>
          <s v="Jan"/>
          <s v="Feb"/>
          <s v="Mar"/>
          <s v="Apr"/>
          <s v="May"/>
          <s v="Jun"/>
          <s v="Jul"/>
          <s v="Aug"/>
          <s v="Sep"/>
          <s v="Oct"/>
          <s v="Nov"/>
          <s v="Dec"/>
          <s v="&gt;01-06-25"/>
        </groupItems>
      </fieldGroup>
    </cacheField>
  </cacheFields>
  <extLst>
    <ext xmlns:x14="http://schemas.microsoft.com/office/spreadsheetml/2009/9/main" uri="{725AE2AE-9491-48be-B2B4-4EB974FC3084}">
      <x14:pivotCacheDefinition pivotCacheId="2067743822"/>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1041669" backgroundQuery="1" createdVersion="3" refreshedVersion="8" minRefreshableVersion="3" recordCount="0" supportSubquery="1" supportAdvancedDrill="1" xr:uid="{77AD8B47-9C10-4204-9D38-721AFAA3DD4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licerData="1" pivotCacheId="1629187186"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3935186" backgroundQuery="1" createdVersion="3" refreshedVersion="8" minRefreshableVersion="3" recordCount="0" supportSubquery="1" supportAdvancedDrill="1" xr:uid="{BEFFA31A-1ECA-4854-98AF-A867E0E7FCE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20286744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7569444" backgroundQuery="1" createdVersion="3" refreshedVersion="8" minRefreshableVersion="3" recordCount="0" supportSubquery="1" supportAdvancedDrill="1" xr:uid="{66240F4F-F180-4B6C-A056-A4B264BE7BA0}">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48668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398148" backgroundQuery="1" createdVersion="3" refreshedVersion="8" minRefreshableVersion="3" recordCount="0" supportSubquery="1" supportAdvancedDrill="1" xr:uid="{0CB38CD6-C1D0-4FD5-99BA-881BB78FDBF4}">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890423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n v="2025"/>
    <n v="10"/>
    <x v="0"/>
    <s v="Một lần"/>
    <d v="2025-07-31T00:00:00"/>
    <d v="1899-12-30T00:00:00"/>
    <d v="2025-10-30T00:00:00"/>
    <n v="0.06"/>
    <n v="100000000"/>
    <n v="100000000"/>
    <n v="500000"/>
    <n v="500000"/>
    <n v="100500000"/>
    <n v="500000"/>
    <x v="0"/>
    <n v="101500000"/>
    <m/>
  </r>
  <r>
    <d v="2025-09-01T00:00:00"/>
    <n v="2025"/>
    <n v="9"/>
    <x v="0"/>
    <s v="Một lần"/>
    <d v="2025-07-31T00:00:00"/>
    <d v="1899-12-30T00:00:00"/>
    <d v="2025-10-30T00:00:00"/>
    <n v="0.06"/>
    <n v="100000000"/>
    <n v="0"/>
    <n v="500000"/>
    <n v="500000"/>
    <n v="500000"/>
    <n v="500000"/>
    <x v="1"/>
    <n v="1000000"/>
    <m/>
  </r>
  <r>
    <d v="2025-08-01T00:00:00"/>
    <n v="2025"/>
    <n v="8"/>
    <x v="0"/>
    <s v="Một lần"/>
    <d v="2025-07-31T00:00:00"/>
    <d v="1899-12-30T00:00:00"/>
    <d v="2025-10-30T00:00:00"/>
    <n v="0.06"/>
    <n v="100000000"/>
    <n v="0"/>
    <n v="500000"/>
    <n v="500000"/>
    <n v="500000"/>
    <n v="500000"/>
    <x v="2"/>
    <n v="500000"/>
    <m/>
  </r>
  <r>
    <d v="2026-12-01T00:00:00"/>
    <n v="2026"/>
    <m/>
    <x v="1"/>
    <s v="Một lần"/>
    <d v="2025-05-15T00:00:00"/>
    <d v="1899-12-30T00:00:00"/>
    <d v="2026-05-15T00:00:00"/>
    <n v="0.08"/>
    <n v="650000000"/>
    <n v="650000000"/>
    <n v="52000000"/>
    <n v="52000000"/>
    <n v="702000000"/>
    <n v="52000000"/>
    <x v="3"/>
    <n v="702000000"/>
    <m/>
  </r>
  <r>
    <d v="2025-09-01T00:00:00"/>
    <n v="2025"/>
    <n v="9"/>
    <x v="2"/>
    <s v="Theo tháng"/>
    <d v="2025-03-02T00:00:00"/>
    <d v="2025-04-02T00:00:00"/>
    <d v="2025-09-01T00:00:00"/>
    <n v="7.0000000000000007E-2"/>
    <n v="33333333.333333343"/>
    <n v="33333333.333333332"/>
    <n v="194444.44444444453"/>
    <n v="194444.44444444453"/>
    <n v="33527777.777777776"/>
    <n v="194444.44444444453"/>
    <x v="4"/>
    <n v="204083333.33333331"/>
    <m/>
  </r>
  <r>
    <d v="2025-08-01T00:00:00"/>
    <n v="2025"/>
    <n v="8"/>
    <x v="2"/>
    <s v="Theo tháng"/>
    <d v="2025-03-02T00:00:00"/>
    <d v="2025-04-02T00:00:00"/>
    <d v="2025-09-01T00:00:00"/>
    <n v="7.0000000000000007E-2"/>
    <n v="66666666.666666672"/>
    <n v="33333333.333333332"/>
    <n v="388888.88888888899"/>
    <n v="388888.88888888899"/>
    <n v="33722222.222222224"/>
    <n v="388888.88888888899"/>
    <x v="5"/>
    <n v="170555555.55555555"/>
    <m/>
  </r>
  <r>
    <d v="2025-07-01T00:00:00"/>
    <n v="2025"/>
    <n v="7"/>
    <x v="2"/>
    <s v="Theo tháng"/>
    <d v="2025-03-02T00:00:00"/>
    <d v="2025-04-02T00:00:00"/>
    <d v="2025-09-01T00:00:00"/>
    <n v="7.0000000000000007E-2"/>
    <n v="100000000"/>
    <n v="33333333.333333332"/>
    <n v="583333.33333333337"/>
    <n v="583333.33333333337"/>
    <n v="33916666.666666664"/>
    <n v="583333.33333333337"/>
    <x v="6"/>
    <n v="136833333.33333331"/>
    <m/>
  </r>
  <r>
    <d v="2025-06-01T00:00:00"/>
    <n v="2025"/>
    <n v="6"/>
    <x v="2"/>
    <s v="Theo tháng"/>
    <d v="2025-03-02T00:00:00"/>
    <d v="2025-04-02T00:00:00"/>
    <d v="2025-09-01T00:00:00"/>
    <n v="7.0000000000000007E-2"/>
    <n v="133333333.33333334"/>
    <n v="33333333.333333332"/>
    <n v="777777.77777777798"/>
    <n v="777777.77777777798"/>
    <n v="34111111.111111112"/>
    <n v="777777.77777777798"/>
    <x v="7"/>
    <n v="102916666.66666666"/>
    <m/>
  </r>
  <r>
    <d v="2025-05-01T00:00:00"/>
    <n v="2025"/>
    <n v="5"/>
    <x v="2"/>
    <s v="Theo tháng"/>
    <d v="2025-03-02T00:00:00"/>
    <d v="2025-04-02T00:00:00"/>
    <d v="2025-09-01T00:00:00"/>
    <n v="7.0000000000000007E-2"/>
    <n v="166666666.66666666"/>
    <n v="33333333.333333332"/>
    <n v="972222.22222222236"/>
    <n v="972222.22222222236"/>
    <n v="34305555.555555552"/>
    <n v="972222.22222222236"/>
    <x v="8"/>
    <n v="68805555.555555552"/>
    <m/>
  </r>
  <r>
    <d v="2025-04-01T00:00:00"/>
    <n v="2025"/>
    <n v="4"/>
    <x v="2"/>
    <s v="Theo tháng"/>
    <d v="2025-03-02T00:00:00"/>
    <d v="2025-04-02T00:00:00"/>
    <d v="2025-09-01T00:00:00"/>
    <n v="7.0000000000000007E-2"/>
    <n v="200000000"/>
    <n v="33333333.333333332"/>
    <n v="1166666.6666666667"/>
    <n v="1166666.6666666667"/>
    <n v="34500000"/>
    <n v="1166666.6666666667"/>
    <x v="9"/>
    <n v="34500000"/>
    <m/>
  </r>
  <r>
    <d v="2027-12-01T00:00:00"/>
    <n v="2027"/>
    <m/>
    <x v="3"/>
    <s v="Theo năm"/>
    <d v="2024-02-24T00:00:00"/>
    <d v="2025-02-24T00:00:00"/>
    <d v="2027-02-25T00:00:00"/>
    <n v="0.1"/>
    <n v="1666666666.6666665"/>
    <n v="1666666666.6666665"/>
    <n v="27777777.777777776"/>
    <n v="2314814.8148148148"/>
    <n v="1694444444.4444442"/>
    <n v="2314814.8148148148"/>
    <x v="10"/>
    <n v="5861111111.1111107"/>
    <m/>
  </r>
  <r>
    <d v="2026-12-01T00:00:00"/>
    <n v="2026"/>
    <m/>
    <x v="3"/>
    <s v="Theo năm"/>
    <d v="2024-02-24T00:00:00"/>
    <d v="2025-02-24T00:00:00"/>
    <d v="2027-02-25T00:00:00"/>
    <n v="0.1"/>
    <n v="3333333333.333333"/>
    <n v="1666666666.6666667"/>
    <n v="333333333.33333331"/>
    <n v="27777777.777777776"/>
    <n v="2000000000"/>
    <n v="27777777.777777776"/>
    <x v="11"/>
    <n v="4166666666.666667"/>
    <m/>
  </r>
  <r>
    <d v="2025-12-01T00:00:00"/>
    <n v="2025"/>
    <m/>
    <x v="3"/>
    <s v="Theo năm"/>
    <d v="2024-02-24T00:00:00"/>
    <d v="2025-02-24T00:00:00"/>
    <d v="2027-02-25T00:00:00"/>
    <n v="0.1"/>
    <n v="5000000000"/>
    <n v="1666666666.6666667"/>
    <n v="500000000"/>
    <n v="41666666.666666664"/>
    <n v="2166666666.666667"/>
    <n v="41666666.666666664"/>
    <x v="12"/>
    <n v="2166666666.66666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m/>
    <m/>
    <n v="350000000"/>
    <d v="2023-09-06T00:00:00"/>
    <n v="10"/>
    <n v="120"/>
    <d v="2023-09-06T00:00:00"/>
    <m/>
    <d v="2033-09-06T00:00:00"/>
    <n v="2916666.6666666665"/>
    <m/>
    <m/>
    <n v="0"/>
    <n v="643"/>
    <n v="61615331.964407936"/>
    <n v="0.17604380561259411"/>
    <n v="288384668.03559208"/>
    <n v="3010"/>
    <m/>
  </r>
  <r>
    <x v="1"/>
    <m/>
    <s v="Văn phòng"/>
    <x v="1"/>
    <m/>
    <m/>
    <n v="25000000"/>
    <d v="2024-02-14T00:00:00"/>
    <n v="3"/>
    <n v="36"/>
    <d v="2024-02-14T00:00:00"/>
    <m/>
    <d v="2027-02-14T00:00:00"/>
    <n v="694444.4444444445"/>
    <m/>
    <m/>
    <n v="0"/>
    <n v="482"/>
    <n v="10997033.994980607"/>
    <n v="0.43988135979922427"/>
    <n v="14002966.005019393"/>
    <n v="614"/>
    <m/>
  </r>
  <r>
    <x v="2"/>
    <m/>
    <s v="Văn phòng"/>
    <x v="2"/>
    <m/>
    <m/>
    <n v="500000000"/>
    <d v="2024-02-14T00:00:00"/>
    <n v="5"/>
    <n v="60"/>
    <d v="2024-04-18T00:00:00"/>
    <m/>
    <d v="2029-04-18T00:00:00"/>
    <n v="8333333.333333333"/>
    <m/>
    <m/>
    <n v="0"/>
    <n v="418"/>
    <n v="114442162.90212183"/>
    <n v="0.22888432580424364"/>
    <n v="385557837.09787816"/>
    <n v="1408"/>
    <m/>
  </r>
  <r>
    <x v="3"/>
    <m/>
    <s v="Bán hàng"/>
    <x v="3"/>
    <m/>
    <m/>
    <n v="1000000000"/>
    <d v="2023-10-24T00:00:00"/>
    <n v="10"/>
    <n v="120"/>
    <d v="2023-10-24T00:00:00"/>
    <m/>
    <d v="2033-10-24T00:00:00"/>
    <n v="8333333.333333333"/>
    <m/>
    <m/>
    <n v="0"/>
    <n v="595"/>
    <n v="162902121.83436003"/>
    <n v="0.16290212183436004"/>
    <n v="837097878.16564"/>
    <n v="3058"/>
    <m/>
  </r>
  <r>
    <x v="4"/>
    <m/>
    <s v="Sản xuất"/>
    <x v="4"/>
    <m/>
    <m/>
    <n v="5000000000"/>
    <d v="2023-09-06T00:00:00"/>
    <n v="20"/>
    <n v="240"/>
    <d v="2023-09-06T00:00:00"/>
    <m/>
    <d v="2043-09-06T00:00:00"/>
    <n v="20833333.333333332"/>
    <m/>
    <m/>
    <n v="0"/>
    <n v="643"/>
    <n v="440109514.03148526"/>
    <n v="8.8021902806297056E-2"/>
    <n v="4559890485.9685144"/>
    <n v="6662"/>
    <m/>
  </r>
  <r>
    <x v="5"/>
    <m/>
    <s v="Sản xuất"/>
    <x v="5"/>
    <m/>
    <m/>
    <n v="3000000000"/>
    <d v="2023-03-12T00:00:00"/>
    <n v="25"/>
    <n v="300"/>
    <d v="2023-03-12T00:00:00"/>
    <m/>
    <d v="2048-03-11T00:00:00"/>
    <n v="10000000"/>
    <m/>
    <m/>
    <n v="0"/>
    <n v="821"/>
    <n v="269733059.54825461"/>
    <n v="8.9911019849418197E-2"/>
    <n v="2730266940.4517455"/>
    <n v="831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n v="51111111.111111104"/>
    <m/>
  </r>
  <r>
    <x v="1"/>
    <n v="2025"/>
    <n v="11"/>
    <n v="51111111.111111104"/>
    <n v="30833333.333333332"/>
    <n v="11250000"/>
    <n v="9027777.777777778"/>
    <n v="51111111.111111104"/>
    <m/>
  </r>
  <r>
    <x v="2"/>
    <n v="2025"/>
    <n v="10"/>
    <n v="51111111.111111104"/>
    <n v="30833333.333333332"/>
    <n v="11250000"/>
    <n v="9027777.777777778"/>
    <n v="51111111.111111104"/>
    <m/>
  </r>
  <r>
    <x v="3"/>
    <n v="2025"/>
    <n v="9"/>
    <n v="51111111.111111104"/>
    <n v="30833333.333333332"/>
    <n v="11250000"/>
    <n v="9027777.777777778"/>
    <n v="51111111.111111104"/>
    <m/>
  </r>
  <r>
    <x v="4"/>
    <n v="2025"/>
    <n v="8"/>
    <n v="51111111.111111104"/>
    <n v="30833333.333333332"/>
    <n v="11250000"/>
    <n v="9027777.777777778"/>
    <n v="51111111.111111104"/>
    <m/>
  </r>
  <r>
    <x v="5"/>
    <n v="2025"/>
    <n v="7"/>
    <n v="51111111.111111104"/>
    <n v="30833333.333333332"/>
    <n v="11250000"/>
    <n v="9027777.777777778"/>
    <n v="51111111.111111104"/>
    <m/>
  </r>
  <r>
    <x v="6"/>
    <n v="2025"/>
    <n v="6"/>
    <n v="51111111.111111104"/>
    <n v="30833333.333333332"/>
    <n v="11250000"/>
    <n v="9027777.777777778"/>
    <n v="51111111.111111104"/>
    <m/>
  </r>
  <r>
    <x v="7"/>
    <n v="2025"/>
    <n v="5"/>
    <n v="51111111.111111104"/>
    <n v="30833333.333333332"/>
    <n v="11250000"/>
    <n v="9027777.777777778"/>
    <n v="51111111.111111104"/>
    <m/>
  </r>
  <r>
    <x v="8"/>
    <n v="2025"/>
    <n v="4"/>
    <n v="51111111.111111104"/>
    <n v="30833333.333333332"/>
    <n v="11250000"/>
    <n v="9027777.777777778"/>
    <n v="51111111.111111104"/>
    <m/>
  </r>
  <r>
    <x v="9"/>
    <n v="2025"/>
    <n v="3"/>
    <n v="51111111.111111104"/>
    <n v="30833333.333333332"/>
    <n v="11250000"/>
    <n v="9027777.777777778"/>
    <n v="51111111.111111104"/>
    <m/>
  </r>
  <r>
    <x v="10"/>
    <n v="2025"/>
    <n v="2"/>
    <n v="51111111.111111104"/>
    <n v="30833333.333333332"/>
    <n v="11250000"/>
    <n v="9027777.777777778"/>
    <n v="51111111.111111104"/>
    <m/>
  </r>
  <r>
    <x v="11"/>
    <n v="2025"/>
    <n v="1"/>
    <n v="51111111.111111104"/>
    <n v="30833333.333333332"/>
    <n v="11250000"/>
    <n v="9027777.777777778"/>
    <n v="51111111.111111104"/>
    <m/>
  </r>
  <r>
    <x v="12"/>
    <n v="2024"/>
    <n v="12"/>
    <n v="51111111.111111104"/>
    <n v="30833333.333333332"/>
    <n v="11250000"/>
    <n v="9027777.777777778"/>
    <n v="51111111.111111104"/>
    <m/>
  </r>
  <r>
    <x v="13"/>
    <n v="2024"/>
    <n v="11"/>
    <n v="51111111.111111104"/>
    <n v="30833333.333333332"/>
    <n v="11250000"/>
    <n v="9027777.777777778"/>
    <n v="51111111.111111104"/>
    <m/>
  </r>
  <r>
    <x v="14"/>
    <n v="2024"/>
    <n v="10"/>
    <n v="51111111.111111104"/>
    <n v="30833333.333333332"/>
    <n v="11250000"/>
    <n v="9027777.777777778"/>
    <n v="51111111.111111104"/>
    <m/>
  </r>
  <r>
    <x v="15"/>
    <n v="2024"/>
    <n v="9"/>
    <n v="51111111.111111104"/>
    <n v="30833333.333333332"/>
    <n v="11250000"/>
    <n v="9027777.777777778"/>
    <n v="51111111.111111104"/>
    <m/>
  </r>
  <r>
    <x v="16"/>
    <n v="2024"/>
    <n v="8"/>
    <n v="51111111.111111104"/>
    <n v="30833333.333333332"/>
    <n v="11250000"/>
    <n v="9027777.777777778"/>
    <n v="51111111.111111104"/>
    <m/>
  </r>
  <r>
    <x v="17"/>
    <n v="2024"/>
    <n v="7"/>
    <n v="51111111.111111104"/>
    <n v="30833333.333333332"/>
    <n v="11250000"/>
    <n v="9027777.777777778"/>
    <n v="51111111.111111104"/>
    <m/>
  </r>
  <r>
    <x v="18"/>
    <n v="2024"/>
    <n v="6"/>
    <n v="51111111.111111104"/>
    <n v="30833333.333333332"/>
    <n v="11250000"/>
    <n v="9027777.777777778"/>
    <n v="51111111.111111104"/>
    <m/>
  </r>
  <r>
    <x v="19"/>
    <n v="2024"/>
    <n v="5"/>
    <n v="51111111.111111104"/>
    <n v="30833333.333333332"/>
    <n v="11250000"/>
    <n v="9027777.777777778"/>
    <n v="51111111.111111104"/>
    <m/>
  </r>
  <r>
    <x v="20"/>
    <n v="2024"/>
    <n v="4"/>
    <n v="42777777.777777776"/>
    <n v="30833333.333333332"/>
    <n v="11250000"/>
    <n v="694444.4444444445"/>
    <n v="42777777.777777776"/>
    <m/>
  </r>
  <r>
    <x v="21"/>
    <n v="2024"/>
    <n v="3"/>
    <n v="42777777.777777776"/>
    <n v="30833333.333333332"/>
    <n v="11250000"/>
    <n v="694444.4444444445"/>
    <n v="42777777.777777776"/>
    <m/>
  </r>
  <r>
    <x v="22"/>
    <n v="2024"/>
    <n v="2"/>
    <n v="42083333.333333328"/>
    <n v="30833333.333333332"/>
    <n v="11250000"/>
    <n v="0"/>
    <n v="42083333.333333328"/>
    <m/>
  </r>
  <r>
    <x v="23"/>
    <n v="2024"/>
    <n v="1"/>
    <n v="42083333.333333328"/>
    <n v="30833333.333333332"/>
    <n v="11250000"/>
    <n v="0"/>
    <n v="42083333.333333328"/>
    <m/>
  </r>
  <r>
    <x v="24"/>
    <n v="2023"/>
    <n v="12"/>
    <n v="42083333.333333328"/>
    <n v="30833333.333333332"/>
    <n v="11250000"/>
    <n v="0"/>
    <n v="42083333.333333328"/>
    <m/>
  </r>
  <r>
    <x v="25"/>
    <n v="2023"/>
    <n v="11"/>
    <n v="42083333.333333328"/>
    <n v="30833333.333333332"/>
    <n v="11250000"/>
    <n v="0"/>
    <n v="42083333.333333328"/>
    <m/>
  </r>
  <r>
    <x v="26"/>
    <n v="2023"/>
    <n v="10"/>
    <n v="33750000"/>
    <n v="30833333.333333332"/>
    <n v="2916666.6666666665"/>
    <n v="0"/>
    <n v="33750000"/>
    <m/>
  </r>
  <r>
    <x v="27"/>
    <n v="2023"/>
    <n v="9"/>
    <n v="10000000"/>
    <n v="10000000"/>
    <n v="0"/>
    <n v="0"/>
    <n v="10000000"/>
    <m/>
  </r>
  <r>
    <x v="28"/>
    <n v="2023"/>
    <n v="8"/>
    <n v="10000000"/>
    <n v="10000000"/>
    <n v="0"/>
    <n v="0"/>
    <n v="10000000"/>
    <m/>
  </r>
  <r>
    <x v="29"/>
    <n v="2023"/>
    <n v="7"/>
    <n v="10000000"/>
    <n v="10000000"/>
    <n v="0"/>
    <n v="0"/>
    <n v="10000000"/>
    <m/>
  </r>
  <r>
    <x v="30"/>
    <n v="2023"/>
    <n v="6"/>
    <n v="10000000"/>
    <n v="10000000"/>
    <n v="0"/>
    <n v="0"/>
    <n v="10000000"/>
    <m/>
  </r>
  <r>
    <x v="31"/>
    <n v="2023"/>
    <n v="5"/>
    <n v="10000000"/>
    <n v="10000000"/>
    <n v="0"/>
    <n v="0"/>
    <n v="10000000"/>
    <m/>
  </r>
  <r>
    <x v="32"/>
    <n v="2023"/>
    <n v="4"/>
    <n v="10000000"/>
    <n v="10000000"/>
    <n v="0"/>
    <n v="0"/>
    <n v="10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3.054347826086957"/>
    <n v="69.163043478260875"/>
    <n v="69"/>
    <n v="2.1956521739130435"/>
    <n v="0.05"/>
    <n v="30"/>
    <n v="0"/>
    <d v="2025-06-20T00:00:00"/>
    <n v="0"/>
    <n v="0"/>
    <m/>
  </r>
  <r>
    <x v="1"/>
    <n v="23.947826086956525"/>
    <n v="71.843478260869574"/>
    <n v="85"/>
    <n v="2.2173913043478262"/>
    <n v="0.08"/>
    <n v="36"/>
    <n v="3"/>
    <d v="2025-06-23T00:00:00"/>
    <n v="0"/>
    <n v="0"/>
    <m/>
  </r>
  <r>
    <x v="2"/>
    <n v="21.641304347826093"/>
    <n v="64.923913043478279"/>
    <n v="22"/>
    <n v="1.9673913043478262"/>
    <n v="0.1"/>
    <n v="11"/>
    <n v="2"/>
    <d v="2025-05-30T00:00:00"/>
    <n v="45.446739130434793"/>
    <n v="0"/>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5"/>
    <s v="TP2"/>
    <m/>
    <x v="0"/>
    <x v="0"/>
    <x v="0"/>
    <n v="20"/>
    <n v="67"/>
    <n v="42"/>
    <n v="45"/>
    <m/>
    <n v="-45"/>
    <n v="67"/>
    <n v="42"/>
    <n v="0"/>
    <n v="0"/>
    <n v="0"/>
    <n v="0"/>
    <n v="0"/>
    <n v="0"/>
    <n v="0"/>
    <m/>
    <m/>
  </r>
  <r>
    <x v="0"/>
    <n v="2025"/>
    <n v="5"/>
    <s v="TP1"/>
    <m/>
    <x v="0"/>
    <x v="1"/>
    <x v="0"/>
    <n v="146"/>
    <n v="11"/>
    <n v="91"/>
    <n v="66"/>
    <m/>
    <n v="-66"/>
    <n v="11"/>
    <n v="91"/>
    <n v="0"/>
    <n v="0"/>
    <n v="0"/>
    <n v="0"/>
    <n v="0"/>
    <n v="0"/>
    <n v="0"/>
    <m/>
    <m/>
  </r>
  <r>
    <x v="0"/>
    <n v="2025"/>
    <n v="5"/>
    <s v="HH1"/>
    <m/>
    <x v="1"/>
    <x v="2"/>
    <x v="0"/>
    <n v="8"/>
    <n v="85"/>
    <n v="24"/>
    <n v="69"/>
    <m/>
    <n v="-69"/>
    <n v="0"/>
    <n v="24"/>
    <n v="1425692.7462686568"/>
    <n v="1425692.7462686568"/>
    <n v="6022420.7462686561"/>
    <n v="0"/>
    <n v="6022420.7462686561"/>
    <n v="0"/>
    <n v="0"/>
    <n v="304294.31268656714"/>
    <m/>
  </r>
  <r>
    <x v="0"/>
    <n v="2025"/>
    <n v="5"/>
    <m/>
    <s v="NL1"/>
    <x v="2"/>
    <x v="3"/>
    <x v="0"/>
    <n v="152"/>
    <n v="51"/>
    <n v="34"/>
    <n v="169"/>
    <m/>
    <n v="-169"/>
    <n v="0"/>
    <n v="57.974358974358971"/>
    <n v="3369423.3521961868"/>
    <n v="5745298.7928473447"/>
    <n v="17950111.717979252"/>
    <n v="7075199.2432366535"/>
    <n v="25025310.961215906"/>
    <n v="0"/>
    <n v="0"/>
    <n v="1585928.3"/>
    <m/>
  </r>
  <r>
    <x v="0"/>
    <n v="2025"/>
    <n v="5"/>
    <m/>
    <s v="NL2"/>
    <x v="2"/>
    <x v="4"/>
    <x v="0"/>
    <n v="75"/>
    <n v="56"/>
    <n v="43"/>
    <n v="88"/>
    <m/>
    <n v="-88"/>
    <n v="0"/>
    <n v="73.320512820512818"/>
    <n v="5136984.3031758713"/>
    <n v="8759216.8246460371"/>
    <n v="11359793.07419889"/>
    <n v="5766654.0791409761"/>
    <n v="17126447.153339867"/>
    <n v="0"/>
    <n v="0"/>
    <n v="1830850.8074074076"/>
    <m/>
  </r>
  <r>
    <x v="1"/>
    <n v="2025"/>
    <n v="4"/>
    <s v="TP2"/>
    <m/>
    <x v="0"/>
    <x v="0"/>
    <x v="0"/>
    <n v="35"/>
    <n v="45"/>
    <n v="60"/>
    <n v="20"/>
    <m/>
    <n v="-20"/>
    <n v="45"/>
    <n v="60"/>
    <n v="0"/>
    <n v="0"/>
    <n v="0"/>
    <n v="0"/>
    <n v="0"/>
    <n v="0"/>
    <n v="0"/>
    <m/>
    <m/>
  </r>
  <r>
    <x v="1"/>
    <n v="2025"/>
    <n v="4"/>
    <s v="TP1"/>
    <m/>
    <x v="0"/>
    <x v="1"/>
    <x v="0"/>
    <n v="106"/>
    <n v="139"/>
    <n v="99"/>
    <n v="146"/>
    <m/>
    <n v="-146"/>
    <n v="139"/>
    <n v="99"/>
    <n v="0"/>
    <n v="0"/>
    <n v="0"/>
    <n v="0"/>
    <n v="0"/>
    <n v="0"/>
    <n v="0"/>
    <m/>
    <m/>
  </r>
  <r>
    <x v="1"/>
    <n v="2025"/>
    <n v="4"/>
    <s v="HH1"/>
    <m/>
    <x v="1"/>
    <x v="2"/>
    <x v="0"/>
    <n v="103"/>
    <n v="13"/>
    <n v="108"/>
    <n v="8"/>
    <m/>
    <n v="-8"/>
    <n v="0"/>
    <n v="108"/>
    <n v="9734331.7611940298"/>
    <n v="9734331.7611940298"/>
    <n v="280105.49253731407"/>
    <n v="0"/>
    <n v="280105.49253731407"/>
    <n v="0"/>
    <n v="0"/>
    <m/>
    <m/>
  </r>
  <r>
    <x v="1"/>
    <n v="2025"/>
    <n v="4"/>
    <m/>
    <s v="NL1"/>
    <x v="2"/>
    <x v="3"/>
    <x v="0"/>
    <n v="171"/>
    <n v="15"/>
    <n v="34"/>
    <n v="152"/>
    <m/>
    <n v="-152"/>
    <n v="0"/>
    <n v="29.380434782608695"/>
    <n v="3480319.9298245613"/>
    <n v="3007450.3741418766"/>
    <n v="14971777.070175439"/>
    <n v="9451074.6838878132"/>
    <n v="24422851.754063252"/>
    <n v="0"/>
    <n v="0"/>
    <n v="3878156.8210526318"/>
    <m/>
  </r>
  <r>
    <x v="1"/>
    <n v="2025"/>
    <n v="4"/>
    <m/>
    <s v="NL2"/>
    <x v="2"/>
    <x v="4"/>
    <x v="0"/>
    <n v="138"/>
    <n v="48"/>
    <n v="111"/>
    <n v="75"/>
    <m/>
    <n v="-75"/>
    <n v="0"/>
    <n v="95.918478260869563"/>
    <n v="15397513.696699314"/>
    <n v="13305460.205299949"/>
    <n v="9375573.3773747608"/>
    <n v="9388886.6006111391"/>
    <n v="18764459.9779859"/>
    <n v="0"/>
    <n v="0"/>
    <n v="994140.11321242829"/>
    <m/>
  </r>
  <r>
    <x v="2"/>
    <n v="2025"/>
    <n v="3"/>
    <s v="TP2"/>
    <m/>
    <x v="0"/>
    <x v="0"/>
    <x v="0"/>
    <n v="0"/>
    <n v="114"/>
    <n v="79"/>
    <n v="35"/>
    <m/>
    <n v="-35"/>
    <n v="114"/>
    <n v="79"/>
    <n v="0"/>
    <n v="0"/>
    <n v="0"/>
    <n v="0"/>
    <n v="0"/>
    <n v="0"/>
    <n v="0"/>
    <m/>
    <m/>
  </r>
  <r>
    <x v="2"/>
    <n v="2025"/>
    <n v="3"/>
    <s v="TP1"/>
    <m/>
    <x v="0"/>
    <x v="1"/>
    <x v="0"/>
    <n v="0"/>
    <n v="120"/>
    <n v="14"/>
    <n v="106"/>
    <m/>
    <n v="-106"/>
    <n v="120"/>
    <n v="14"/>
    <n v="0"/>
    <n v="0"/>
    <n v="0"/>
    <n v="0"/>
    <n v="0"/>
    <n v="0"/>
    <n v="0"/>
    <m/>
    <m/>
  </r>
  <r>
    <x v="2"/>
    <n v="2025"/>
    <n v="3"/>
    <s v="HH1"/>
    <m/>
    <x v="1"/>
    <x v="2"/>
    <x v="0"/>
    <n v="0"/>
    <n v="173"/>
    <n v="70"/>
    <n v="103"/>
    <m/>
    <n v="-103"/>
    <n v="0"/>
    <n v="70"/>
    <n v="5914113.746268657"/>
    <n v="5914113.746268657"/>
    <n v="9283668.2537313439"/>
    <n v="0"/>
    <n v="9283668.2537313439"/>
    <n v="0"/>
    <n v="0"/>
    <n v="71284.637313432802"/>
    <m/>
  </r>
  <r>
    <x v="2"/>
    <n v="2025"/>
    <n v="3"/>
    <m/>
    <s v="NL1"/>
    <x v="2"/>
    <x v="3"/>
    <x v="0"/>
    <n v="0"/>
    <n v="320"/>
    <n v="149"/>
    <n v="171"/>
    <m/>
    <n v="-171"/>
    <n v="0"/>
    <n v="59.217948717948715"/>
    <n v="14900000"/>
    <n v="5921794.871794872"/>
    <n v="17503962"/>
    <n v="8978205.128205128"/>
    <n v="26482167.128205128"/>
    <n v="0"/>
    <n v="0"/>
    <n v="5461230.0948885884"/>
    <m/>
  </r>
  <r>
    <x v="2"/>
    <n v="2025"/>
    <n v="3"/>
    <m/>
    <s v="NL2"/>
    <x v="2"/>
    <x v="4"/>
    <x v="0"/>
    <n v="0"/>
    <n v="220"/>
    <n v="82"/>
    <n v="138"/>
    <m/>
    <n v="-138"/>
    <n v="0"/>
    <n v="32.589743589743591"/>
    <n v="12109637.925925925"/>
    <n v="4812804.8167141499"/>
    <n v="19516926.074074075"/>
    <n v="7296833.1092117764"/>
    <n v="26813759.183285851"/>
    <n v="0"/>
    <n v="0"/>
    <n v="719490.96854972269"/>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n v="100000"/>
    <m/>
  </r>
  <r>
    <x v="0"/>
    <n v="2025"/>
    <n v="5"/>
    <x v="1"/>
    <n v="200000"/>
    <m/>
  </r>
  <r>
    <x v="1"/>
    <n v="2025"/>
    <n v="4"/>
    <x v="0"/>
    <n v="100000"/>
    <m/>
  </r>
  <r>
    <x v="1"/>
    <n v="2025"/>
    <n v="4"/>
    <x v="1"/>
    <n v="200000"/>
    <m/>
  </r>
  <r>
    <x v="2"/>
    <n v="2025"/>
    <n v="3"/>
    <x v="0"/>
    <n v="200000"/>
    <m/>
  </r>
  <r>
    <x v="2"/>
    <n v="2025"/>
    <n v="3"/>
    <x v="1"/>
    <n v="100000"/>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025"/>
    <n v="3"/>
    <n v="25000000"/>
    <n v="27200000"/>
    <n v="-8.8000000000000078E-2"/>
    <m/>
  </r>
  <r>
    <x v="1"/>
    <n v="2025"/>
    <n v="4"/>
    <n v="20000000"/>
    <n v="18730437.570594341"/>
    <n v="6.3478121470282978E-2"/>
    <m/>
  </r>
  <r>
    <x v="2"/>
    <n v="2025"/>
    <n v="5"/>
    <n v="10000000"/>
    <n v="8488470.3856612295"/>
    <n v="0.15115296143387702"/>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0"/>
    <n v="100000"/>
    <n v="169"/>
    <n v="746.89799240368961"/>
    <n v="74689799.240368962"/>
    <m/>
  </r>
  <r>
    <x v="1"/>
    <m/>
    <n v="0"/>
    <n v="200000"/>
    <n v="88"/>
    <n v="264.68583830710799"/>
    <n v="52937167.661421597"/>
    <m/>
  </r>
  <r>
    <x v="2"/>
    <s v="Chi phí tiện ích - Năng lượng"/>
    <n v="0"/>
    <n v="3000"/>
    <n v="0"/>
    <n v="412.85946825827455"/>
    <n v="1238578.4047748237"/>
    <m/>
  </r>
  <r>
    <x v="2"/>
    <s v="Chi phí tiện ích - Cấp thoát nước"/>
    <n v="0"/>
    <n v="20000"/>
    <n v="0"/>
    <n v="412.85946825827455"/>
    <n v="8257189.3651654907"/>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0"/>
    <n v="200"/>
    <s v="NL1"/>
    <m/>
    <x v="0"/>
    <n v="0"/>
    <n v="2"/>
    <n v="0.05"/>
    <n v="421.0526315789474"/>
    <n v="100000"/>
    <n v="42105263.157894738"/>
    <n v="210526.31578947368"/>
    <m/>
  </r>
  <r>
    <x v="0"/>
    <n v="0"/>
    <n v="200"/>
    <s v="NL2"/>
    <m/>
    <x v="1"/>
    <n v="0"/>
    <n v="0.5"/>
    <n v="0.05"/>
    <n v="105.26315789473685"/>
    <n v="200000"/>
    <n v="21052631.578947369"/>
    <n v="105263.15789473684"/>
    <m/>
  </r>
  <r>
    <x v="0"/>
    <n v="0"/>
    <n v="200"/>
    <m/>
    <s v="Chi phí tiện ích - Năng lượng"/>
    <x v="2"/>
    <s v="kWh"/>
    <n v="1.3"/>
    <n v="0.05"/>
    <n v="273.68421052631578"/>
    <n v="3000"/>
    <n v="821052.6315789473"/>
    <n v="4105.2631578947367"/>
    <m/>
  </r>
  <r>
    <x v="1"/>
    <n v="0"/>
    <n v="300"/>
    <s v="NL1"/>
    <m/>
    <x v="0"/>
    <n v="0"/>
    <n v="1.6"/>
    <n v="0.03"/>
    <n v="494.84536082474227"/>
    <n v="100000"/>
    <n v="49484536.082474224"/>
    <n v="164948.45360824742"/>
    <m/>
  </r>
  <r>
    <x v="1"/>
    <n v="0"/>
    <n v="300"/>
    <s v="NL2"/>
    <m/>
    <x v="1"/>
    <n v="0"/>
    <n v="0.8"/>
    <n v="0.03"/>
    <n v="247.42268041237114"/>
    <n v="200000"/>
    <n v="49484536.082474224"/>
    <n v="164948.45360824742"/>
    <m/>
  </r>
  <r>
    <x v="1"/>
    <n v="0"/>
    <n v="300"/>
    <m/>
    <s v="Chi phí tiện ích - Cấp thoát nước"/>
    <x v="3"/>
    <s v="Lit"/>
    <n v="0.45"/>
    <n v="0.03"/>
    <n v="139.17525773195877"/>
    <n v="20000"/>
    <n v="2783505.1546391752"/>
    <n v="9278.350515463917"/>
    <m/>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TP2"/>
    <m/>
    <x v="0"/>
    <n v="22"/>
    <n v="45"/>
    <n v="0"/>
    <n v="0"/>
    <n v="0"/>
    <n v="0"/>
    <x v="0"/>
    <x v="0"/>
    <n v="1"/>
    <s v=""/>
    <s v="Nhập"/>
    <s v="Kho1"/>
    <n v="23"/>
    <x v="0"/>
    <x v="0"/>
    <m/>
    <n v="0"/>
    <n v="0"/>
    <n v="0"/>
    <m/>
    <n v="0"/>
    <n v="0"/>
    <n v="0"/>
    <m/>
    <n v="0"/>
    <e v="#DIV/0!"/>
    <n v="0"/>
    <n v="0"/>
    <n v="0"/>
    <n v="0"/>
    <n v="0"/>
    <n v="0"/>
    <n v="0"/>
    <n v="0"/>
    <m/>
    <m/>
    <n v="1"/>
    <n v="1"/>
    <n v="1"/>
    <n v="1"/>
    <n v="1"/>
    <n v="1"/>
    <n v="1"/>
  </r>
  <r>
    <s v="TP1"/>
    <m/>
    <x v="1"/>
    <n v="85"/>
    <n v="66"/>
    <n v="0"/>
    <n v="0"/>
    <n v="0"/>
    <n v="0"/>
    <x v="0"/>
    <x v="1"/>
    <n v="5"/>
    <n v="0"/>
    <s v="Xuất"/>
    <s v="Kho1"/>
    <n v="19"/>
    <x v="0"/>
    <x v="0"/>
    <m/>
    <n v="0"/>
    <n v="0"/>
    <n v="0"/>
    <s v="BAN-KH3-250531-"/>
    <s v="KH3"/>
    <n v="300000"/>
    <n v="5700000"/>
    <m/>
    <n v="0"/>
    <n v="0"/>
    <n v="5700000"/>
    <n v="0"/>
    <n v="0"/>
    <n v="0"/>
    <n v="0"/>
    <n v="0"/>
    <n v="0"/>
    <n v="0"/>
    <m/>
    <m/>
    <n v="1"/>
    <n v="1"/>
    <n v="1"/>
    <n v="1"/>
    <n v="1"/>
    <n v="1"/>
    <n v="1"/>
  </r>
  <r>
    <m/>
    <s v="NL1"/>
    <x v="2"/>
    <n v="176"/>
    <n v="169"/>
    <n v="18693607.469611529"/>
    <n v="17950111.717979252"/>
    <n v="106213.67880461096"/>
    <n v="106213.67880461096"/>
    <x v="1"/>
    <x v="0"/>
    <n v="1"/>
    <s v=""/>
    <s v="Xuất"/>
    <s v="Kho1"/>
    <n v="7"/>
    <x v="0"/>
    <x v="0"/>
    <m/>
    <n v="743495.75163227669"/>
    <n v="0"/>
    <n v="0"/>
    <m/>
    <n v="0"/>
    <n v="0"/>
    <n v="0"/>
    <m/>
    <n v="0"/>
    <e v="#DIV/0!"/>
    <n v="0"/>
    <n v="0"/>
    <n v="0"/>
    <n v="0"/>
    <n v="0"/>
    <n v="0"/>
    <n v="0"/>
    <n v="0"/>
    <m/>
    <m/>
    <n v="1"/>
    <n v="1"/>
    <n v="1"/>
    <n v="1"/>
    <n v="1"/>
    <n v="1"/>
    <n v="1"/>
  </r>
  <r>
    <s v="TP1"/>
    <m/>
    <x v="1"/>
    <n v="79"/>
    <n v="85"/>
    <n v="0"/>
    <n v="0"/>
    <n v="0"/>
    <n v="0"/>
    <x v="2"/>
    <x v="0"/>
    <n v="1"/>
    <s v=""/>
    <s v="Nhập"/>
    <s v="Kho1"/>
    <n v="6"/>
    <x v="0"/>
    <x v="0"/>
    <m/>
    <n v="0"/>
    <n v="0"/>
    <n v="0"/>
    <m/>
    <n v="0"/>
    <n v="0"/>
    <n v="0"/>
    <m/>
    <n v="0"/>
    <e v="#DIV/0!"/>
    <n v="0"/>
    <n v="0"/>
    <n v="0"/>
    <n v="0"/>
    <n v="0"/>
    <n v="0"/>
    <n v="0"/>
    <n v="0"/>
    <m/>
    <m/>
    <n v="1"/>
    <n v="1"/>
    <n v="1"/>
    <n v="1"/>
    <n v="1"/>
    <n v="1"/>
    <n v="1"/>
  </r>
  <r>
    <m/>
    <s v="NL2"/>
    <x v="3"/>
    <n v="80"/>
    <n v="60"/>
    <n v="9523808.4343535677"/>
    <n v="7142856.3257651776"/>
    <n v="119047.60542941959"/>
    <n v="119047.60542941962"/>
    <x v="3"/>
    <x v="0"/>
    <n v="1"/>
    <s v=""/>
    <s v="Xuất"/>
    <s v="Kho1"/>
    <n v="20"/>
    <x v="0"/>
    <x v="0"/>
    <m/>
    <n v="2380952.1085883919"/>
    <n v="0"/>
    <n v="0"/>
    <m/>
    <n v="0"/>
    <n v="0"/>
    <n v="0"/>
    <m/>
    <n v="0"/>
    <e v="#DIV/0!"/>
    <n v="0"/>
    <n v="0"/>
    <n v="0"/>
    <n v="0"/>
    <n v="0"/>
    <n v="0"/>
    <n v="0"/>
    <n v="0"/>
    <m/>
    <m/>
    <n v="1"/>
    <n v="1"/>
    <n v="1"/>
    <n v="1"/>
    <n v="1"/>
    <n v="1"/>
    <n v="1"/>
  </r>
  <r>
    <m/>
    <s v="NL2"/>
    <x v="3"/>
    <n v="60"/>
    <n v="88"/>
    <n v="7142856.3257651776"/>
    <n v="11334764.325765178"/>
    <n v="119047.60542941962"/>
    <n v="128804.14006551338"/>
    <x v="1"/>
    <x v="2"/>
    <n v="5"/>
    <n v="2"/>
    <s v="Nhập"/>
    <s v="Kho1"/>
    <n v="28"/>
    <x v="1"/>
    <x v="1"/>
    <n v="149711"/>
    <n v="4191908"/>
    <n v="0"/>
    <n v="0"/>
    <m/>
    <n v="0"/>
    <n v="0"/>
    <n v="0"/>
    <m/>
    <n v="0"/>
    <e v="#DIV/0!"/>
    <n v="0"/>
    <n v="0"/>
    <n v="0"/>
    <n v="0"/>
    <n v="0"/>
    <n v="0"/>
    <n v="0"/>
    <n v="0"/>
    <m/>
    <m/>
    <n v="1"/>
    <n v="1"/>
    <n v="1"/>
    <n v="1"/>
    <n v="1"/>
    <n v="1"/>
    <n v="1"/>
  </r>
  <r>
    <s v="HH1"/>
    <m/>
    <x v="4"/>
    <n v="37"/>
    <n v="69"/>
    <n v="2752212.7462686561"/>
    <n v="6022420.7462686561"/>
    <n v="74384.128277531243"/>
    <n v="87281.460090850087"/>
    <x v="3"/>
    <x v="3"/>
    <n v="5"/>
    <n v="1"/>
    <s v="Nhập"/>
    <s v="Kho1"/>
    <n v="32"/>
    <x v="2"/>
    <x v="2"/>
    <n v="102194"/>
    <n v="3270208"/>
    <n v="0"/>
    <n v="0"/>
    <m/>
    <n v="0"/>
    <n v="0"/>
    <n v="0"/>
    <m/>
    <n v="0"/>
    <e v="#DIV/0!"/>
    <n v="0"/>
    <n v="0"/>
    <n v="0"/>
    <n v="0"/>
    <n v="0"/>
    <n v="0"/>
    <n v="0"/>
    <n v="0"/>
    <m/>
    <m/>
    <n v="1"/>
    <n v="1"/>
    <n v="1"/>
    <n v="1"/>
    <n v="1"/>
    <n v="1"/>
    <n v="1"/>
  </r>
  <r>
    <m/>
    <s v="NL2"/>
    <x v="3"/>
    <n v="103"/>
    <n v="80"/>
    <n v="12261903.35923022"/>
    <n v="9523808.4343535677"/>
    <n v="119047.60542941962"/>
    <n v="119047.60542941959"/>
    <x v="4"/>
    <x v="0"/>
    <n v="1"/>
    <s v=""/>
    <s v="Xuất"/>
    <s v="Kho1"/>
    <n v="23"/>
    <x v="0"/>
    <x v="0"/>
    <m/>
    <n v="2738094.9248766513"/>
    <n v="0"/>
    <n v="0"/>
    <m/>
    <n v="0"/>
    <n v="0"/>
    <n v="0"/>
    <m/>
    <n v="0"/>
    <e v="#DIV/0!"/>
    <n v="0"/>
    <n v="0"/>
    <n v="0"/>
    <n v="0"/>
    <n v="0"/>
    <n v="0"/>
    <n v="0"/>
    <n v="0"/>
    <m/>
    <m/>
    <n v="1"/>
    <n v="1"/>
    <n v="1"/>
    <n v="1"/>
    <n v="1"/>
    <n v="1"/>
    <n v="1"/>
  </r>
  <r>
    <s v="HH1"/>
    <m/>
    <x v="4"/>
    <n v="24"/>
    <n v="37"/>
    <n v="1425692.7462686561"/>
    <n v="2752212.7462686561"/>
    <n v="59403.864427860673"/>
    <n v="74384.128277531243"/>
    <x v="5"/>
    <x v="4"/>
    <n v="5"/>
    <n v="0"/>
    <s v="Nhập"/>
    <s v="Kho1"/>
    <n v="13"/>
    <x v="3"/>
    <x v="3"/>
    <n v="102040"/>
    <n v="1326520"/>
    <n v="0"/>
    <n v="0"/>
    <m/>
    <n v="0"/>
    <n v="0"/>
    <n v="0"/>
    <m/>
    <n v="0"/>
    <e v="#DIV/0!"/>
    <n v="0"/>
    <n v="0"/>
    <n v="0"/>
    <n v="0"/>
    <n v="0"/>
    <n v="0"/>
    <n v="0"/>
    <n v="0"/>
    <m/>
    <m/>
    <n v="1"/>
    <n v="1"/>
    <n v="1"/>
    <n v="1"/>
    <n v="1"/>
    <n v="1"/>
    <n v="1"/>
  </r>
  <r>
    <m/>
    <s v="NL2"/>
    <x v="3"/>
    <n v="79"/>
    <n v="103"/>
    <n v="9873231.3592302203"/>
    <n v="12261903.35923022"/>
    <n v="124977.61214215468"/>
    <n v="119047.60542941962"/>
    <x v="5"/>
    <x v="5"/>
    <n v="5"/>
    <n v="2"/>
    <s v="Nhập"/>
    <s v="Kho1"/>
    <n v="24"/>
    <x v="4"/>
    <x v="2"/>
    <n v="99528"/>
    <n v="2388672"/>
    <n v="0"/>
    <n v="0"/>
    <m/>
    <n v="0"/>
    <n v="0"/>
    <n v="0"/>
    <m/>
    <n v="0"/>
    <e v="#DIV/0!"/>
    <n v="0"/>
    <n v="0"/>
    <n v="0"/>
    <n v="0"/>
    <n v="0"/>
    <n v="0"/>
    <n v="0"/>
    <n v="0"/>
    <m/>
    <m/>
    <n v="1"/>
    <n v="1"/>
    <n v="1"/>
    <n v="1"/>
    <n v="1"/>
    <n v="1"/>
    <n v="1"/>
  </r>
  <r>
    <m/>
    <s v="NL1"/>
    <x v="2"/>
    <n v="141"/>
    <n v="176"/>
    <n v="13713177.469611529"/>
    <n v="18693607.469611529"/>
    <n v="97256.577798663333"/>
    <n v="106213.67880461096"/>
    <x v="6"/>
    <x v="6"/>
    <n v="5"/>
    <n v="2"/>
    <s v="Nhập"/>
    <s v="Kho1"/>
    <n v="35"/>
    <x v="5"/>
    <x v="2"/>
    <n v="142298"/>
    <n v="4980430"/>
    <n v="0"/>
    <n v="0"/>
    <m/>
    <n v="0"/>
    <n v="0"/>
    <n v="0"/>
    <m/>
    <n v="0"/>
    <e v="#DIV/0!"/>
    <n v="0"/>
    <n v="0"/>
    <n v="0"/>
    <n v="0"/>
    <n v="0"/>
    <n v="0"/>
    <n v="0"/>
    <n v="0"/>
    <m/>
    <m/>
    <n v="1"/>
    <n v="1"/>
    <n v="1"/>
    <n v="1"/>
    <n v="1"/>
    <n v="1"/>
    <n v="1"/>
  </r>
  <r>
    <s v="TP1"/>
    <m/>
    <x v="1"/>
    <n v="113"/>
    <n v="79"/>
    <n v="0"/>
    <n v="0"/>
    <n v="0"/>
    <n v="0"/>
    <x v="7"/>
    <x v="7"/>
    <n v="5"/>
    <n v="0"/>
    <s v="Xuất"/>
    <s v="Kho1"/>
    <n v="34"/>
    <x v="0"/>
    <x v="0"/>
    <m/>
    <n v="0"/>
    <n v="0"/>
    <n v="0"/>
    <s v="BAN-KH1-250519-"/>
    <s v="KH1"/>
    <n v="300000"/>
    <n v="10200000"/>
    <m/>
    <n v="0"/>
    <n v="0"/>
    <n v="10200000"/>
    <n v="0"/>
    <n v="0"/>
    <n v="0"/>
    <n v="0"/>
    <n v="0"/>
    <n v="0"/>
    <n v="0"/>
    <m/>
    <m/>
    <n v="1"/>
    <n v="1"/>
    <n v="1"/>
    <n v="1"/>
    <n v="1"/>
    <n v="1"/>
    <n v="1"/>
  </r>
  <r>
    <s v="HH1"/>
    <m/>
    <x v="4"/>
    <n v="46"/>
    <n v="24"/>
    <n v="2732577.7636815924"/>
    <n v="1425692.7462686561"/>
    <n v="59403.864427860703"/>
    <n v="59403.864427860673"/>
    <x v="8"/>
    <x v="8"/>
    <n v="5"/>
    <n v="0"/>
    <s v="Xuất"/>
    <s v="Kho1"/>
    <n v="22"/>
    <x v="0"/>
    <x v="0"/>
    <m/>
    <n v="1306885.0174129354"/>
    <n v="0"/>
    <n v="0"/>
    <s v="BAN-KH1-250516-"/>
    <s v="KH1"/>
    <n v="100000"/>
    <n v="2200000"/>
    <m/>
    <n v="0"/>
    <n v="0"/>
    <n v="2200000"/>
    <n v="0"/>
    <n v="0"/>
    <n v="0"/>
    <n v="0"/>
    <n v="0"/>
    <n v="0"/>
    <n v="0"/>
    <m/>
    <m/>
    <n v="1"/>
    <n v="1"/>
    <n v="1"/>
    <n v="1"/>
    <n v="1"/>
    <n v="1"/>
    <n v="1"/>
  </r>
  <r>
    <s v="HH1"/>
    <m/>
    <x v="4"/>
    <n v="48"/>
    <n v="46"/>
    <n v="2851385.4925373141"/>
    <n v="2732577.7636815924"/>
    <n v="59403.86442786071"/>
    <n v="59403.864427860703"/>
    <x v="9"/>
    <x v="9"/>
    <n v="5"/>
    <n v="0"/>
    <s v="Xuất"/>
    <s v="Kho1"/>
    <n v="2"/>
    <x v="0"/>
    <x v="0"/>
    <m/>
    <n v="118807.72885572142"/>
    <n v="0"/>
    <n v="0"/>
    <s v="BAN-KH2-250515-"/>
    <s v="KH2"/>
    <n v="100000"/>
    <n v="200000"/>
    <m/>
    <n v="0"/>
    <n v="0"/>
    <n v="200000"/>
    <n v="0"/>
    <n v="0"/>
    <n v="0"/>
    <n v="0"/>
    <n v="0"/>
    <n v="0"/>
    <n v="0"/>
    <m/>
    <m/>
    <n v="1"/>
    <n v="1"/>
    <n v="1"/>
    <n v="1"/>
    <n v="1"/>
    <n v="1"/>
    <n v="1"/>
  </r>
  <r>
    <s v="TP2"/>
    <m/>
    <x v="0"/>
    <n v="7"/>
    <n v="22"/>
    <n v="0"/>
    <n v="0"/>
    <n v="0"/>
    <n v="0"/>
    <x v="10"/>
    <x v="0"/>
    <n v="1"/>
    <s v=""/>
    <s v="Nhập"/>
    <s v="Kho1"/>
    <n v="15"/>
    <x v="0"/>
    <x v="0"/>
    <m/>
    <n v="0"/>
    <n v="0"/>
    <n v="0"/>
    <m/>
    <n v="0"/>
    <n v="0"/>
    <n v="0"/>
    <m/>
    <n v="0"/>
    <e v="#DIV/0!"/>
    <n v="0"/>
    <n v="0"/>
    <n v="0"/>
    <n v="0"/>
    <n v="0"/>
    <n v="0"/>
    <n v="0"/>
    <n v="0"/>
    <m/>
    <m/>
    <n v="1"/>
    <n v="1"/>
    <n v="1"/>
    <n v="1"/>
    <n v="1"/>
    <n v="1"/>
    <n v="1"/>
  </r>
  <r>
    <m/>
    <s v="NL1"/>
    <x v="2"/>
    <n v="168"/>
    <n v="141"/>
    <n v="16339105.070175439"/>
    <n v="13713177.469611529"/>
    <n v="97256.577798663333"/>
    <n v="97256.577798663333"/>
    <x v="11"/>
    <x v="0"/>
    <n v="1"/>
    <s v=""/>
    <s v="Xuất"/>
    <s v="Kho1"/>
    <n v="27"/>
    <x v="0"/>
    <x v="0"/>
    <m/>
    <n v="2625927.6005639099"/>
    <n v="0"/>
    <n v="0"/>
    <m/>
    <n v="0"/>
    <n v="0"/>
    <n v="0"/>
    <m/>
    <n v="0"/>
    <e v="#DIV/0!"/>
    <n v="0"/>
    <n v="0"/>
    <n v="0"/>
    <n v="0"/>
    <n v="0"/>
    <n v="0"/>
    <n v="0"/>
    <n v="0"/>
    <m/>
    <m/>
    <n v="1"/>
    <n v="1"/>
    <n v="1"/>
    <n v="1"/>
    <n v="1"/>
    <n v="1"/>
    <n v="1"/>
  </r>
  <r>
    <m/>
    <s v="NL2"/>
    <x v="3"/>
    <n v="75"/>
    <n v="79"/>
    <n v="9332607.3592302203"/>
    <n v="9873231.3592302203"/>
    <n v="124434.76478973628"/>
    <n v="124977.61214215468"/>
    <x v="10"/>
    <x v="10"/>
    <n v="5"/>
    <n v="1"/>
    <s v="Nhập"/>
    <s v="Kho1"/>
    <n v="4"/>
    <x v="6"/>
    <x v="2"/>
    <n v="135156"/>
    <n v="540624"/>
    <n v="0"/>
    <n v="0"/>
    <m/>
    <n v="0"/>
    <n v="0"/>
    <n v="0"/>
    <m/>
    <n v="0"/>
    <e v="#DIV/0!"/>
    <n v="0"/>
    <n v="0"/>
    <n v="0"/>
    <n v="0"/>
    <n v="0"/>
    <n v="0"/>
    <n v="0"/>
    <n v="0"/>
    <m/>
    <m/>
    <n v="1"/>
    <n v="1"/>
    <n v="1"/>
    <n v="1"/>
    <n v="1"/>
    <n v="1"/>
    <n v="1"/>
  </r>
  <r>
    <s v="TP1"/>
    <m/>
    <x v="1"/>
    <n v="135"/>
    <n v="113"/>
    <n v="0"/>
    <n v="0"/>
    <n v="0"/>
    <n v="0"/>
    <x v="12"/>
    <x v="11"/>
    <n v="5"/>
    <n v="0"/>
    <s v="Xuất"/>
    <s v="Kho1"/>
    <n v="22"/>
    <x v="0"/>
    <x v="0"/>
    <m/>
    <n v="0"/>
    <n v="0"/>
    <n v="0"/>
    <s v="BAN-KH1-250509-"/>
    <s v="KH1"/>
    <n v="300000"/>
    <n v="6600000"/>
    <m/>
    <n v="0"/>
    <n v="0"/>
    <n v="6600000"/>
    <n v="0"/>
    <n v="0"/>
    <n v="0"/>
    <n v="0"/>
    <n v="0"/>
    <n v="0"/>
    <n v="0"/>
    <m/>
    <m/>
    <n v="1"/>
    <n v="1"/>
    <n v="1"/>
    <n v="1"/>
    <n v="1"/>
    <n v="1"/>
    <n v="1"/>
  </r>
  <r>
    <s v="TP2"/>
    <m/>
    <x v="0"/>
    <n v="15"/>
    <n v="7"/>
    <n v="0"/>
    <n v="0"/>
    <n v="0"/>
    <n v="0"/>
    <x v="12"/>
    <x v="11"/>
    <n v="5"/>
    <n v="0"/>
    <s v="Xuất"/>
    <s v="Kho1"/>
    <n v="8"/>
    <x v="0"/>
    <x v="0"/>
    <m/>
    <n v="0"/>
    <n v="0"/>
    <n v="0"/>
    <s v="BAN-KH1-250509-"/>
    <s v="KH1"/>
    <n v="500000"/>
    <n v="4000000"/>
    <m/>
    <n v="0"/>
    <n v="0"/>
    <n v="4000000"/>
    <n v="0"/>
    <n v="0"/>
    <n v="0"/>
    <n v="0"/>
    <n v="0"/>
    <n v="0"/>
    <n v="0"/>
    <m/>
    <m/>
    <n v="1"/>
    <n v="1"/>
    <n v="1"/>
    <n v="1"/>
    <n v="1"/>
    <n v="1"/>
    <n v="1"/>
  </r>
  <r>
    <s v="TP2"/>
    <m/>
    <x v="0"/>
    <n v="49"/>
    <n v="15"/>
    <n v="0"/>
    <n v="0"/>
    <n v="0"/>
    <n v="0"/>
    <x v="13"/>
    <x v="12"/>
    <n v="5"/>
    <n v="0"/>
    <s v="Xuất"/>
    <s v="Kho1"/>
    <n v="34"/>
    <x v="0"/>
    <x v="0"/>
    <m/>
    <n v="0"/>
    <n v="0"/>
    <n v="0"/>
    <s v="BAN-KH1-250507-"/>
    <s v="KH1"/>
    <n v="500000"/>
    <n v="17000000"/>
    <m/>
    <n v="0"/>
    <n v="0"/>
    <n v="17000000"/>
    <n v="0"/>
    <n v="0"/>
    <n v="0"/>
    <n v="0"/>
    <n v="0"/>
    <n v="0"/>
    <n v="0"/>
    <m/>
    <m/>
    <n v="1"/>
    <n v="1"/>
    <n v="1"/>
    <n v="1"/>
    <n v="1"/>
    <n v="1"/>
    <n v="1"/>
  </r>
  <r>
    <s v="HH1"/>
    <m/>
    <x v="4"/>
    <n v="8"/>
    <n v="48"/>
    <n v="280105.49253731407"/>
    <n v="2851385.4925373141"/>
    <n v="35013.186567164259"/>
    <n v="59403.86442786071"/>
    <x v="13"/>
    <x v="13"/>
    <n v="5"/>
    <n v="2"/>
    <s v="Nhập"/>
    <s v="Kho1"/>
    <n v="40"/>
    <x v="7"/>
    <x v="1"/>
    <n v="64282"/>
    <n v="2571280"/>
    <n v="0"/>
    <n v="0"/>
    <m/>
    <n v="0"/>
    <n v="0"/>
    <n v="0"/>
    <m/>
    <n v="0"/>
    <e v="#DIV/0!"/>
    <n v="0"/>
    <n v="0"/>
    <n v="0"/>
    <n v="0"/>
    <n v="0"/>
    <n v="0"/>
    <n v="0"/>
    <n v="0"/>
    <m/>
    <m/>
    <n v="1"/>
    <n v="1"/>
    <n v="1"/>
    <n v="1"/>
    <n v="1"/>
    <n v="1"/>
    <n v="1"/>
  </r>
  <r>
    <s v="TP1"/>
    <m/>
    <x v="1"/>
    <n v="130"/>
    <n v="135"/>
    <n v="0"/>
    <n v="0"/>
    <n v="0"/>
    <n v="0"/>
    <x v="14"/>
    <x v="0"/>
    <n v="1"/>
    <s v=""/>
    <s v="Nhập"/>
    <s v="Kho1"/>
    <n v="5"/>
    <x v="0"/>
    <x v="0"/>
    <m/>
    <n v="0"/>
    <n v="0"/>
    <n v="0"/>
    <m/>
    <n v="0"/>
    <n v="0"/>
    <n v="0"/>
    <m/>
    <n v="0"/>
    <e v="#DIV/0!"/>
    <n v="0"/>
    <n v="0"/>
    <n v="0"/>
    <n v="0"/>
    <n v="0"/>
    <n v="0"/>
    <n v="0"/>
    <n v="0"/>
    <m/>
    <m/>
    <n v="1"/>
    <n v="1"/>
    <n v="1"/>
    <n v="1"/>
    <n v="1"/>
    <n v="1"/>
    <n v="1"/>
  </r>
  <r>
    <s v="TP1"/>
    <m/>
    <x v="1"/>
    <n v="146"/>
    <n v="130"/>
    <n v="0"/>
    <n v="0"/>
    <n v="0"/>
    <n v="0"/>
    <x v="15"/>
    <x v="14"/>
    <n v="5"/>
    <n v="0"/>
    <s v="Xuất"/>
    <s v="Kho1"/>
    <n v="16"/>
    <x v="0"/>
    <x v="0"/>
    <m/>
    <n v="0"/>
    <n v="0"/>
    <n v="0"/>
    <s v="BAN-KH2-250502-"/>
    <s v="KH2"/>
    <n v="300000"/>
    <n v="4800000"/>
    <m/>
    <n v="0"/>
    <n v="0"/>
    <n v="4800000"/>
    <n v="0"/>
    <n v="0"/>
    <n v="0"/>
    <n v="0"/>
    <n v="0"/>
    <n v="0"/>
    <n v="0"/>
    <m/>
    <m/>
    <n v="1"/>
    <n v="1"/>
    <n v="1"/>
    <n v="1"/>
    <n v="1"/>
    <n v="1"/>
    <n v="1"/>
  </r>
  <r>
    <s v="TP2"/>
    <m/>
    <x v="0"/>
    <n v="20"/>
    <n v="49"/>
    <n v="0"/>
    <n v="0"/>
    <n v="0"/>
    <n v="0"/>
    <x v="16"/>
    <x v="0"/>
    <n v="1"/>
    <s v=""/>
    <s v="Nhập"/>
    <s v="Kho1"/>
    <n v="29"/>
    <x v="0"/>
    <x v="0"/>
    <m/>
    <n v="0"/>
    <n v="0"/>
    <n v="0"/>
    <m/>
    <n v="0"/>
    <n v="0"/>
    <n v="0"/>
    <m/>
    <n v="0"/>
    <e v="#DIV/0!"/>
    <n v="0"/>
    <n v="0"/>
    <n v="0"/>
    <n v="0"/>
    <n v="0"/>
    <n v="0"/>
    <n v="0"/>
    <n v="0"/>
    <m/>
    <m/>
    <n v="1"/>
    <n v="1"/>
    <n v="1"/>
    <n v="1"/>
    <n v="1"/>
    <n v="1"/>
    <n v="1"/>
  </r>
  <r>
    <m/>
    <s v="NL1"/>
    <x v="2"/>
    <n v="152"/>
    <n v="168"/>
    <n v="14971777.070175439"/>
    <n v="16339105.070175439"/>
    <n v="98498.533356417363"/>
    <n v="97256.577798663333"/>
    <x v="15"/>
    <x v="15"/>
    <n v="5"/>
    <n v="1"/>
    <s v="Nhập"/>
    <s v="Kho1"/>
    <n v="16"/>
    <x v="8"/>
    <x v="2"/>
    <n v="85458"/>
    <n v="1367328"/>
    <n v="0"/>
    <n v="0"/>
    <m/>
    <n v="0"/>
    <n v="0"/>
    <n v="0"/>
    <m/>
    <n v="0"/>
    <e v="#DIV/0!"/>
    <n v="0"/>
    <n v="0"/>
    <n v="0"/>
    <n v="0"/>
    <n v="0"/>
    <n v="0"/>
    <n v="0"/>
    <n v="0"/>
    <m/>
    <m/>
    <n v="1"/>
    <n v="1"/>
    <n v="1"/>
    <n v="1"/>
    <n v="1"/>
    <n v="1"/>
    <n v="1"/>
  </r>
  <r>
    <s v="TP2"/>
    <m/>
    <x v="0"/>
    <n v="59"/>
    <n v="20"/>
    <n v="0"/>
    <n v="0"/>
    <n v="0"/>
    <n v="0"/>
    <x v="17"/>
    <x v="16"/>
    <n v="4"/>
    <n v="0"/>
    <s v="Xuất"/>
    <s v="Kho1"/>
    <n v="39"/>
    <x v="0"/>
    <x v="0"/>
    <m/>
    <n v="0"/>
    <n v="0"/>
    <n v="0"/>
    <s v="BAN-KH3-250430-"/>
    <s v="KH3"/>
    <n v="500000"/>
    <n v="19500000"/>
    <m/>
    <n v="0"/>
    <n v="0"/>
    <n v="19500000"/>
    <n v="0"/>
    <n v="0"/>
    <n v="0"/>
    <n v="0"/>
    <n v="0"/>
    <n v="0"/>
    <n v="0"/>
    <m/>
    <m/>
    <n v="1"/>
    <n v="1"/>
    <n v="1"/>
    <n v="1"/>
    <n v="1"/>
    <n v="1"/>
    <n v="1"/>
  </r>
  <r>
    <s v="TP2"/>
    <m/>
    <x v="0"/>
    <n v="80"/>
    <n v="59"/>
    <n v="0"/>
    <n v="0"/>
    <n v="0"/>
    <n v="0"/>
    <x v="18"/>
    <x v="17"/>
    <n v="4"/>
    <n v="0"/>
    <s v="Xuất"/>
    <s v="Kho1"/>
    <n v="21"/>
    <x v="0"/>
    <x v="0"/>
    <m/>
    <n v="0"/>
    <n v="0"/>
    <n v="0"/>
    <s v="BAN-KH3-250429-"/>
    <s v="KH3"/>
    <n v="500000"/>
    <n v="10500000"/>
    <m/>
    <n v="0"/>
    <n v="0"/>
    <n v="10500000"/>
    <n v="0"/>
    <n v="0"/>
    <n v="0"/>
    <n v="0"/>
    <n v="0"/>
    <n v="0"/>
    <n v="0"/>
    <m/>
    <m/>
    <n v="1"/>
    <n v="1"/>
    <n v="1"/>
    <n v="1"/>
    <n v="1"/>
    <n v="1"/>
    <n v="1"/>
  </r>
  <r>
    <m/>
    <s v="NL1"/>
    <x v="2"/>
    <n v="137"/>
    <n v="152"/>
    <n v="14023642.070175439"/>
    <n v="14971777.070175439"/>
    <n v="102362.35087719299"/>
    <n v="98498.533356417363"/>
    <x v="19"/>
    <x v="18"/>
    <n v="4"/>
    <n v="0"/>
    <s v="Nhập"/>
    <s v="Kho1"/>
    <n v="15"/>
    <x v="9"/>
    <x v="1"/>
    <n v="63209"/>
    <n v="948135"/>
    <n v="0"/>
    <n v="0"/>
    <m/>
    <n v="0"/>
    <n v="0"/>
    <n v="0"/>
    <m/>
    <n v="0"/>
    <e v="#DIV/0!"/>
    <n v="0"/>
    <n v="0"/>
    <n v="0"/>
    <n v="0"/>
    <n v="0"/>
    <n v="0"/>
    <n v="0"/>
    <n v="0"/>
    <m/>
    <m/>
    <n v="1"/>
    <n v="1"/>
    <n v="1"/>
    <n v="1"/>
    <n v="1"/>
    <n v="1"/>
    <n v="1"/>
  </r>
  <r>
    <s v="TP1"/>
    <m/>
    <x v="1"/>
    <n v="174"/>
    <n v="146"/>
    <n v="0"/>
    <n v="0"/>
    <n v="0"/>
    <n v="0"/>
    <x v="20"/>
    <x v="19"/>
    <n v="4"/>
    <n v="0"/>
    <s v="Xuất"/>
    <s v="Kho1"/>
    <n v="28"/>
    <x v="0"/>
    <x v="0"/>
    <m/>
    <n v="0"/>
    <n v="0"/>
    <n v="0"/>
    <s v="BAN-KH2-250427-"/>
    <s v="KH2"/>
    <n v="300000"/>
    <n v="8400000"/>
    <m/>
    <n v="0"/>
    <n v="0"/>
    <n v="8400000"/>
    <n v="0"/>
    <n v="0"/>
    <n v="0"/>
    <n v="0"/>
    <n v="0"/>
    <n v="0"/>
    <n v="0"/>
    <m/>
    <m/>
    <n v="1"/>
    <n v="1"/>
    <n v="1"/>
    <n v="1"/>
    <n v="1"/>
    <n v="1"/>
    <n v="1"/>
  </r>
  <r>
    <m/>
    <s v="NL1"/>
    <x v="2"/>
    <n v="171"/>
    <n v="137"/>
    <n v="17503962"/>
    <n v="14023642.070175439"/>
    <n v="102362.35087719298"/>
    <n v="102362.35087719299"/>
    <x v="20"/>
    <x v="0"/>
    <n v="1"/>
    <s v=""/>
    <s v="Xuất"/>
    <s v="Kho1"/>
    <n v="34"/>
    <x v="0"/>
    <x v="0"/>
    <m/>
    <n v="3480319.9298245613"/>
    <n v="0"/>
    <n v="0"/>
    <m/>
    <n v="0"/>
    <n v="0"/>
    <n v="0"/>
    <m/>
    <n v="0"/>
    <e v="#DIV/0!"/>
    <n v="0"/>
    <n v="0"/>
    <n v="0"/>
    <n v="0"/>
    <n v="0"/>
    <n v="0"/>
    <n v="0"/>
    <n v="0"/>
    <m/>
    <m/>
    <n v="1"/>
    <n v="1"/>
    <n v="1"/>
    <n v="1"/>
    <n v="1"/>
    <n v="1"/>
    <n v="1"/>
  </r>
  <r>
    <s v="TP1"/>
    <m/>
    <x v="1"/>
    <n v="142"/>
    <n v="174"/>
    <n v="0"/>
    <n v="0"/>
    <n v="0"/>
    <n v="0"/>
    <x v="21"/>
    <x v="0"/>
    <n v="1"/>
    <s v=""/>
    <s v="Nhập"/>
    <s v="Kho1"/>
    <n v="32"/>
    <x v="0"/>
    <x v="0"/>
    <m/>
    <n v="0"/>
    <n v="0"/>
    <n v="0"/>
    <m/>
    <n v="0"/>
    <n v="0"/>
    <n v="0"/>
    <m/>
    <n v="0"/>
    <e v="#DIV/0!"/>
    <n v="0"/>
    <n v="0"/>
    <n v="0"/>
    <n v="0"/>
    <n v="0"/>
    <n v="0"/>
    <n v="0"/>
    <n v="0"/>
    <m/>
    <m/>
    <n v="1"/>
    <n v="1"/>
    <n v="1"/>
    <n v="1"/>
    <n v="1"/>
    <n v="1"/>
    <n v="1"/>
  </r>
  <r>
    <s v="TP1"/>
    <m/>
    <x v="1"/>
    <n v="121"/>
    <n v="142"/>
    <n v="0"/>
    <n v="0"/>
    <n v="0"/>
    <n v="0"/>
    <x v="22"/>
    <x v="0"/>
    <n v="1"/>
    <s v=""/>
    <s v="Nhập"/>
    <s v="Kho1"/>
    <n v="21"/>
    <x v="0"/>
    <x v="0"/>
    <m/>
    <n v="0"/>
    <n v="0"/>
    <n v="0"/>
    <m/>
    <n v="0"/>
    <n v="0"/>
    <n v="0"/>
    <m/>
    <n v="0"/>
    <e v="#DIV/0!"/>
    <n v="0"/>
    <n v="0"/>
    <n v="0"/>
    <n v="0"/>
    <n v="0"/>
    <n v="0"/>
    <n v="0"/>
    <n v="0"/>
    <m/>
    <m/>
    <n v="1"/>
    <n v="1"/>
    <n v="1"/>
    <n v="1"/>
    <n v="1"/>
    <n v="1"/>
    <n v="1"/>
  </r>
  <r>
    <m/>
    <s v="NL2"/>
    <x v="3"/>
    <n v="61"/>
    <n v="50"/>
    <n v="6906093.4782608673"/>
    <n v="5660732.3592302203"/>
    <n v="113214.64718460439"/>
    <n v="113214.6471846044"/>
    <x v="22"/>
    <x v="0"/>
    <n v="1"/>
    <s v=""/>
    <s v="Xuất"/>
    <s v="Kho1"/>
    <n v="11"/>
    <x v="0"/>
    <x v="0"/>
    <m/>
    <n v="1245361.1190306481"/>
    <n v="0"/>
    <n v="0"/>
    <m/>
    <n v="0"/>
    <n v="0"/>
    <n v="0"/>
    <m/>
    <n v="0"/>
    <e v="#DIV/0!"/>
    <n v="0"/>
    <n v="0"/>
    <n v="0"/>
    <n v="0"/>
    <n v="0"/>
    <n v="0"/>
    <n v="0"/>
    <n v="0"/>
    <m/>
    <m/>
    <n v="1"/>
    <n v="1"/>
    <n v="1"/>
    <n v="1"/>
    <n v="1"/>
    <n v="1"/>
    <n v="1"/>
  </r>
  <r>
    <m/>
    <s v="NL2"/>
    <x v="3"/>
    <n v="50"/>
    <n v="75"/>
    <n v="5660732.3592302203"/>
    <n v="9332607.3592302203"/>
    <n v="113214.6471846044"/>
    <n v="124434.76478973628"/>
    <x v="19"/>
    <x v="20"/>
    <n v="4"/>
    <n v="3"/>
    <s v="Nhập"/>
    <s v="Kho1"/>
    <n v="25"/>
    <x v="10"/>
    <x v="2"/>
    <n v="146875"/>
    <n v="3671875"/>
    <n v="0"/>
    <n v="0"/>
    <m/>
    <n v="0"/>
    <n v="0"/>
    <n v="0"/>
    <m/>
    <n v="0"/>
    <e v="#DIV/0!"/>
    <n v="0"/>
    <n v="0"/>
    <n v="0"/>
    <n v="0"/>
    <n v="0"/>
    <n v="0"/>
    <n v="0"/>
    <n v="0"/>
    <m/>
    <m/>
    <n v="1"/>
    <n v="1"/>
    <n v="1"/>
    <n v="1"/>
    <n v="1"/>
    <n v="1"/>
    <n v="1"/>
  </r>
  <r>
    <s v="TP1"/>
    <m/>
    <x v="1"/>
    <n v="139"/>
    <n v="121"/>
    <n v="0"/>
    <n v="0"/>
    <n v="0"/>
    <n v="0"/>
    <x v="23"/>
    <x v="21"/>
    <n v="4"/>
    <n v="0"/>
    <s v="Xuất"/>
    <s v="Kho1"/>
    <n v="18"/>
    <x v="0"/>
    <x v="0"/>
    <m/>
    <n v="0"/>
    <n v="0"/>
    <n v="0"/>
    <s v="BAN-KH2-250424-"/>
    <s v="KH2"/>
    <n v="300000"/>
    <n v="5400000"/>
    <m/>
    <n v="0"/>
    <n v="0"/>
    <n v="5400000"/>
    <n v="0"/>
    <n v="0"/>
    <n v="0"/>
    <n v="0"/>
    <n v="0"/>
    <n v="0"/>
    <n v="0"/>
    <m/>
    <m/>
    <n v="1"/>
    <n v="1"/>
    <n v="1"/>
    <n v="1"/>
    <n v="1"/>
    <n v="1"/>
    <n v="1"/>
  </r>
  <r>
    <m/>
    <s v="NL2"/>
    <x v="3"/>
    <n v="38"/>
    <n v="61"/>
    <n v="5321807.4782608673"/>
    <n v="6906093.4782608673"/>
    <n v="140047.56521739124"/>
    <n v="113214.64718460439"/>
    <x v="24"/>
    <x v="22"/>
    <n v="4"/>
    <n v="2"/>
    <s v="Nhập"/>
    <s v="Kho1"/>
    <n v="23"/>
    <x v="11"/>
    <x v="3"/>
    <n v="68882"/>
    <n v="1584286"/>
    <n v="0"/>
    <n v="0"/>
    <m/>
    <n v="0"/>
    <n v="0"/>
    <n v="0"/>
    <m/>
    <n v="0"/>
    <e v="#DIV/0!"/>
    <n v="0"/>
    <n v="0"/>
    <n v="0"/>
    <n v="0"/>
    <n v="0"/>
    <n v="0"/>
    <n v="0"/>
    <n v="0"/>
    <m/>
    <m/>
    <n v="1"/>
    <n v="1"/>
    <n v="1"/>
    <n v="1"/>
    <n v="1"/>
    <n v="1"/>
    <n v="1"/>
  </r>
  <r>
    <s v="HH1"/>
    <m/>
    <x v="4"/>
    <n v="-5"/>
    <n v="8"/>
    <n v="-450663.50746268593"/>
    <n v="280105.49253731407"/>
    <n v="90132.701492537191"/>
    <n v="35013.186567164259"/>
    <x v="25"/>
    <x v="23"/>
    <n v="4"/>
    <n v="1"/>
    <s v="Nhập"/>
    <s v="Kho1"/>
    <n v="13"/>
    <x v="12"/>
    <x v="1"/>
    <n v="56213"/>
    <n v="730769"/>
    <n v="0"/>
    <n v="0"/>
    <m/>
    <n v="0"/>
    <n v="0"/>
    <n v="0"/>
    <m/>
    <n v="0"/>
    <e v="#DIV/0!"/>
    <n v="0"/>
    <n v="0"/>
    <n v="0"/>
    <n v="0"/>
    <n v="0"/>
    <n v="0"/>
    <n v="0"/>
    <n v="0"/>
    <m/>
    <m/>
    <n v="1"/>
    <n v="1"/>
    <n v="1"/>
    <n v="1"/>
    <n v="1"/>
    <n v="1"/>
    <n v="1"/>
  </r>
  <r>
    <s v="HH1"/>
    <m/>
    <x v="4"/>
    <n v="18"/>
    <n v="-5"/>
    <n v="1622388.6268656738"/>
    <n v="-450663.50746268593"/>
    <n v="90132.701492537439"/>
    <n v="90132.701492537191"/>
    <x v="26"/>
    <x v="23"/>
    <n v="4"/>
    <n v="0"/>
    <s v="Xuất"/>
    <s v="Kho1"/>
    <n v="23"/>
    <x v="0"/>
    <x v="0"/>
    <m/>
    <n v="2073052.1343283611"/>
    <n v="0"/>
    <n v="0"/>
    <s v="BAN-KH3-250417-"/>
    <s v="KH3"/>
    <n v="100000"/>
    <n v="2300000"/>
    <m/>
    <n v="0"/>
    <n v="0"/>
    <n v="2300000"/>
    <n v="0"/>
    <n v="0"/>
    <n v="0"/>
    <n v="0"/>
    <n v="0"/>
    <n v="0"/>
    <n v="0"/>
    <m/>
    <m/>
    <n v="1"/>
    <n v="1"/>
    <n v="1"/>
    <n v="1"/>
    <n v="1"/>
    <n v="1"/>
    <n v="1"/>
  </r>
  <r>
    <s v="TP1"/>
    <m/>
    <x v="1"/>
    <n v="150"/>
    <n v="139"/>
    <n v="0"/>
    <n v="0"/>
    <n v="0"/>
    <n v="0"/>
    <x v="27"/>
    <x v="24"/>
    <n v="4"/>
    <n v="0"/>
    <s v="Xuất"/>
    <s v="Kho1"/>
    <n v="11"/>
    <x v="0"/>
    <x v="0"/>
    <m/>
    <n v="0"/>
    <n v="0"/>
    <n v="0"/>
    <s v="BAN-KH2-250415-"/>
    <s v="KH2"/>
    <n v="300000"/>
    <n v="3300000"/>
    <m/>
    <n v="0"/>
    <n v="0"/>
    <n v="3300000"/>
    <n v="0"/>
    <n v="0"/>
    <n v="0"/>
    <n v="0"/>
    <n v="0"/>
    <n v="0"/>
    <n v="0"/>
    <m/>
    <m/>
    <n v="1"/>
    <n v="1"/>
    <n v="1"/>
    <n v="1"/>
    <n v="1"/>
    <n v="1"/>
    <n v="1"/>
  </r>
  <r>
    <s v="HH1"/>
    <m/>
    <x v="4"/>
    <n v="57"/>
    <n v="18"/>
    <n v="5137563.9850746244"/>
    <n v="1622388.6268656738"/>
    <n v="90132.701492537264"/>
    <n v="90132.701492537439"/>
    <x v="28"/>
    <x v="25"/>
    <n v="4"/>
    <n v="0"/>
    <s v="Xuất"/>
    <s v="Kho1"/>
    <n v="39"/>
    <x v="0"/>
    <x v="0"/>
    <m/>
    <n v="3515175.3582089534"/>
    <n v="0"/>
    <n v="0"/>
    <s v="BAN-KH2-250414-"/>
    <s v="KH2"/>
    <n v="100000"/>
    <n v="3900000"/>
    <m/>
    <n v="0"/>
    <n v="0"/>
    <n v="3900000"/>
    <n v="0"/>
    <n v="0"/>
    <n v="0"/>
    <n v="0"/>
    <n v="0"/>
    <n v="0"/>
    <n v="0"/>
    <m/>
    <m/>
    <n v="1"/>
    <n v="1"/>
    <n v="1"/>
    <n v="1"/>
    <n v="1"/>
    <n v="1"/>
    <n v="1"/>
  </r>
  <r>
    <m/>
    <s v="NL2"/>
    <x v="3"/>
    <n v="73"/>
    <n v="38"/>
    <n v="10223472.260869566"/>
    <n v="5321807.4782608673"/>
    <n v="140047.56521739133"/>
    <n v="140047.56521739124"/>
    <x v="28"/>
    <x v="0"/>
    <n v="1"/>
    <s v=""/>
    <s v="Xuất"/>
    <s v="Kho1"/>
    <n v="35"/>
    <x v="0"/>
    <x v="0"/>
    <m/>
    <n v="4901664.7826086963"/>
    <n v="0"/>
    <n v="0"/>
    <m/>
    <n v="0"/>
    <n v="0"/>
    <n v="0"/>
    <m/>
    <n v="0"/>
    <e v="#DIV/0!"/>
    <n v="0"/>
    <n v="0"/>
    <n v="0"/>
    <n v="0"/>
    <n v="0"/>
    <n v="0"/>
    <n v="0"/>
    <n v="0"/>
    <m/>
    <m/>
    <n v="1"/>
    <n v="1"/>
    <n v="1"/>
    <n v="1"/>
    <n v="1"/>
    <n v="1"/>
    <n v="1"/>
  </r>
  <r>
    <s v="TP2"/>
    <m/>
    <x v="0"/>
    <n v="35"/>
    <n v="80"/>
    <n v="0"/>
    <n v="0"/>
    <n v="0"/>
    <n v="0"/>
    <x v="29"/>
    <x v="0"/>
    <n v="1"/>
    <s v=""/>
    <s v="Nhập"/>
    <s v="Kho1"/>
    <n v="45"/>
    <x v="0"/>
    <x v="0"/>
    <m/>
    <n v="0"/>
    <n v="0"/>
    <n v="0"/>
    <m/>
    <n v="0"/>
    <n v="0"/>
    <n v="0"/>
    <m/>
    <n v="0"/>
    <e v="#DIV/0!"/>
    <n v="0"/>
    <n v="0"/>
    <n v="0"/>
    <n v="0"/>
    <n v="0"/>
    <n v="0"/>
    <n v="0"/>
    <n v="0"/>
    <m/>
    <m/>
    <n v="1"/>
    <n v="1"/>
    <n v="1"/>
    <n v="1"/>
    <n v="1"/>
    <n v="1"/>
    <n v="1"/>
  </r>
  <r>
    <s v="HH1"/>
    <m/>
    <x v="4"/>
    <n v="84"/>
    <n v="57"/>
    <n v="7571146.9253731333"/>
    <n v="5137563.9850746244"/>
    <n v="90132.701492537308"/>
    <n v="90132.701492537264"/>
    <x v="30"/>
    <x v="26"/>
    <n v="4"/>
    <n v="0"/>
    <s v="Xuất"/>
    <s v="Kho1"/>
    <n v="27"/>
    <x v="0"/>
    <x v="0"/>
    <m/>
    <n v="2433582.9402985075"/>
    <n v="0"/>
    <n v="0"/>
    <s v="BAN-KH1-250411-"/>
    <s v="KH1"/>
    <n v="100000"/>
    <n v="2700000"/>
    <m/>
    <n v="0"/>
    <n v="0"/>
    <n v="2700000"/>
    <n v="0"/>
    <n v="0"/>
    <n v="0"/>
    <n v="0"/>
    <n v="0"/>
    <n v="0"/>
    <n v="0"/>
    <m/>
    <m/>
    <n v="1"/>
    <n v="1"/>
    <n v="1"/>
    <n v="1"/>
    <n v="1"/>
    <n v="1"/>
    <n v="1"/>
  </r>
  <r>
    <s v="TP1"/>
    <m/>
    <x v="1"/>
    <n v="136"/>
    <n v="150"/>
    <n v="0"/>
    <n v="0"/>
    <n v="0"/>
    <n v="0"/>
    <x v="31"/>
    <x v="27"/>
    <n v="4"/>
    <n v="0"/>
    <s v="Xuất"/>
    <s v="Kho1"/>
    <n v="14"/>
    <x v="0"/>
    <x v="0"/>
    <m/>
    <n v="0"/>
    <n v="0"/>
    <n v="0"/>
    <s v="BAN-KH3-250409-"/>
    <s v="KH3"/>
    <n v="300000"/>
    <n v="4200000"/>
    <m/>
    <n v="0"/>
    <n v="0"/>
    <n v="4200000"/>
    <n v="0"/>
    <n v="0"/>
    <n v="0"/>
    <n v="0"/>
    <n v="0"/>
    <n v="0"/>
    <n v="0"/>
    <m/>
    <m/>
    <n v="1"/>
    <n v="1"/>
    <n v="1"/>
    <n v="1"/>
    <n v="1"/>
    <n v="1"/>
    <n v="1"/>
  </r>
  <r>
    <s v="TP1"/>
    <m/>
    <x v="1"/>
    <n v="136"/>
    <n v="150"/>
    <n v="0"/>
    <n v="0"/>
    <n v="0"/>
    <n v="0"/>
    <x v="31"/>
    <x v="0"/>
    <n v="1"/>
    <s v=""/>
    <s v="Nhập"/>
    <s v="Kho1"/>
    <n v="28"/>
    <x v="0"/>
    <x v="0"/>
    <m/>
    <n v="0"/>
    <n v="0"/>
    <n v="0"/>
    <m/>
    <n v="0"/>
    <n v="0"/>
    <n v="0"/>
    <m/>
    <n v="0"/>
    <e v="#DIV/0!"/>
    <n v="0"/>
    <n v="0"/>
    <n v="0"/>
    <n v="0"/>
    <n v="0"/>
    <n v="0"/>
    <n v="0"/>
    <n v="0"/>
    <m/>
    <m/>
    <n v="1"/>
    <n v="1"/>
    <n v="1"/>
    <n v="1"/>
    <n v="1"/>
    <n v="1"/>
    <n v="1"/>
  </r>
  <r>
    <s v="HH1"/>
    <m/>
    <x v="4"/>
    <n v="103"/>
    <n v="84"/>
    <n v="9283668.2537313439"/>
    <n v="7571146.9253731333"/>
    <n v="90132.701492537322"/>
    <n v="90132.701492537308"/>
    <x v="32"/>
    <x v="28"/>
    <n v="4"/>
    <n v="0"/>
    <s v="Xuất"/>
    <s v="Kho1"/>
    <n v="19"/>
    <x v="0"/>
    <x v="0"/>
    <m/>
    <n v="1712521.3283582092"/>
    <n v="0"/>
    <n v="0"/>
    <s v="BAN-KH2-250408-"/>
    <s v="KH2"/>
    <n v="100000"/>
    <n v="1900000"/>
    <m/>
    <n v="0"/>
    <n v="0"/>
    <n v="1900000"/>
    <n v="0"/>
    <n v="0"/>
    <n v="0"/>
    <n v="0"/>
    <n v="0"/>
    <n v="0"/>
    <n v="0"/>
    <m/>
    <m/>
    <n v="1"/>
    <n v="1"/>
    <n v="1"/>
    <n v="1"/>
    <n v="1"/>
    <n v="1"/>
    <n v="1"/>
  </r>
  <r>
    <m/>
    <s v="NL2"/>
    <x v="3"/>
    <n v="88"/>
    <n v="73"/>
    <n v="12324185.739130437"/>
    <n v="10223472.260869566"/>
    <n v="140047.56521739133"/>
    <n v="140047.56521739133"/>
    <x v="32"/>
    <x v="0"/>
    <n v="1"/>
    <s v=""/>
    <s v="Xuất"/>
    <s v="Kho1"/>
    <n v="15"/>
    <x v="0"/>
    <x v="0"/>
    <m/>
    <n v="2100713.4782608701"/>
    <n v="0"/>
    <n v="0"/>
    <m/>
    <n v="0"/>
    <n v="0"/>
    <n v="0"/>
    <m/>
    <n v="0"/>
    <e v="#DIV/0!"/>
    <n v="0"/>
    <n v="0"/>
    <n v="0"/>
    <n v="0"/>
    <n v="0"/>
    <n v="0"/>
    <n v="0"/>
    <n v="0"/>
    <m/>
    <m/>
    <n v="1"/>
    <n v="1"/>
    <n v="1"/>
    <n v="1"/>
    <n v="1"/>
    <n v="1"/>
    <n v="1"/>
  </r>
  <r>
    <s v="TP1"/>
    <m/>
    <x v="1"/>
    <n v="106"/>
    <n v="136"/>
    <n v="0"/>
    <n v="0"/>
    <n v="0"/>
    <n v="0"/>
    <x v="33"/>
    <x v="0"/>
    <n v="1"/>
    <s v=""/>
    <s v="Nhập"/>
    <s v="Kho1"/>
    <n v="30"/>
    <x v="0"/>
    <x v="0"/>
    <m/>
    <n v="0"/>
    <n v="0"/>
    <n v="0"/>
    <m/>
    <n v="0"/>
    <n v="0"/>
    <n v="0"/>
    <m/>
    <n v="0"/>
    <e v="#DIV/0!"/>
    <n v="0"/>
    <n v="0"/>
    <n v="0"/>
    <n v="0"/>
    <n v="0"/>
    <n v="0"/>
    <n v="0"/>
    <n v="0"/>
    <m/>
    <m/>
    <n v="1"/>
    <n v="1"/>
    <n v="1"/>
    <n v="1"/>
    <n v="1"/>
    <n v="1"/>
    <n v="1"/>
  </r>
  <r>
    <s v="TP1"/>
    <m/>
    <x v="1"/>
    <n v="78"/>
    <n v="106"/>
    <n v="0"/>
    <n v="0"/>
    <n v="0"/>
    <n v="0"/>
    <x v="34"/>
    <x v="0"/>
    <n v="1"/>
    <s v=""/>
    <s v="Nhập"/>
    <s v="Kho1"/>
    <n v="28"/>
    <x v="0"/>
    <x v="0"/>
    <m/>
    <n v="0"/>
    <n v="0"/>
    <n v="0"/>
    <m/>
    <n v="0"/>
    <n v="0"/>
    <n v="0"/>
    <m/>
    <n v="0"/>
    <e v="#DIV/0!"/>
    <n v="0"/>
    <n v="0"/>
    <n v="0"/>
    <n v="0"/>
    <n v="0"/>
    <n v="0"/>
    <n v="0"/>
    <n v="0"/>
    <m/>
    <m/>
    <n v="1"/>
    <n v="1"/>
    <n v="1"/>
    <n v="1"/>
    <n v="1"/>
    <n v="1"/>
    <n v="1"/>
  </r>
  <r>
    <m/>
    <s v="NL2"/>
    <x v="3"/>
    <n v="138"/>
    <n v="88"/>
    <n v="19326564"/>
    <n v="12324185.739130437"/>
    <n v="140047.5652173913"/>
    <n v="140047.56521739133"/>
    <x v="35"/>
    <x v="0"/>
    <n v="1"/>
    <s v=""/>
    <s v="Xuất"/>
    <s v="Kho1"/>
    <n v="50"/>
    <x v="0"/>
    <x v="0"/>
    <m/>
    <n v="7002378.2608695645"/>
    <n v="0"/>
    <n v="0"/>
    <m/>
    <n v="0"/>
    <n v="0"/>
    <n v="0"/>
    <m/>
    <n v="0"/>
    <e v="#DIV/0!"/>
    <n v="0"/>
    <n v="0"/>
    <n v="0"/>
    <n v="0"/>
    <n v="0"/>
    <n v="0"/>
    <n v="0"/>
    <n v="0"/>
    <m/>
    <m/>
    <n v="1"/>
    <n v="1"/>
    <n v="1"/>
    <n v="1"/>
    <n v="1"/>
    <n v="1"/>
    <n v="1"/>
  </r>
  <r>
    <s v="TP1"/>
    <m/>
    <x v="1"/>
    <n v="106"/>
    <n v="78"/>
    <n v="0"/>
    <n v="0"/>
    <n v="0"/>
    <n v="0"/>
    <x v="36"/>
    <x v="29"/>
    <n v="4"/>
    <n v="0"/>
    <s v="Xuất"/>
    <s v="Kho1"/>
    <n v="28"/>
    <x v="0"/>
    <x v="0"/>
    <m/>
    <n v="0"/>
    <n v="0"/>
    <n v="0"/>
    <s v="BAN-KH1-250403-"/>
    <s v="KH1"/>
    <n v="300000"/>
    <n v="8400000"/>
    <m/>
    <n v="0"/>
    <n v="0"/>
    <n v="8400000"/>
    <n v="0"/>
    <n v="0"/>
    <n v="0"/>
    <n v="0"/>
    <n v="0"/>
    <n v="0"/>
    <n v="0"/>
    <m/>
    <m/>
    <n v="1"/>
    <n v="1"/>
    <n v="1"/>
    <n v="1"/>
    <n v="1"/>
    <n v="1"/>
    <n v="1"/>
  </r>
  <r>
    <s v="TP2"/>
    <m/>
    <x v="0"/>
    <n v="66"/>
    <n v="35"/>
    <n v="0"/>
    <n v="0"/>
    <n v="0"/>
    <n v="0"/>
    <x v="37"/>
    <x v="30"/>
    <n v="3"/>
    <n v="0"/>
    <s v="Xuất"/>
    <s v="Kho1"/>
    <n v="31"/>
    <x v="0"/>
    <x v="0"/>
    <m/>
    <n v="0"/>
    <n v="0"/>
    <n v="0"/>
    <s v="BAN-KH2-250330-"/>
    <s v="KH2"/>
    <n v="500000"/>
    <n v="15500000"/>
    <m/>
    <n v="0"/>
    <n v="0"/>
    <n v="15500000"/>
    <n v="0"/>
    <n v="0"/>
    <n v="0"/>
    <n v="0"/>
    <n v="0"/>
    <n v="0"/>
    <n v="0"/>
    <m/>
    <m/>
    <n v="1"/>
    <n v="1"/>
    <n v="1"/>
    <n v="1"/>
    <n v="1"/>
    <n v="1"/>
    <n v="1"/>
  </r>
  <r>
    <m/>
    <s v="NL1"/>
    <x v="2"/>
    <n v="165"/>
    <n v="171"/>
    <n v="16618566"/>
    <n v="17503962"/>
    <n v="100718.58181818182"/>
    <n v="102362.35087719298"/>
    <x v="37"/>
    <x v="31"/>
    <n v="3"/>
    <n v="2"/>
    <s v="Nhập"/>
    <s v="Kho1"/>
    <n v="6"/>
    <x v="13"/>
    <x v="2"/>
    <n v="147566"/>
    <n v="885396"/>
    <n v="0"/>
    <n v="0"/>
    <m/>
    <n v="0"/>
    <n v="0"/>
    <n v="0"/>
    <m/>
    <n v="0"/>
    <e v="#DIV/0!"/>
    <n v="0"/>
    <n v="0"/>
    <n v="0"/>
    <n v="0"/>
    <n v="0"/>
    <n v="0"/>
    <n v="0"/>
    <n v="0"/>
    <m/>
    <m/>
    <n v="1"/>
    <n v="1"/>
    <n v="1"/>
    <n v="1"/>
    <n v="1"/>
    <n v="1"/>
    <n v="1"/>
  </r>
  <r>
    <s v="TP1"/>
    <m/>
    <x v="1"/>
    <n v="120"/>
    <n v="106"/>
    <n v="0"/>
    <n v="0"/>
    <n v="0"/>
    <n v="0"/>
    <x v="38"/>
    <x v="32"/>
    <n v="3"/>
    <n v="0"/>
    <s v="Xuất"/>
    <s v="Kho1"/>
    <n v="14"/>
    <x v="0"/>
    <x v="0"/>
    <m/>
    <n v="0"/>
    <n v="0"/>
    <n v="0"/>
    <s v="BAN-KH1-250327-"/>
    <s v="KH1"/>
    <n v="300000"/>
    <n v="4200000"/>
    <m/>
    <n v="0"/>
    <n v="0"/>
    <n v="4200000"/>
    <n v="0"/>
    <n v="0"/>
    <n v="0"/>
    <n v="0"/>
    <n v="0"/>
    <n v="0"/>
    <n v="0"/>
    <m/>
    <m/>
    <n v="1"/>
    <n v="1"/>
    <n v="1"/>
    <n v="1"/>
    <n v="1"/>
    <n v="1"/>
    <n v="1"/>
  </r>
  <r>
    <s v="TP1"/>
    <m/>
    <x v="1"/>
    <n v="91"/>
    <n v="120"/>
    <n v="0"/>
    <n v="0"/>
    <n v="0"/>
    <n v="0"/>
    <x v="39"/>
    <x v="0"/>
    <n v="1"/>
    <s v=""/>
    <s v="Nhập"/>
    <s v="Kho1"/>
    <n v="29"/>
    <x v="0"/>
    <x v="0"/>
    <m/>
    <n v="0"/>
    <n v="0"/>
    <n v="0"/>
    <m/>
    <n v="0"/>
    <n v="0"/>
    <n v="0"/>
    <m/>
    <n v="0"/>
    <e v="#DIV/0!"/>
    <n v="0"/>
    <n v="0"/>
    <n v="0"/>
    <n v="0"/>
    <n v="0"/>
    <n v="0"/>
    <n v="0"/>
    <n v="0"/>
    <m/>
    <m/>
    <n v="1"/>
    <n v="1"/>
    <n v="1"/>
    <n v="1"/>
    <n v="1"/>
    <n v="1"/>
    <n v="1"/>
  </r>
  <r>
    <s v="TP2"/>
    <m/>
    <x v="0"/>
    <n v="28"/>
    <n v="66"/>
    <n v="0"/>
    <n v="0"/>
    <n v="0"/>
    <n v="0"/>
    <x v="39"/>
    <x v="0"/>
    <n v="1"/>
    <s v=""/>
    <s v="Nhập"/>
    <s v="Kho1"/>
    <n v="38"/>
    <x v="0"/>
    <x v="0"/>
    <m/>
    <n v="0"/>
    <n v="0"/>
    <n v="0"/>
    <m/>
    <n v="0"/>
    <n v="0"/>
    <n v="0"/>
    <m/>
    <n v="0"/>
    <e v="#DIV/0!"/>
    <n v="0"/>
    <n v="0"/>
    <n v="0"/>
    <n v="0"/>
    <n v="0"/>
    <n v="0"/>
    <n v="0"/>
    <n v="0"/>
    <m/>
    <m/>
    <n v="1"/>
    <n v="1"/>
    <n v="1"/>
    <n v="1"/>
    <n v="1"/>
    <n v="1"/>
    <n v="1"/>
  </r>
  <r>
    <s v="HH1"/>
    <m/>
    <x v="4"/>
    <n v="133"/>
    <n v="103"/>
    <n v="11987649.298507463"/>
    <n v="9283668.2537313439"/>
    <n v="90132.701492537322"/>
    <n v="90132.701492537322"/>
    <x v="40"/>
    <x v="33"/>
    <n v="3"/>
    <n v="0"/>
    <s v="Xuất"/>
    <s v="Kho1"/>
    <n v="30"/>
    <x v="0"/>
    <x v="0"/>
    <m/>
    <n v="2703981.0447761198"/>
    <n v="0"/>
    <n v="0"/>
    <s v="BAN-KH3-250325-"/>
    <s v="KH3"/>
    <n v="100000"/>
    <n v="3000000"/>
    <m/>
    <n v="0"/>
    <n v="0"/>
    <n v="3000000"/>
    <n v="0"/>
    <n v="0"/>
    <n v="0"/>
    <n v="0"/>
    <n v="0"/>
    <n v="0"/>
    <n v="0"/>
    <m/>
    <m/>
    <n v="1"/>
    <n v="1"/>
    <n v="1"/>
    <n v="1"/>
    <n v="1"/>
    <n v="1"/>
    <n v="1"/>
  </r>
  <r>
    <m/>
    <s v="NL2"/>
    <x v="3"/>
    <n v="130"/>
    <n v="138"/>
    <n v="18536292"/>
    <n v="19326564"/>
    <n v="142586.86153846153"/>
    <n v="140047.5652173913"/>
    <x v="41"/>
    <x v="34"/>
    <n v="3"/>
    <n v="0"/>
    <s v="Nhập"/>
    <s v="Kho1"/>
    <n v="8"/>
    <x v="14"/>
    <x v="1"/>
    <n v="98784"/>
    <n v="790272"/>
    <n v="0"/>
    <n v="0"/>
    <m/>
    <n v="0"/>
    <n v="0"/>
    <n v="0"/>
    <m/>
    <n v="0"/>
    <e v="#DIV/0!"/>
    <n v="0"/>
    <n v="0"/>
    <n v="0"/>
    <n v="0"/>
    <n v="0"/>
    <n v="0"/>
    <n v="0"/>
    <n v="0"/>
    <m/>
    <m/>
    <n v="1"/>
    <n v="1"/>
    <n v="1"/>
    <n v="1"/>
    <n v="1"/>
    <n v="1"/>
    <n v="1"/>
  </r>
  <r>
    <s v="HH1"/>
    <m/>
    <x v="4"/>
    <n v="134"/>
    <n v="133"/>
    <n v="12077782"/>
    <n v="11987649.298507463"/>
    <n v="90132.701492537308"/>
    <n v="90132.701492537322"/>
    <x v="42"/>
    <x v="35"/>
    <n v="3"/>
    <n v="0"/>
    <s v="Xuất"/>
    <s v="Kho1"/>
    <n v="1"/>
    <x v="0"/>
    <x v="0"/>
    <m/>
    <n v="90132.701492537308"/>
    <n v="0"/>
    <n v="0"/>
    <s v="BAN-KH1-250320-"/>
    <s v="KH1"/>
    <n v="100000"/>
    <n v="100000"/>
    <m/>
    <n v="0"/>
    <n v="0"/>
    <n v="100000"/>
    <n v="0"/>
    <n v="0"/>
    <n v="0"/>
    <n v="0"/>
    <n v="0"/>
    <n v="0"/>
    <n v="0"/>
    <m/>
    <m/>
    <n v="1"/>
    <n v="1"/>
    <n v="1"/>
    <n v="1"/>
    <n v="1"/>
    <n v="1"/>
    <n v="1"/>
  </r>
  <r>
    <s v="TP2"/>
    <m/>
    <x v="0"/>
    <n v="76"/>
    <n v="28"/>
    <n v="0"/>
    <n v="0"/>
    <n v="0"/>
    <n v="0"/>
    <x v="43"/>
    <x v="36"/>
    <n v="3"/>
    <n v="0"/>
    <s v="Xuất"/>
    <s v="Kho1"/>
    <n v="48"/>
    <x v="0"/>
    <x v="0"/>
    <m/>
    <n v="0"/>
    <n v="0"/>
    <n v="0"/>
    <s v="BAN-KH2-250319-"/>
    <s v="KH2"/>
    <n v="500000"/>
    <n v="24000000"/>
    <m/>
    <n v="0"/>
    <n v="0"/>
    <n v="24000000"/>
    <n v="0"/>
    <n v="0"/>
    <n v="0"/>
    <n v="0"/>
    <n v="0"/>
    <n v="0"/>
    <n v="0"/>
    <m/>
    <m/>
    <n v="1"/>
    <n v="1"/>
    <n v="1"/>
    <n v="1"/>
    <n v="1"/>
    <n v="1"/>
    <n v="1"/>
  </r>
  <r>
    <s v="TP1"/>
    <m/>
    <x v="1"/>
    <n v="68"/>
    <n v="91"/>
    <n v="0"/>
    <n v="0"/>
    <n v="0"/>
    <n v="0"/>
    <x v="44"/>
    <x v="0"/>
    <n v="1"/>
    <s v=""/>
    <s v="Nhập"/>
    <s v="Kho1"/>
    <n v="23"/>
    <x v="0"/>
    <x v="0"/>
    <m/>
    <n v="0"/>
    <n v="0"/>
    <n v="0"/>
    <m/>
    <n v="0"/>
    <n v="0"/>
    <n v="0"/>
    <m/>
    <n v="0"/>
    <e v="#DIV/0!"/>
    <n v="0"/>
    <n v="0"/>
    <n v="0"/>
    <n v="0"/>
    <n v="0"/>
    <n v="0"/>
    <n v="0"/>
    <n v="0"/>
    <m/>
    <m/>
    <n v="1"/>
    <n v="1"/>
    <n v="1"/>
    <n v="1"/>
    <n v="1"/>
    <n v="1"/>
    <n v="1"/>
  </r>
  <r>
    <s v="TP1"/>
    <m/>
    <x v="1"/>
    <n v="35"/>
    <n v="68"/>
    <n v="0"/>
    <n v="0"/>
    <n v="0"/>
    <n v="0"/>
    <x v="45"/>
    <x v="0"/>
    <n v="1"/>
    <s v=""/>
    <s v="Nhập"/>
    <s v="Kho1"/>
    <n v="33"/>
    <x v="0"/>
    <x v="0"/>
    <m/>
    <n v="0"/>
    <n v="0"/>
    <n v="0"/>
    <m/>
    <n v="0"/>
    <n v="0"/>
    <n v="0"/>
    <m/>
    <n v="0"/>
    <e v="#DIV/0!"/>
    <n v="0"/>
    <n v="0"/>
    <n v="0"/>
    <n v="0"/>
    <n v="0"/>
    <n v="0"/>
    <n v="0"/>
    <n v="0"/>
    <m/>
    <m/>
    <n v="1"/>
    <n v="1"/>
    <n v="1"/>
    <n v="1"/>
    <n v="1"/>
    <n v="1"/>
    <n v="1"/>
  </r>
  <r>
    <s v="HH1"/>
    <m/>
    <x v="4"/>
    <n v="111"/>
    <n v="134"/>
    <n v="8880000"/>
    <n v="12077782"/>
    <n v="80000"/>
    <n v="90132.701492537308"/>
    <x v="46"/>
    <x v="37"/>
    <n v="3"/>
    <n v="0"/>
    <s v="Nhập"/>
    <s v="Kho1"/>
    <n v="23"/>
    <x v="15"/>
    <x v="1"/>
    <n v="139034"/>
    <n v="3197782"/>
    <n v="0"/>
    <n v="0"/>
    <m/>
    <n v="0"/>
    <n v="0"/>
    <n v="0"/>
    <m/>
    <n v="0"/>
    <e v="#DIV/0!"/>
    <n v="0"/>
    <n v="0"/>
    <n v="0"/>
    <n v="0"/>
    <n v="0"/>
    <n v="0"/>
    <n v="0"/>
    <n v="0"/>
    <m/>
    <m/>
    <n v="1"/>
    <n v="1"/>
    <n v="1"/>
    <n v="1"/>
    <n v="1"/>
    <n v="1"/>
    <n v="1"/>
  </r>
  <r>
    <m/>
    <s v="NL2"/>
    <x v="3"/>
    <n v="150"/>
    <n v="118"/>
    <n v="22500000"/>
    <n v="17700000"/>
    <n v="150000"/>
    <n v="150000"/>
    <x v="47"/>
    <x v="0"/>
    <n v="1"/>
    <s v=""/>
    <s v="Xuất"/>
    <s v="Kho1"/>
    <n v="32"/>
    <x v="0"/>
    <x v="0"/>
    <m/>
    <n v="4800000"/>
    <n v="0"/>
    <n v="0"/>
    <m/>
    <n v="0"/>
    <n v="0"/>
    <n v="0"/>
    <m/>
    <n v="0"/>
    <e v="#DIV/0!"/>
    <n v="0"/>
    <n v="0"/>
    <n v="0"/>
    <n v="0"/>
    <n v="0"/>
    <n v="0"/>
    <n v="0"/>
    <n v="0"/>
    <m/>
    <m/>
    <n v="1"/>
    <n v="1"/>
    <n v="1"/>
    <n v="1"/>
    <n v="1"/>
    <n v="1"/>
    <n v="1"/>
  </r>
  <r>
    <m/>
    <s v="NL1"/>
    <x v="2"/>
    <n v="151"/>
    <n v="165"/>
    <n v="15100000"/>
    <n v="16618566"/>
    <n v="100000"/>
    <n v="100718.58181818182"/>
    <x v="48"/>
    <x v="38"/>
    <n v="3"/>
    <n v="1"/>
    <s v="Nhập"/>
    <s v="Kho1"/>
    <n v="14"/>
    <x v="16"/>
    <x v="2"/>
    <n v="108469"/>
    <n v="1518566"/>
    <n v="0"/>
    <n v="0"/>
    <m/>
    <n v="0"/>
    <n v="0"/>
    <n v="0"/>
    <m/>
    <n v="0"/>
    <e v="#DIV/0!"/>
    <n v="0"/>
    <n v="0"/>
    <n v="0"/>
    <n v="0"/>
    <n v="0"/>
    <n v="0"/>
    <n v="0"/>
    <n v="0"/>
    <m/>
    <m/>
    <n v="1"/>
    <n v="1"/>
    <n v="1"/>
    <n v="1"/>
    <n v="1"/>
    <n v="1"/>
    <n v="1"/>
  </r>
  <r>
    <s v="HH1"/>
    <m/>
    <x v="4"/>
    <n v="150"/>
    <n v="111"/>
    <n v="12000000"/>
    <n v="8880000"/>
    <n v="80000"/>
    <n v="80000"/>
    <x v="49"/>
    <x v="39"/>
    <n v="3"/>
    <n v="0"/>
    <s v="Xuất"/>
    <s v="Kho1"/>
    <n v="39"/>
    <x v="0"/>
    <x v="0"/>
    <m/>
    <n v="3120000"/>
    <n v="0"/>
    <n v="0"/>
    <s v="BAN-KH2-250313-"/>
    <s v="KH2"/>
    <n v="100000"/>
    <n v="3900000"/>
    <m/>
    <n v="0"/>
    <n v="0"/>
    <n v="3900000"/>
    <n v="0"/>
    <n v="0"/>
    <n v="0"/>
    <n v="0"/>
    <n v="0"/>
    <n v="0"/>
    <n v="0"/>
    <m/>
    <m/>
    <n v="1"/>
    <n v="1"/>
    <n v="1"/>
    <n v="1"/>
    <n v="1"/>
    <n v="1"/>
    <n v="1"/>
  </r>
  <r>
    <s v="TP2"/>
    <m/>
    <x v="0"/>
    <n v="45"/>
    <n v="76"/>
    <n v="0"/>
    <n v="0"/>
    <n v="0"/>
    <n v="0"/>
    <x v="49"/>
    <x v="0"/>
    <n v="1"/>
    <s v=""/>
    <s v="Nhập"/>
    <s v="Kho1"/>
    <n v="31"/>
    <x v="0"/>
    <x v="0"/>
    <m/>
    <n v="0"/>
    <n v="0"/>
    <n v="0"/>
    <m/>
    <n v="0"/>
    <n v="0"/>
    <n v="0"/>
    <m/>
    <n v="0"/>
    <e v="#DIV/0!"/>
    <n v="0"/>
    <n v="0"/>
    <n v="0"/>
    <n v="0"/>
    <n v="0"/>
    <n v="0"/>
    <n v="0"/>
    <n v="0"/>
    <m/>
    <m/>
    <n v="1"/>
    <n v="1"/>
    <n v="1"/>
    <n v="1"/>
    <n v="1"/>
    <n v="1"/>
    <n v="1"/>
  </r>
  <r>
    <m/>
    <s v="NL1"/>
    <x v="2"/>
    <n v="200"/>
    <n v="151"/>
    <n v="20000000"/>
    <n v="15100000"/>
    <n v="100000"/>
    <n v="100000"/>
    <x v="50"/>
    <x v="0"/>
    <n v="1"/>
    <s v=""/>
    <s v="Xuất"/>
    <s v="Kho1"/>
    <n v="49"/>
    <x v="0"/>
    <x v="0"/>
    <m/>
    <n v="4900000"/>
    <n v="0"/>
    <n v="0"/>
    <m/>
    <n v="0"/>
    <n v="0"/>
    <n v="0"/>
    <m/>
    <n v="0"/>
    <e v="#DIV/0!"/>
    <n v="0"/>
    <n v="0"/>
    <n v="0"/>
    <n v="0"/>
    <n v="0"/>
    <n v="0"/>
    <n v="0"/>
    <n v="0"/>
    <m/>
    <m/>
    <n v="1"/>
    <n v="1"/>
    <n v="1"/>
    <n v="1"/>
    <n v="1"/>
    <n v="1"/>
    <n v="1"/>
  </r>
  <r>
    <m/>
    <s v="NL2"/>
    <x v="3"/>
    <n v="118"/>
    <n v="130"/>
    <n v="17700000"/>
    <n v="18536292"/>
    <n v="150000"/>
    <n v="142586.86153846153"/>
    <x v="48"/>
    <x v="40"/>
    <n v="3"/>
    <n v="3"/>
    <s v="Nhập"/>
    <s v="Kho1"/>
    <n v="12"/>
    <x v="17"/>
    <x v="3"/>
    <n v="69691"/>
    <n v="836292"/>
    <n v="0"/>
    <n v="0"/>
    <m/>
    <n v="0"/>
    <n v="0"/>
    <n v="0"/>
    <m/>
    <n v="0"/>
    <e v="#DIV/0!"/>
    <n v="0"/>
    <n v="0"/>
    <n v="0"/>
    <n v="0"/>
    <n v="0"/>
    <n v="0"/>
    <n v="0"/>
    <n v="0"/>
    <m/>
    <m/>
    <n v="1"/>
    <n v="1"/>
    <n v="1"/>
    <n v="1"/>
    <n v="1"/>
    <n v="1"/>
    <n v="1"/>
  </r>
  <r>
    <s v="TP1"/>
    <m/>
    <x v="1"/>
    <n v="0"/>
    <n v="35"/>
    <n v="0"/>
    <n v="0"/>
    <n v="0"/>
    <n v="0"/>
    <x v="51"/>
    <x v="0"/>
    <n v="1"/>
    <s v=""/>
    <s v="Nhập"/>
    <s v="Kho1"/>
    <n v="35"/>
    <x v="0"/>
    <x v="0"/>
    <m/>
    <n v="0"/>
    <n v="0"/>
    <n v="0"/>
    <m/>
    <n v="0"/>
    <n v="0"/>
    <n v="0"/>
    <m/>
    <n v="0"/>
    <e v="#DIV/0!"/>
    <n v="0"/>
    <n v="0"/>
    <n v="0"/>
    <n v="0"/>
    <n v="0"/>
    <n v="0"/>
    <n v="0"/>
    <n v="0"/>
    <m/>
    <m/>
    <n v="1"/>
    <n v="1"/>
    <n v="1"/>
    <n v="1"/>
    <n v="1"/>
    <n v="1"/>
    <n v="1"/>
  </r>
  <r>
    <s v="TP2"/>
    <m/>
    <x v="0"/>
    <n v="0"/>
    <n v="45"/>
    <n v="0"/>
    <n v="0"/>
    <n v="0"/>
    <n v="0"/>
    <x v="51"/>
    <x v="0"/>
    <n v="1"/>
    <s v=""/>
    <s v="Nhập"/>
    <s v="Kho1"/>
    <n v="45"/>
    <x v="0"/>
    <x v="0"/>
    <m/>
    <n v="0"/>
    <n v="0"/>
    <n v="0"/>
    <m/>
    <n v="0"/>
    <n v="0"/>
    <n v="0"/>
    <m/>
    <n v="0"/>
    <e v="#DIV/0!"/>
    <n v="0"/>
    <n v="0"/>
    <n v="0"/>
    <n v="0"/>
    <n v="0"/>
    <n v="0"/>
    <n v="0"/>
    <n v="0"/>
    <m/>
    <m/>
    <n v="1"/>
    <n v="1"/>
    <n v="1"/>
    <n v="1"/>
    <n v="1"/>
    <n v="1"/>
    <n v="1"/>
  </r>
  <r>
    <m/>
    <s v="NL1"/>
    <x v="2"/>
    <n v="300"/>
    <n v="200"/>
    <n v="30000000"/>
    <n v="20000000"/>
    <n v="100000"/>
    <n v="100000"/>
    <x v="52"/>
    <x v="0"/>
    <n v="1"/>
    <s v=""/>
    <s v="Xuất"/>
    <s v="Kho1"/>
    <n v="100"/>
    <x v="0"/>
    <x v="0"/>
    <m/>
    <n v="10000000"/>
    <n v="0"/>
    <n v="0"/>
    <m/>
    <n v="0"/>
    <n v="0"/>
    <n v="0"/>
    <m/>
    <n v="0"/>
    <e v="#DIV/0!"/>
    <n v="0"/>
    <n v="0"/>
    <n v="0"/>
    <n v="0"/>
    <n v="0"/>
    <n v="0"/>
    <n v="0"/>
    <n v="0"/>
    <m/>
    <m/>
    <n v="1"/>
    <n v="1"/>
    <n v="1"/>
    <n v="1"/>
    <n v="1"/>
    <n v="1"/>
    <n v="1"/>
  </r>
  <r>
    <m/>
    <s v="NL2"/>
    <x v="3"/>
    <n v="200"/>
    <n v="150"/>
    <n v="30000000"/>
    <n v="22500000"/>
    <n v="150000"/>
    <n v="150000"/>
    <x v="52"/>
    <x v="0"/>
    <n v="1"/>
    <s v=""/>
    <s v="Xuất"/>
    <s v="Kho1"/>
    <n v="50"/>
    <x v="0"/>
    <x v="0"/>
    <m/>
    <n v="7500000"/>
    <n v="0"/>
    <n v="0"/>
    <m/>
    <n v="0"/>
    <n v="0"/>
    <n v="0"/>
    <m/>
    <n v="0"/>
    <e v="#DIV/0!"/>
    <n v="0"/>
    <n v="0"/>
    <n v="0"/>
    <n v="0"/>
    <n v="0"/>
    <n v="0"/>
    <n v="0"/>
    <n v="0"/>
    <m/>
    <m/>
    <n v="1"/>
    <n v="1"/>
    <n v="1"/>
    <n v="1"/>
    <n v="1"/>
    <n v="1"/>
    <n v="1"/>
  </r>
  <r>
    <s v="HH1"/>
    <m/>
    <x v="4"/>
    <n v="0"/>
    <n v="150"/>
    <n v="0"/>
    <n v="12000000"/>
    <n v="0"/>
    <n v="80000"/>
    <x v="53"/>
    <x v="41"/>
    <n v="3"/>
    <n v="0"/>
    <s v="Nhập"/>
    <s v="Kho1"/>
    <n v="150"/>
    <x v="18"/>
    <x v="1"/>
    <n v="80000"/>
    <n v="12000000"/>
    <n v="0"/>
    <n v="0"/>
    <m/>
    <n v="0"/>
    <n v="0"/>
    <n v="0"/>
    <m/>
    <n v="0"/>
    <e v="#DIV/0!"/>
    <n v="0"/>
    <n v="0"/>
    <n v="0"/>
    <n v="0"/>
    <n v="0"/>
    <n v="0"/>
    <n v="0"/>
    <n v="0"/>
    <m/>
    <m/>
    <n v="1"/>
    <n v="1"/>
    <n v="1"/>
    <n v="1"/>
    <n v="1"/>
    <n v="1"/>
    <n v="1"/>
  </r>
  <r>
    <m/>
    <s v="NL2"/>
    <x v="3"/>
    <n v="0"/>
    <n v="200"/>
    <n v="0"/>
    <n v="30000000"/>
    <n v="0"/>
    <n v="150000"/>
    <x v="53"/>
    <x v="41"/>
    <n v="3"/>
    <n v="0"/>
    <s v="Nhập"/>
    <s v="Kho1"/>
    <n v="200"/>
    <x v="18"/>
    <x v="1"/>
    <n v="150000"/>
    <n v="30000000"/>
    <n v="0"/>
    <n v="0"/>
    <m/>
    <n v="0"/>
    <n v="0"/>
    <n v="0"/>
    <m/>
    <n v="0"/>
    <e v="#DIV/0!"/>
    <n v="0"/>
    <n v="0"/>
    <n v="0"/>
    <n v="0"/>
    <n v="0"/>
    <n v="0"/>
    <n v="0"/>
    <n v="0"/>
    <m/>
    <m/>
    <n v="1"/>
    <n v="1"/>
    <n v="1"/>
    <n v="1"/>
    <n v="1"/>
    <n v="1"/>
    <n v="1"/>
  </r>
  <r>
    <m/>
    <s v="NL1"/>
    <x v="2"/>
    <n v="0"/>
    <n v="300"/>
    <n v="0"/>
    <n v="30000000"/>
    <n v="0"/>
    <n v="100000"/>
    <x v="53"/>
    <x v="42"/>
    <n v="3"/>
    <n v="2"/>
    <s v="Nhập"/>
    <s v="Kho1"/>
    <n v="300"/>
    <x v="19"/>
    <x v="2"/>
    <n v="100000"/>
    <n v="30000000"/>
    <n v="0"/>
    <n v="0"/>
    <m/>
    <n v="0"/>
    <n v="0"/>
    <n v="0"/>
    <m/>
    <n v="0"/>
    <e v="#DIV/0!"/>
    <n v="0"/>
    <n v="0"/>
    <n v="0"/>
    <n v="0"/>
    <n v="0"/>
    <n v="0"/>
    <n v="0"/>
    <n v="0"/>
    <m/>
    <m/>
    <n v="1"/>
    <n v="1"/>
    <n v="1"/>
    <n v="1"/>
    <n v="1"/>
    <n v="1"/>
    <n v="1"/>
  </r>
  <r>
    <m/>
    <m/>
    <x v="5"/>
    <n v="0"/>
    <n v="0"/>
    <n v="0"/>
    <n v="0"/>
    <n v="0"/>
    <n v="0"/>
    <x v="54"/>
    <x v="0"/>
    <n v="1"/>
    <s v=""/>
    <m/>
    <m/>
    <m/>
    <x v="0"/>
    <x v="0"/>
    <m/>
    <n v="0"/>
    <n v="0"/>
    <n v="0"/>
    <m/>
    <n v="0"/>
    <n v="0"/>
    <n v="0"/>
    <m/>
    <n v="0"/>
    <e v="#DIV/0!"/>
    <n v="0"/>
    <n v="0"/>
    <n v="0"/>
    <n v="0"/>
    <n v="0"/>
    <n v="0"/>
    <n v="0"/>
    <n v="0"/>
    <m/>
    <m/>
    <n v="1"/>
    <n v="1"/>
    <n v="1"/>
    <n v="1"/>
    <n v="1"/>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AF7635-52D4-4527-87C1-D65A5B7806A9}" name="PivotTable_Ctr" cacheId="10" applyNumberFormats="0" applyBorderFormats="0" applyFontFormats="0" applyPatternFormats="0" applyAlignmentFormats="0" applyWidthHeightFormats="1" dataCaption="Values" tag="d278bf25-5d01-4ceb-957a-24a81eff5aee" updatedVersion="8" minRefreshableVersion="5" useAutoFormatting="1" subtotalHiddenItems="1" rowGrandTotals="0" itemPrintTitles="1" createdVersion="7" indent="0" outline="1" outlineData="1" multipleFieldFilters="0">
  <location ref="AS5:BF113" firstHeaderRow="1" firstDataRow="1" firstDataCol="13"/>
  <pivotFields count="15">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name="Ctr Đơ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CK Đơn" axis="axisRow" allDrilled="1" outline="0" subtotalTop="0" showAll="0" dataSourceSort="1" defaultSubtotal="0" defaultAttributeDrillState="1">
      <items count="2">
        <item x="0"/>
        <item x="1"/>
      </items>
    </pivotField>
    <pivotField name="Dthu Đơn" allDrilled="1" outline="0" subtotalTop="0" showAll="0" dataSourceSort="1" defaultSubtotal="0" defaultAttributeDrillState="1">
      <items count="1">
        <item x="0"/>
      </items>
    </pivotField>
    <pivotField name="Khách"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name="Nhân viê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TT Khách"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name="Phân Nhóm"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SKU"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Ctr SKU" axis="axisRow"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name="CK SKU" axis="axisRow" allDrilled="1" subtotalTop="0" showAll="0" dataSourceSort="1" defaultSubtotal="0" defaultAttributeDrillState="1">
      <items count="1">
        <item x="0"/>
      </items>
    </pivotField>
    <pivotField dataField="1" subtotalTop="0" showAll="0" defaultSubtotal="0"/>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s>
  <rowFields count="13">
    <field x="0"/>
    <field x="5"/>
    <field x="6"/>
    <field x="7"/>
    <field x="4"/>
    <field x="8"/>
    <field x="1"/>
    <field x="2"/>
    <field x="14"/>
    <field x="9"/>
    <field x="10"/>
    <field x="11"/>
    <field x="12"/>
  </rowFields>
  <rowItems count="108">
    <i>
      <x/>
      <x/>
      <x/>
      <x/>
      <x/>
      <x/>
      <x/>
      <x/>
      <x/>
      <x/>
      <x/>
      <x/>
      <x/>
    </i>
    <i r="9">
      <x v="1"/>
      <x v="1"/>
      <x/>
      <x/>
    </i>
    <i r="9">
      <x v="2"/>
      <x v="2"/>
      <x/>
      <x/>
    </i>
    <i>
      <x v="1"/>
      <x v="1"/>
      <x/>
      <x/>
      <x v="1"/>
      <x v="1"/>
      <x/>
      <x/>
      <x v="1"/>
      <x/>
      <x/>
      <x/>
      <x/>
    </i>
    <i r="9">
      <x v="1"/>
      <x v="1"/>
      <x/>
      <x/>
    </i>
    <i r="9">
      <x v="2"/>
      <x v="2"/>
      <x/>
      <x/>
    </i>
    <i>
      <x v="2"/>
      <x v="2"/>
      <x v="1"/>
      <x v="1"/>
      <x v="2"/>
      <x v="2"/>
      <x/>
      <x/>
      <x v="2"/>
      <x/>
      <x/>
      <x/>
      <x/>
    </i>
    <i r="9">
      <x v="1"/>
      <x v="1"/>
      <x/>
      <x/>
    </i>
    <i r="9">
      <x v="2"/>
      <x v="2"/>
      <x/>
      <x/>
    </i>
    <i>
      <x v="3"/>
      <x/>
      <x/>
      <x v="1"/>
      <x v="3"/>
      <x v="3"/>
      <x/>
      <x/>
      <x v="3"/>
      <x/>
      <x/>
      <x/>
      <x/>
    </i>
    <i r="9">
      <x v="1"/>
      <x v="1"/>
      <x/>
      <x/>
    </i>
    <i r="9">
      <x v="2"/>
      <x v="2"/>
      <x/>
      <x/>
    </i>
    <i>
      <x v="4"/>
      <x/>
      <x v="1"/>
      <x v="1"/>
      <x v="3"/>
      <x v="4"/>
      <x/>
      <x/>
      <x v="4"/>
      <x/>
      <x/>
      <x/>
      <x/>
    </i>
    <i r="9">
      <x v="1"/>
      <x v="1"/>
      <x/>
      <x/>
    </i>
    <i r="9">
      <x v="2"/>
      <x v="2"/>
      <x/>
      <x/>
    </i>
    <i>
      <x v="5"/>
      <x v="3"/>
      <x/>
      <x/>
      <x v="4"/>
      <x v="3"/>
      <x/>
      <x/>
      <x v="5"/>
      <x/>
      <x/>
      <x/>
      <x/>
    </i>
    <i r="9">
      <x v="1"/>
      <x v="1"/>
      <x/>
      <x/>
    </i>
    <i r="9">
      <x v="2"/>
      <x v="2"/>
      <x/>
      <x/>
    </i>
    <i>
      <x v="6"/>
      <x v="1"/>
      <x/>
      <x/>
      <x/>
      <x v="5"/>
      <x/>
      <x/>
      <x v="6"/>
      <x/>
      <x/>
      <x/>
      <x/>
    </i>
    <i r="9">
      <x v="1"/>
      <x v="1"/>
      <x/>
      <x/>
    </i>
    <i r="9">
      <x v="2"/>
      <x v="2"/>
      <x/>
      <x/>
    </i>
    <i>
      <x v="7"/>
      <x v="2"/>
      <x/>
      <x v="1"/>
      <x v="5"/>
      <x v="6"/>
      <x/>
      <x/>
      <x v="7"/>
      <x/>
      <x/>
      <x/>
      <x/>
    </i>
    <i r="9">
      <x v="1"/>
      <x v="1"/>
      <x/>
      <x/>
    </i>
    <i r="9">
      <x v="2"/>
      <x v="2"/>
      <x/>
      <x/>
    </i>
    <i>
      <x v="8"/>
      <x/>
      <x v="1"/>
      <x/>
      <x v="1"/>
      <x v="2"/>
      <x/>
      <x/>
      <x v="8"/>
      <x/>
      <x/>
      <x/>
      <x/>
    </i>
    <i r="9">
      <x v="1"/>
      <x v="1"/>
      <x/>
      <x/>
    </i>
    <i r="9">
      <x v="2"/>
      <x v="2"/>
      <x/>
      <x/>
    </i>
    <i>
      <x v="9"/>
      <x v="4"/>
      <x/>
      <x/>
      <x v="6"/>
      <x v="7"/>
      <x/>
      <x/>
      <x v="9"/>
      <x/>
      <x/>
      <x/>
      <x/>
    </i>
    <i r="9">
      <x v="1"/>
      <x v="1"/>
      <x/>
      <x/>
    </i>
    <i r="9">
      <x v="2"/>
      <x v="2"/>
      <x/>
      <x/>
    </i>
    <i>
      <x v="10"/>
      <x/>
      <x/>
      <x/>
      <x v="6"/>
      <x v="8"/>
      <x/>
      <x/>
      <x v="10"/>
      <x/>
      <x/>
      <x/>
      <x/>
    </i>
    <i r="9">
      <x v="1"/>
      <x v="1"/>
      <x/>
      <x/>
    </i>
    <i r="9">
      <x v="2"/>
      <x v="2"/>
      <x/>
      <x/>
    </i>
    <i>
      <x v="11"/>
      <x v="5"/>
      <x/>
      <x v="1"/>
      <x v="2"/>
      <x v="9"/>
      <x/>
      <x/>
      <x v="11"/>
      <x/>
      <x/>
      <x/>
      <x/>
    </i>
    <i r="9">
      <x v="1"/>
      <x v="1"/>
      <x/>
      <x/>
    </i>
    <i r="9">
      <x v="2"/>
      <x v="2"/>
      <x/>
      <x/>
    </i>
    <i>
      <x v="12"/>
      <x v="5"/>
      <x v="1"/>
      <x/>
      <x/>
      <x v="10"/>
      <x/>
      <x/>
      <x v="12"/>
      <x/>
      <x/>
      <x/>
      <x/>
    </i>
    <i r="9">
      <x v="1"/>
      <x v="1"/>
      <x/>
      <x/>
    </i>
    <i r="9">
      <x v="2"/>
      <x v="2"/>
      <x/>
      <x/>
    </i>
    <i>
      <x v="13"/>
      <x/>
      <x/>
      <x v="1"/>
      <x v="5"/>
      <x/>
      <x/>
      <x/>
      <x v="13"/>
      <x/>
      <x/>
      <x/>
      <x/>
    </i>
    <i r="9">
      <x v="1"/>
      <x v="1"/>
      <x/>
      <x/>
    </i>
    <i r="9">
      <x v="2"/>
      <x v="2"/>
      <x/>
      <x/>
    </i>
    <i>
      <x v="14"/>
      <x v="1"/>
      <x v="1"/>
      <x v="1"/>
      <x v="3"/>
      <x v="11"/>
      <x/>
      <x/>
      <x v="14"/>
      <x/>
      <x/>
      <x/>
      <x/>
    </i>
    <i r="9">
      <x v="1"/>
      <x v="1"/>
      <x/>
      <x/>
    </i>
    <i r="9">
      <x v="2"/>
      <x v="2"/>
      <x/>
      <x/>
    </i>
    <i>
      <x v="15"/>
      <x v="2"/>
      <x/>
      <x/>
      <x/>
      <x v="12"/>
      <x/>
      <x/>
      <x v="15"/>
      <x/>
      <x/>
      <x/>
      <x/>
    </i>
    <i r="9">
      <x v="1"/>
      <x v="1"/>
      <x/>
      <x/>
    </i>
    <i r="9">
      <x v="2"/>
      <x v="2"/>
      <x/>
      <x/>
    </i>
    <i>
      <x v="16"/>
      <x/>
      <x/>
      <x v="1"/>
      <x v="2"/>
      <x v="13"/>
      <x/>
      <x/>
      <x v="16"/>
      <x/>
      <x/>
      <x/>
      <x/>
    </i>
    <i r="9">
      <x v="1"/>
      <x v="1"/>
      <x/>
      <x/>
    </i>
    <i r="9">
      <x v="2"/>
      <x v="2"/>
      <x/>
      <x/>
    </i>
    <i>
      <x v="17"/>
      <x/>
      <x/>
      <x/>
      <x v="6"/>
      <x v="6"/>
      <x/>
      <x/>
      <x v="17"/>
      <x/>
      <x/>
      <x/>
      <x/>
    </i>
    <i r="9">
      <x v="1"/>
      <x v="1"/>
      <x/>
      <x/>
    </i>
    <i r="9">
      <x v="2"/>
      <x v="2"/>
      <x/>
      <x/>
    </i>
    <i>
      <x v="18"/>
      <x v="3"/>
      <x v="1"/>
      <x/>
      <x/>
      <x v="14"/>
      <x/>
      <x/>
      <x v="18"/>
      <x/>
      <x/>
      <x/>
      <x/>
    </i>
    <i r="9">
      <x v="1"/>
      <x v="1"/>
      <x/>
      <x/>
    </i>
    <i r="9">
      <x v="2"/>
      <x v="2"/>
      <x/>
      <x/>
    </i>
    <i>
      <x v="19"/>
      <x v="1"/>
      <x/>
      <x v="1"/>
      <x v="5"/>
      <x v="5"/>
      <x/>
      <x/>
      <x v="19"/>
      <x/>
      <x/>
      <x/>
      <x/>
    </i>
    <i r="9">
      <x v="1"/>
      <x v="1"/>
      <x/>
      <x/>
    </i>
    <i r="9">
      <x v="2"/>
      <x v="2"/>
      <x/>
      <x/>
    </i>
    <i>
      <x v="20"/>
      <x v="2"/>
      <x/>
      <x v="1"/>
      <x v="2"/>
      <x v="15"/>
      <x/>
      <x/>
      <x v="20"/>
      <x/>
      <x/>
      <x/>
      <x/>
    </i>
    <i r="9">
      <x v="1"/>
      <x v="1"/>
      <x/>
      <x/>
    </i>
    <i r="9">
      <x v="2"/>
      <x v="2"/>
      <x/>
      <x/>
    </i>
    <i>
      <x v="21"/>
      <x/>
      <x/>
      <x/>
      <x v="1"/>
      <x v="9"/>
      <x/>
      <x/>
      <x v="21"/>
      <x/>
      <x/>
      <x/>
      <x/>
    </i>
    <i r="9">
      <x v="1"/>
      <x v="1"/>
      <x/>
      <x/>
    </i>
    <i r="9">
      <x v="2"/>
      <x v="2"/>
      <x/>
      <x/>
    </i>
    <i>
      <x v="22"/>
      <x v="4"/>
      <x v="1"/>
      <x/>
      <x/>
      <x v="16"/>
      <x/>
      <x/>
      <x v="22"/>
      <x/>
      <x/>
      <x/>
      <x/>
    </i>
    <i r="9">
      <x v="1"/>
      <x v="1"/>
      <x/>
      <x/>
    </i>
    <i r="9">
      <x v="2"/>
      <x v="2"/>
      <x/>
      <x/>
    </i>
    <i>
      <x v="23"/>
      <x/>
      <x/>
      <x v="1"/>
      <x v="5"/>
      <x v="10"/>
      <x/>
      <x/>
      <x v="23"/>
      <x/>
      <x/>
      <x/>
      <x/>
    </i>
    <i r="9">
      <x v="1"/>
      <x v="1"/>
      <x/>
      <x/>
    </i>
    <i r="9">
      <x v="2"/>
      <x v="2"/>
      <x/>
      <x/>
    </i>
    <i>
      <x v="24"/>
      <x v="5"/>
      <x v="1"/>
      <x/>
      <x v="6"/>
      <x/>
      <x/>
      <x/>
      <x v="24"/>
      <x/>
      <x/>
      <x/>
      <x/>
    </i>
    <i r="9">
      <x v="1"/>
      <x v="1"/>
      <x/>
      <x/>
    </i>
    <i r="9">
      <x v="2"/>
      <x v="2"/>
      <x/>
      <x/>
    </i>
    <i>
      <x v="25"/>
      <x v="5"/>
      <x/>
      <x/>
      <x v="1"/>
      <x v="13"/>
      <x/>
      <x/>
      <x v="25"/>
      <x/>
      <x/>
      <x/>
      <x/>
    </i>
    <i r="9">
      <x v="1"/>
      <x v="1"/>
      <x/>
      <x/>
    </i>
    <i r="9">
      <x v="2"/>
      <x v="2"/>
      <x/>
      <x/>
    </i>
    <i>
      <x v="26"/>
      <x/>
      <x/>
      <x v="1"/>
      <x v="5"/>
      <x v="12"/>
      <x/>
      <x/>
      <x v="26"/>
      <x/>
      <x/>
      <x/>
      <x/>
    </i>
    <i r="9">
      <x v="1"/>
      <x v="1"/>
      <x/>
      <x/>
    </i>
    <i r="9">
      <x v="2"/>
      <x v="2"/>
      <x/>
      <x/>
    </i>
    <i>
      <x v="27"/>
      <x v="1"/>
      <x/>
      <x/>
      <x/>
      <x v="17"/>
      <x/>
      <x/>
      <x v="27"/>
      <x/>
      <x/>
      <x/>
      <x/>
    </i>
    <i r="9">
      <x v="1"/>
      <x v="1"/>
      <x/>
      <x/>
    </i>
    <i r="9">
      <x v="2"/>
      <x v="2"/>
      <x/>
      <x/>
    </i>
    <i>
      <x v="28"/>
      <x v="2"/>
      <x v="1"/>
      <x v="1"/>
      <x v="2"/>
      <x v="7"/>
      <x/>
      <x/>
      <x v="28"/>
      <x/>
      <x/>
      <x/>
      <x/>
    </i>
    <i r="9">
      <x v="1"/>
      <x v="1"/>
      <x/>
      <x/>
    </i>
    <i r="9">
      <x v="2"/>
      <x v="2"/>
      <x/>
      <x/>
    </i>
    <i>
      <x v="29"/>
      <x v="5"/>
      <x/>
      <x/>
      <x v="6"/>
      <x v="5"/>
      <x/>
      <x/>
      <x v="29"/>
      <x/>
      <x/>
      <x/>
      <x/>
    </i>
    <i r="9">
      <x v="1"/>
      <x v="1"/>
      <x/>
      <x/>
    </i>
    <i r="9">
      <x v="2"/>
      <x v="2"/>
      <x/>
      <x/>
    </i>
    <i>
      <x v="30"/>
      <x/>
      <x/>
      <x v="1"/>
      <x v="5"/>
      <x v="14"/>
      <x v="1"/>
      <x v="1"/>
      <x v="30"/>
      <x/>
      <x/>
      <x/>
      <x/>
    </i>
    <i r="9">
      <x v="1"/>
      <x v="1"/>
      <x/>
      <x/>
    </i>
    <i r="9">
      <x v="2"/>
      <x v="2"/>
      <x/>
      <x/>
    </i>
    <i>
      <x v="31"/>
      <x/>
      <x/>
      <x/>
      <x v="6"/>
      <x v="10"/>
      <x v="1"/>
      <x v="1"/>
      <x v="31"/>
      <x/>
      <x/>
      <x/>
      <x/>
    </i>
    <i r="9">
      <x v="1"/>
      <x v="1"/>
      <x/>
      <x/>
    </i>
    <i r="9">
      <x v="2"/>
      <x v="2"/>
      <x/>
      <x/>
    </i>
    <i>
      <x v="32"/>
      <x v="4"/>
      <x v="1"/>
      <x/>
      <x v="1"/>
      <x v="15"/>
      <x v="1"/>
      <x v="1"/>
      <x v="32"/>
      <x/>
      <x/>
      <x/>
      <x/>
    </i>
    <i r="9">
      <x v="1"/>
      <x v="1"/>
      <x/>
      <x/>
    </i>
    <i r="9">
      <x v="2"/>
      <x v="2"/>
      <x/>
      <x/>
    </i>
    <i>
      <x v="33"/>
      <x v="1"/>
      <x/>
      <x v="1"/>
      <x v="3"/>
      <x v="1"/>
      <x v="1"/>
      <x v="1"/>
      <x v="33"/>
      <x/>
      <x/>
      <x/>
      <x/>
    </i>
    <i r="9">
      <x v="1"/>
      <x v="1"/>
      <x/>
      <x/>
    </i>
    <i r="9">
      <x v="2"/>
      <x v="2"/>
      <x/>
      <x/>
    </i>
    <i>
      <x v="34"/>
      <x v="2"/>
      <x v="1"/>
      <x/>
      <x/>
      <x v="18"/>
      <x v="1"/>
      <x v="1"/>
      <x v="34"/>
      <x/>
      <x/>
      <x/>
      <x/>
    </i>
    <i r="9">
      <x v="1"/>
      <x v="1"/>
      <x/>
      <x/>
    </i>
    <i r="9">
      <x v="2"/>
      <x v="2"/>
      <x/>
      <x/>
    </i>
    <i>
      <x v="35"/>
      <x/>
      <x/>
      <x/>
      <x v="4"/>
      <x v="4"/>
      <x v="1"/>
      <x v="1"/>
      <x v="35"/>
      <x/>
      <x/>
      <x/>
      <x/>
    </i>
    <i r="9">
      <x v="1"/>
      <x v="1"/>
      <x/>
      <x/>
    </i>
    <i r="9">
      <x v="2"/>
      <x v="2"/>
      <x/>
      <x/>
    </i>
  </rowItems>
  <colItems count="1">
    <i/>
  </colItems>
  <dataFields count="1">
    <dataField name="Dthu SKU" fld="13" baseField="0" baseItem="0"/>
  </dataFields>
  <formats count="16">
    <format dxfId="2129">
      <pivotArea type="all" dataOnly="0" outline="0" fieldPosition="0"/>
    </format>
    <format dxfId="2128">
      <pivotArea outline="0" collapsedLevelsAreSubtotals="1" fieldPosition="0"/>
    </format>
    <format dxfId="2127">
      <pivotArea field="0" type="button" dataOnly="0" labelOnly="1" outline="0" axis="axisRow" fieldPosition="0"/>
    </format>
    <format dxfId="2126">
      <pivotArea field="5" type="button" dataOnly="0" labelOnly="1" outline="0" axis="axisRow" fieldPosition="1"/>
    </format>
    <format dxfId="2125">
      <pivotArea field="6" type="button" dataOnly="0" labelOnly="1" outline="0" axis="axisRow" fieldPosition="2"/>
    </format>
    <format dxfId="2124">
      <pivotArea field="7" type="button" dataOnly="0" labelOnly="1" outline="0" axis="axisRow" fieldPosition="3"/>
    </format>
    <format dxfId="2123">
      <pivotArea field="4" type="button" dataOnly="0" labelOnly="1" outline="0" axis="axisRow" fieldPosition="4"/>
    </format>
    <format dxfId="2122">
      <pivotArea field="8" type="button" dataOnly="0" labelOnly="1" outline="0" axis="axisRow" fieldPosition="5"/>
    </format>
    <format dxfId="2121">
      <pivotArea field="1" type="button" dataOnly="0" labelOnly="1" outline="0" axis="axisRow" fieldPosition="6"/>
    </format>
    <format dxfId="2120">
      <pivotArea field="2" type="button" dataOnly="0" labelOnly="1" outline="0" axis="axisRow" fieldPosition="7"/>
    </format>
    <format dxfId="2119">
      <pivotArea field="3" type="button" dataOnly="0" labelOnly="1" outline="0"/>
    </format>
    <format dxfId="2118">
      <pivotArea field="9" type="button" dataOnly="0" labelOnly="1" outline="0" axis="axisRow" fieldPosition="9"/>
    </format>
    <format dxfId="2117">
      <pivotArea field="10" type="button" dataOnly="0" labelOnly="1" outline="0" axis="axisRow" fieldPosition="10"/>
    </format>
    <format dxfId="2116">
      <pivotArea field="11" type="button" dataOnly="0" labelOnly="1" outline="0" axis="axisRow" fieldPosition="11"/>
    </format>
    <format dxfId="2115">
      <pivotArea field="12" type="button" dataOnly="0" labelOnly="1" outline="0" axis="axisRow" fieldPosition="12"/>
    </format>
    <format dxfId="2114">
      <pivotArea dataOnly="0" labelOnly="1" outline="0" axis="axisValues" fieldPosition="0"/>
    </format>
  </format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Khách"/>
    <pivotHierarchy dragToData="1" caption="Nhân viên"/>
    <pivotHierarchy dragToData="1"/>
    <pivotHierarchy dragToData="1"/>
    <pivotHierarchy dragToData="1"/>
    <pivotHierarchy dragToData="1" caption="Dthu Đơn"/>
    <pivotHierarchy dragToData="1"/>
    <pivotHierarchy dragToData="1" caption="Ctr Đơn"/>
    <pivotHierarchy dragToData="1"/>
    <pivotHierarchy dragToData="1" caption="CK Đơn"/>
    <pivotHierarchy dragToData="1"/>
    <pivotHierarchy dragToData="1"/>
    <pivotHierarchy dragToData="1"/>
    <pivotHierarchy dragToData="1"/>
    <pivotHierarchy dragToData="1"/>
    <pivotHierarchy dragToData="1"/>
    <pivotHierarchy dragToData="1"/>
    <pivotHierarchy dragToData="1" caption="TT Khác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tr SKU"/>
    <pivotHierarchy dragToData="1"/>
    <pivotHierarchy dragToData="1" caption="CK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hân Nhó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3">
    <rowHierarchyUsage hierarchyUsage="81"/>
    <rowHierarchyUsage hierarchyUsage="84"/>
    <rowHierarchyUsage hierarchyUsage="83"/>
    <rowHierarchyUsage hierarchyUsage="119"/>
    <rowHierarchyUsage hierarchyUsage="82"/>
    <rowHierarchyUsage hierarchyUsage="99"/>
    <rowHierarchyUsage hierarchyUsage="89"/>
    <rowHierarchyUsage hierarchyUsage="91"/>
    <rowHierarchyUsage hierarchyUsage="93"/>
    <rowHierarchyUsage hierarchyUsage="194"/>
    <rowHierarchyUsage hierarchyUsage="140"/>
    <rowHierarchyUsage hierarchyUsage="165"/>
    <rowHierarchyUsage hierarchyUsage="16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SKU]"/>
        <x15:activeTabTopLevelEntity name="[Table_Mai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EB2AC9-37AB-4255-9B01-6F9B93D15D6F}" name="PivotTable_KPI_Compare" cacheId="11" applyNumberFormats="0" applyBorderFormats="0" applyFontFormats="0" applyPatternFormats="0" applyAlignmentFormats="0" applyWidthHeightFormats="1" dataCaption="Values" tag="45508815-d621-47df-bd2d-faacd75f7d5b" updatedVersion="7" minRefreshableVersion="5" useAutoFormatting="1" subtotalHiddenItems="1" rowGrandTotals="0" itemPrintTitles="1" createdVersion="8" indent="0" outline="1" outlineData="1" multipleFieldFilters="0">
  <location ref="AK5:AQ57" firstHeaderRow="0" firstDataRow="1" firstDataCol="4"/>
  <pivotFields count="8">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outline="0" subtotalTop="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dataField="1" subtotalTop="0" showAll="0" defaultSubtotal="0"/>
  </pivotFields>
  <rowFields count="4">
    <field x="5"/>
    <field x="6"/>
    <field x="1"/>
    <field x="2"/>
  </rowFields>
  <rowItems count="52">
    <i>
      <x/>
      <x/>
      <x/>
      <x/>
    </i>
    <i r="3">
      <x v="1"/>
    </i>
    <i r="2">
      <x v="1"/>
      <x v="2"/>
    </i>
    <i r="2">
      <x v="2"/>
      <x v="2"/>
    </i>
    <i r="1">
      <x v="1"/>
      <x/>
      <x/>
    </i>
    <i r="3">
      <x v="1"/>
    </i>
    <i r="2">
      <x v="1"/>
      <x v="2"/>
    </i>
    <i r="2">
      <x v="2"/>
      <x v="2"/>
    </i>
    <i r="1">
      <x v="2"/>
      <x/>
      <x/>
    </i>
    <i r="3">
      <x v="1"/>
    </i>
    <i r="2">
      <x v="1"/>
      <x v="2"/>
    </i>
    <i r="2">
      <x v="2"/>
      <x v="2"/>
    </i>
    <i r="1">
      <x v="3"/>
      <x/>
      <x/>
    </i>
    <i r="3">
      <x v="1"/>
    </i>
    <i r="2">
      <x v="1"/>
      <x v="2"/>
    </i>
    <i r="2">
      <x v="2"/>
      <x v="2"/>
    </i>
    <i r="1">
      <x v="4"/>
      <x/>
      <x/>
    </i>
    <i r="3">
      <x v="1"/>
    </i>
    <i r="2">
      <x v="1"/>
      <x v="2"/>
    </i>
    <i r="2">
      <x v="2"/>
      <x v="2"/>
    </i>
    <i r="1">
      <x v="5"/>
      <x/>
      <x/>
    </i>
    <i r="3">
      <x v="1"/>
    </i>
    <i r="2">
      <x v="1"/>
      <x v="2"/>
    </i>
    <i r="2">
      <x v="2"/>
      <x v="2"/>
    </i>
    <i r="1">
      <x v="6"/>
      <x/>
      <x/>
    </i>
    <i r="3">
      <x v="1"/>
    </i>
    <i r="2">
      <x v="1"/>
      <x v="2"/>
    </i>
    <i r="2">
      <x v="2"/>
      <x v="2"/>
    </i>
    <i r="1">
      <x v="7"/>
      <x/>
      <x/>
    </i>
    <i r="3">
      <x v="1"/>
    </i>
    <i r="2">
      <x v="1"/>
      <x v="2"/>
    </i>
    <i r="2">
      <x v="2"/>
      <x v="2"/>
    </i>
    <i r="1">
      <x v="8"/>
      <x/>
      <x/>
    </i>
    <i r="3">
      <x v="1"/>
    </i>
    <i r="2">
      <x v="1"/>
      <x v="2"/>
    </i>
    <i r="2">
      <x v="2"/>
      <x v="2"/>
    </i>
    <i r="1">
      <x v="9"/>
      <x/>
      <x/>
    </i>
    <i r="3">
      <x v="1"/>
    </i>
    <i r="2">
      <x v="1"/>
      <x v="2"/>
    </i>
    <i r="2">
      <x v="2"/>
      <x v="2"/>
    </i>
    <i r="1">
      <x v="10"/>
      <x/>
      <x/>
    </i>
    <i r="3">
      <x v="1"/>
    </i>
    <i r="2">
      <x v="1"/>
      <x v="2"/>
    </i>
    <i r="2">
      <x v="2"/>
      <x v="2"/>
    </i>
    <i r="1">
      <x v="11"/>
      <x/>
      <x/>
    </i>
    <i r="3">
      <x v="1"/>
    </i>
    <i r="2">
      <x v="1"/>
      <x v="2"/>
    </i>
    <i r="2">
      <x v="2"/>
      <x v="2"/>
    </i>
    <i r="1">
      <x v="12"/>
      <x/>
      <x/>
    </i>
    <i r="3">
      <x v="1"/>
    </i>
    <i r="2">
      <x v="1"/>
      <x v="2"/>
    </i>
    <i r="2">
      <x v="2"/>
      <x v="2"/>
    </i>
  </rowItems>
  <colFields count="1">
    <field x="-2"/>
  </colFields>
  <colItems count="3">
    <i>
      <x/>
    </i>
    <i i="1">
      <x v="1"/>
    </i>
    <i i="2">
      <x v="2"/>
    </i>
  </colItems>
  <dataFields count="3">
    <dataField name="Sum of Doanh thu KPI" fld="3" baseField="0" baseItem="0"/>
    <dataField name="Sum of Doanh thu thực tế" fld="4" baseField="0" baseItem="0"/>
    <dataField name="Sum of Tỷ lệ KPI" fld="7" baseField="0" baseItem="0"/>
  </dataField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92"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4">
    <rowHierarchyUsage hierarchyUsage="130"/>
    <rowHierarchyUsage hierarchyUsage="131"/>
    <rowHierarchyUsage hierarchyUsage="132"/>
    <rowHierarchyUsage hierarchyUsage="1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KPI]"/>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48F62A-728F-45AE-8DC2-B8681F725477}" name="PivotTable_SanPham" cacheId="0" applyNumberFormats="0" applyBorderFormats="0" applyFontFormats="0" applyPatternFormats="0" applyAlignmentFormats="0" applyWidthHeightFormats="1" dataCaption="Values" showMissing="0" tag="c56043d8-edf3-4e42-9b78-8a27bb637b98" updatedVersion="8" minRefreshableVersion="5" useAutoFormatting="1" subtotalHiddenItems="1" rowGrandTotals="0" colGrandTotals="0" itemPrintTitles="1" createdVersion="7" indent="0" outline="1" outlineData="1" multipleFieldFilters="0">
  <location ref="S5:AA59" firstHeaderRow="0" firstDataRow="1" firstDataCol="7"/>
  <pivotFields count="12">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xis="axisRow" allDrilled="1" outline="0" subtotalTop="0" showAll="0" dataSourceSort="1" defaultSubtotal="0" defaultAttributeDrillState="1">
      <items count="3">
        <item x="0"/>
        <item x="1"/>
        <item x="2"/>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7">
    <field x="0"/>
    <field x="1"/>
    <field x="3"/>
    <field x="2"/>
    <field x="5"/>
    <field x="6"/>
    <field x="8"/>
  </rowFields>
  <rowItems count="54">
    <i>
      <x/>
      <x/>
      <x/>
      <x/>
      <x/>
      <x/>
      <x/>
    </i>
    <i r="4">
      <x v="1"/>
      <x v="1"/>
      <x/>
    </i>
    <i r="4">
      <x v="2"/>
      <x v="2"/>
      <x/>
    </i>
    <i>
      <x v="1"/>
      <x v="1"/>
      <x v="1"/>
      <x v="1"/>
      <x/>
      <x/>
      <x/>
    </i>
    <i r="4">
      <x v="1"/>
      <x v="1"/>
      <x/>
    </i>
    <i r="4">
      <x v="2"/>
      <x v="2"/>
      <x/>
    </i>
    <i>
      <x v="2"/>
      <x/>
      <x v="2"/>
      <x/>
      <x/>
      <x/>
      <x/>
    </i>
    <i r="4">
      <x v="1"/>
      <x v="1"/>
      <x/>
    </i>
    <i r="4">
      <x v="2"/>
      <x v="2"/>
      <x/>
    </i>
    <i>
      <x v="3"/>
      <x/>
      <x v="3"/>
      <x v="2"/>
      <x/>
      <x/>
      <x/>
    </i>
    <i r="4">
      <x v="1"/>
      <x v="1"/>
      <x/>
    </i>
    <i r="4">
      <x v="2"/>
      <x v="2"/>
      <x/>
    </i>
    <i>
      <x v="4"/>
      <x/>
      <x v="4"/>
      <x v="3"/>
      <x/>
      <x/>
      <x/>
    </i>
    <i r="4">
      <x v="1"/>
      <x v="1"/>
      <x/>
    </i>
    <i r="4">
      <x v="2"/>
      <x v="2"/>
      <x/>
    </i>
    <i>
      <x v="5"/>
      <x v="1"/>
      <x v="5"/>
      <x v="4"/>
      <x/>
      <x/>
      <x/>
    </i>
    <i r="4">
      <x v="1"/>
      <x v="1"/>
      <x/>
    </i>
    <i r="4">
      <x v="2"/>
      <x v="2"/>
      <x/>
    </i>
    <i>
      <x v="6"/>
      <x/>
      <x v="6"/>
      <x/>
      <x/>
      <x/>
      <x/>
    </i>
    <i r="4">
      <x v="1"/>
      <x v="1"/>
      <x/>
    </i>
    <i r="4">
      <x v="2"/>
      <x v="2"/>
      <x/>
    </i>
    <i>
      <x v="7"/>
      <x/>
      <x v="7"/>
      <x v="2"/>
      <x/>
      <x/>
      <x/>
    </i>
    <i r="4">
      <x v="1"/>
      <x v="1"/>
      <x/>
    </i>
    <i r="4">
      <x v="2"/>
      <x v="2"/>
      <x/>
    </i>
    <i>
      <x v="8"/>
      <x v="1"/>
      <x v="8"/>
      <x v="1"/>
      <x/>
      <x/>
      <x/>
    </i>
    <i r="4">
      <x v="1"/>
      <x v="1"/>
      <x/>
    </i>
    <i r="4">
      <x v="2"/>
      <x v="2"/>
      <x/>
    </i>
    <i>
      <x v="9"/>
      <x v="1"/>
      <x v="9"/>
      <x v="5"/>
      <x/>
      <x/>
      <x/>
    </i>
    <i r="4">
      <x v="1"/>
      <x v="1"/>
      <x/>
    </i>
    <i r="4">
      <x v="2"/>
      <x v="2"/>
      <x/>
    </i>
    <i>
      <x v="10"/>
      <x v="1"/>
      <x v="10"/>
      <x v="5"/>
      <x/>
      <x/>
      <x/>
    </i>
    <i r="4">
      <x v="1"/>
      <x v="1"/>
      <x/>
    </i>
    <i r="4">
      <x v="2"/>
      <x v="2"/>
      <x/>
    </i>
    <i>
      <x v="11"/>
      <x/>
      <x v="11"/>
      <x v="6"/>
      <x/>
      <x/>
      <x/>
    </i>
    <i r="4">
      <x v="1"/>
      <x v="1"/>
      <x/>
    </i>
    <i r="4">
      <x v="2"/>
      <x v="2"/>
      <x/>
    </i>
    <i>
      <x v="12"/>
      <x/>
      <x v="12"/>
      <x/>
      <x/>
      <x/>
      <x/>
    </i>
    <i r="4">
      <x v="1"/>
      <x v="1"/>
      <x/>
    </i>
    <i r="4">
      <x v="2"/>
      <x v="2"/>
      <x/>
    </i>
    <i>
      <x v="13"/>
      <x v="1"/>
      <x v="13"/>
      <x v="4"/>
      <x/>
      <x/>
      <x/>
    </i>
    <i r="4">
      <x v="1"/>
      <x v="1"/>
      <x/>
    </i>
    <i r="4">
      <x v="2"/>
      <x v="2"/>
      <x/>
    </i>
    <i>
      <x v="14"/>
      <x/>
      <x v="14"/>
      <x v="2"/>
      <x/>
      <x/>
      <x/>
    </i>
    <i r="4">
      <x v="1"/>
      <x v="1"/>
      <x/>
    </i>
    <i r="4">
      <x v="2"/>
      <x v="2"/>
      <x/>
    </i>
    <i>
      <x v="15"/>
      <x/>
      <x v="15"/>
      <x v="3"/>
      <x/>
      <x/>
      <x/>
    </i>
    <i r="4">
      <x v="1"/>
      <x v="1"/>
      <x/>
    </i>
    <i r="4">
      <x v="2"/>
      <x v="2"/>
      <x/>
    </i>
    <i>
      <x v="16"/>
      <x/>
      <x v="16"/>
      <x v="3"/>
      <x/>
      <x/>
      <x/>
    </i>
    <i r="4">
      <x v="1"/>
      <x v="1"/>
      <x/>
    </i>
    <i r="4">
      <x v="2"/>
      <x v="2"/>
      <x/>
    </i>
    <i>
      <x v="17"/>
      <x v="1"/>
      <x v="17"/>
      <x v="1"/>
      <x/>
      <x/>
      <x/>
    </i>
    <i r="4">
      <x v="1"/>
      <x v="1"/>
      <x/>
    </i>
    <i r="4">
      <x v="2"/>
      <x v="2"/>
      <x/>
    </i>
  </rowItems>
  <colFields count="1">
    <field x="-2"/>
  </colFields>
  <colItems count="2">
    <i>
      <x/>
    </i>
    <i i="1">
      <x v="1"/>
    </i>
  </colItems>
  <dataFields count="2">
    <dataField name="Doanh thu" fld="7" baseField="0" baseItem="0"/>
    <dataField name="Số lượng" fld="4" baseField="0" baseItem="0"/>
  </dataFields>
  <formats count="25">
    <format dxfId="2154">
      <pivotArea type="all" dataOnly="0" outline="0" fieldPosition="0"/>
    </format>
    <format dxfId="2153">
      <pivotArea field="0" type="button" dataOnly="0" labelOnly="1" outline="0" axis="axisRow" fieldPosition="0"/>
    </format>
    <format dxfId="2152">
      <pivotArea dataOnly="0" labelOnly="1" grandRow="1" outline="0" fieldPosition="0"/>
    </format>
    <format dxfId="2151">
      <pivotArea type="all" dataOnly="0" outline="0" fieldPosition="0"/>
    </format>
    <format dxfId="2150">
      <pivotArea outline="0" collapsedLevelsAreSubtotals="1" fieldPosition="0"/>
    </format>
    <format dxfId="2149">
      <pivotArea field="0" type="button" dataOnly="0" labelOnly="1" outline="0" axis="axisRow" fieldPosition="0"/>
    </format>
    <format dxfId="2148">
      <pivotArea field="1" type="button" dataOnly="0" labelOnly="1" outline="0" axis="axisRow" fieldPosition="1"/>
    </format>
    <format dxfId="2147">
      <pivotArea field="3" type="button" dataOnly="0" labelOnly="1" outline="0" axis="axisRow" fieldPosition="2"/>
    </format>
    <format dxfId="2146">
      <pivotArea field="2" type="button" dataOnly="0" labelOnly="1" outline="0" axis="axisRow" fieldPosition="3"/>
    </format>
    <format dxfId="2145">
      <pivotArea field="5" type="button" dataOnly="0" labelOnly="1" outline="0" axis="axisRow" fieldPosition="4"/>
    </format>
    <format dxfId="2144">
      <pivotArea field="6" type="button" dataOnly="0" labelOnly="1" outline="0" axis="axisRow" fieldPosition="5"/>
    </format>
    <format dxfId="2143">
      <pivotArea field="8" type="button" dataOnly="0" labelOnly="1" outline="0" axis="axisRow" fieldPosition="6"/>
    </format>
    <format dxfId="2142">
      <pivotArea dataOnly="0" labelOnly="1" fieldPosition="0">
        <references count="1">
          <reference field="0" count="0"/>
        </references>
      </pivotArea>
    </format>
    <format dxfId="2141">
      <pivotArea dataOnly="0" labelOnly="1" outline="0" fieldPosition="0">
        <references count="1">
          <reference field="4294967294" count="2">
            <x v="0"/>
            <x v="1"/>
          </reference>
        </references>
      </pivotArea>
    </format>
    <format dxfId="2140">
      <pivotArea type="all" dataOnly="0" outline="0" fieldPosition="0"/>
    </format>
    <format dxfId="2139">
      <pivotArea outline="0" collapsedLevelsAreSubtotals="1" fieldPosition="0"/>
    </format>
    <format dxfId="2138">
      <pivotArea field="0" type="button" dataOnly="0" labelOnly="1" outline="0" axis="axisRow" fieldPosition="0"/>
    </format>
    <format dxfId="2137">
      <pivotArea field="1" type="button" dataOnly="0" labelOnly="1" outline="0" axis="axisRow" fieldPosition="1"/>
    </format>
    <format dxfId="2136">
      <pivotArea field="3" type="button" dataOnly="0" labelOnly="1" outline="0" axis="axisRow" fieldPosition="2"/>
    </format>
    <format dxfId="2135">
      <pivotArea field="2" type="button" dataOnly="0" labelOnly="1" outline="0" axis="axisRow" fieldPosition="3"/>
    </format>
    <format dxfId="2134">
      <pivotArea field="5" type="button" dataOnly="0" labelOnly="1" outline="0" axis="axisRow" fieldPosition="4"/>
    </format>
    <format dxfId="2133">
      <pivotArea field="6" type="button" dataOnly="0" labelOnly="1" outline="0" axis="axisRow" fieldPosition="5"/>
    </format>
    <format dxfId="2132">
      <pivotArea field="8" type="button" dataOnly="0" labelOnly="1" outline="0" axis="axisRow" fieldPosition="6"/>
    </format>
    <format dxfId="2131">
      <pivotArea dataOnly="0" labelOnly="1" fieldPosition="0">
        <references count="1">
          <reference field="0" count="0"/>
        </references>
      </pivotArea>
    </format>
    <format dxfId="2130">
      <pivotArea dataOnly="0" labelOnly="1" outline="0" fieldPosition="0">
        <references count="1">
          <reference field="4294967294" count="2">
            <x v="0"/>
            <x v="1"/>
          </reference>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22" name="[Table_DonBan].[Ngày lập]">
      <autoFilter ref="A1">
        <filterColumn colId="0">
          <customFilters and="1">
            <customFilter operator="greaterThanOrEqual" val="45231"/>
            <customFilter operator="lessThanOrEqual" val="45412"/>
          </customFilters>
        </filterColumn>
      </autoFilter>
      <extLst>
        <ext xmlns:x15="http://schemas.microsoft.com/office/spreadsheetml/2010/11/main" uri="{0605FD5F-26C8-4aeb-8148-2DB25E43C511}">
          <x15:pivotFilter useWholeDay="1"/>
        </ext>
      </extLst>
    </filter>
    <filter fld="11" type="dateBetween" evalOrder="-1" id="22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10" type="dateBetween" evalOrder="-1" id="215"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9" type="dateBetween" evalOrder="-1" id="7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7">
    <rowHierarchyUsage hierarchyUsage="138"/>
    <rowHierarchyUsage hierarchyUsage="189"/>
    <rowHierarchyUsage hierarchyUsage="137"/>
    <rowHierarchyUsage hierarchyUsage="194"/>
    <rowHierarchyUsage hierarchyUsage="333"/>
    <rowHierarchyUsage hierarchyUsage="225"/>
    <rowHierarchyUsage hierarchyUsage="2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45FBC2-173E-4C26-95B8-C670AFC8386D}" name="PivotTable_KPI_Actual" cacheId="1" applyNumberFormats="0" applyBorderFormats="0" applyFontFormats="0" applyPatternFormats="0" applyAlignmentFormats="0" applyWidthHeightFormats="1" dataCaption="Values" tag="e31d6bc9-d71e-4505-a006-7a7b7d9cec8a" updatedVersion="8" minRefreshableVersion="5" useAutoFormatting="1" subtotalHiddenItems="1" rowGrandTotals="0" itemPrintTitles="1" createdVersion="8" indent="0" outline="1" outlineData="1" multipleFieldFilters="0">
  <location ref="AC5:AI77" firstHeaderRow="1" firstDataRow="1" firstDataCol="6"/>
  <pivotFields count="10">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name="Doanh thu đơn"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dataField="1" subtotalTop="0" showAll="0" defaultSubtotal="0"/>
    <pivotField axis="axisRow" allDrilled="1" outline="0"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s>
  <rowFields count="6">
    <field x="3"/>
    <field x="7"/>
    <field x="1"/>
    <field x="9"/>
    <field x="6"/>
    <field x="5"/>
  </rowFields>
  <rowItems count="72">
    <i>
      <x/>
      <x/>
      <x/>
      <x/>
      <x/>
      <x/>
    </i>
    <i r="5">
      <x v="1"/>
    </i>
    <i r="5">
      <x v="2"/>
    </i>
    <i>
      <x v="1"/>
      <x v="1"/>
      <x/>
      <x v="1"/>
      <x/>
      <x/>
    </i>
    <i r="5">
      <x v="1"/>
    </i>
    <i r="5">
      <x v="2"/>
    </i>
    <i>
      <x v="2"/>
      <x v="2"/>
      <x v="1"/>
      <x v="2"/>
      <x v="1"/>
      <x/>
    </i>
    <i r="5">
      <x v="1"/>
    </i>
    <i r="5">
      <x v="2"/>
    </i>
    <i>
      <x v="3"/>
      <x/>
      <x v="1"/>
      <x v="3"/>
      <x/>
      <x/>
    </i>
    <i r="5">
      <x v="1"/>
    </i>
    <i r="5">
      <x v="2"/>
    </i>
    <i>
      <x v="4"/>
      <x/>
      <x v="1"/>
      <x v="4"/>
      <x v="1"/>
      <x/>
    </i>
    <i r="5">
      <x v="1"/>
    </i>
    <i r="5">
      <x v="2"/>
    </i>
    <i>
      <x v="5"/>
      <x v="3"/>
      <x/>
      <x v="5"/>
      <x/>
      <x/>
    </i>
    <i r="5">
      <x v="1"/>
    </i>
    <i r="5">
      <x v="2"/>
    </i>
    <i>
      <x v="6"/>
      <x v="1"/>
      <x/>
      <x v="6"/>
      <x/>
      <x/>
    </i>
    <i r="5">
      <x v="1"/>
    </i>
    <i r="5">
      <x v="2"/>
    </i>
    <i>
      <x v="7"/>
      <x v="2"/>
      <x v="1"/>
      <x v="7"/>
      <x/>
      <x/>
    </i>
    <i r="5">
      <x v="1"/>
    </i>
    <i r="5">
      <x v="2"/>
    </i>
    <i>
      <x v="8"/>
      <x/>
      <x/>
      <x v="8"/>
      <x v="1"/>
      <x/>
    </i>
    <i r="5">
      <x v="1"/>
    </i>
    <i r="5">
      <x v="2"/>
    </i>
    <i>
      <x v="9"/>
      <x v="4"/>
      <x/>
      <x v="9"/>
      <x/>
      <x/>
    </i>
    <i r="5">
      <x v="1"/>
    </i>
    <i r="5">
      <x v="2"/>
    </i>
    <i>
      <x v="10"/>
      <x/>
      <x/>
      <x v="10"/>
      <x/>
      <x/>
    </i>
    <i r="5">
      <x v="1"/>
    </i>
    <i r="5">
      <x v="2"/>
    </i>
    <i>
      <x v="11"/>
      <x v="5"/>
      <x v="1"/>
      <x v="11"/>
      <x/>
      <x/>
    </i>
    <i r="5">
      <x v="1"/>
    </i>
    <i r="5">
      <x v="2"/>
    </i>
    <i>
      <x v="12"/>
      <x v="5"/>
      <x/>
      <x v="12"/>
      <x v="1"/>
      <x/>
    </i>
    <i r="5">
      <x v="1"/>
    </i>
    <i r="5">
      <x v="2"/>
    </i>
    <i>
      <x v="13"/>
      <x/>
      <x v="1"/>
      <x v="13"/>
      <x/>
      <x/>
    </i>
    <i r="5">
      <x v="1"/>
    </i>
    <i r="5">
      <x v="2"/>
    </i>
    <i>
      <x v="14"/>
      <x v="1"/>
      <x v="1"/>
      <x v="14"/>
      <x v="1"/>
      <x/>
    </i>
    <i r="5">
      <x v="1"/>
    </i>
    <i r="5">
      <x v="2"/>
    </i>
    <i>
      <x v="15"/>
      <x v="2"/>
      <x/>
      <x v="15"/>
      <x/>
      <x/>
    </i>
    <i r="5">
      <x v="1"/>
    </i>
    <i r="5">
      <x v="2"/>
    </i>
    <i>
      <x v="16"/>
      <x/>
      <x v="1"/>
      <x v="16"/>
      <x/>
      <x/>
    </i>
    <i r="5">
      <x v="1"/>
    </i>
    <i r="5">
      <x v="2"/>
    </i>
    <i>
      <x v="17"/>
      <x/>
      <x/>
      <x v="17"/>
      <x/>
      <x/>
    </i>
    <i r="5">
      <x v="1"/>
    </i>
    <i r="5">
      <x v="2"/>
    </i>
    <i>
      <x v="18"/>
      <x v="3"/>
      <x/>
      <x v="18"/>
      <x v="1"/>
      <x/>
    </i>
    <i r="5">
      <x v="1"/>
    </i>
    <i r="5">
      <x v="2"/>
    </i>
    <i>
      <x v="19"/>
      <x v="1"/>
      <x v="1"/>
      <x v="19"/>
      <x/>
      <x/>
    </i>
    <i r="5">
      <x v="1"/>
    </i>
    <i r="5">
      <x v="2"/>
    </i>
    <i>
      <x v="20"/>
      <x v="2"/>
      <x v="1"/>
      <x v="20"/>
      <x/>
      <x/>
    </i>
    <i r="5">
      <x v="1"/>
    </i>
    <i r="5">
      <x v="2"/>
    </i>
    <i>
      <x v="21"/>
      <x/>
      <x/>
      <x v="21"/>
      <x/>
      <x/>
    </i>
    <i r="5">
      <x v="1"/>
    </i>
    <i r="5">
      <x v="2"/>
    </i>
    <i>
      <x v="22"/>
      <x v="4"/>
      <x/>
      <x v="22"/>
      <x v="1"/>
      <x/>
    </i>
    <i r="5">
      <x v="1"/>
    </i>
    <i r="5">
      <x v="2"/>
    </i>
    <i>
      <x v="23"/>
      <x/>
      <x v="1"/>
      <x v="23"/>
      <x/>
      <x/>
    </i>
    <i r="5">
      <x v="1"/>
    </i>
    <i r="5">
      <x v="2"/>
    </i>
  </rowItems>
  <colItems count="1">
    <i/>
  </colItems>
  <dataFields count="1">
    <dataField name="Sum of Giá trị bán trước VAT" fld="8" baseField="0" baseItem="0"/>
  </dataFields>
  <formats count="55">
    <format dxfId="2209">
      <pivotArea type="all" dataOnly="0" outline="0" fieldPosition="0"/>
    </format>
    <format dxfId="2208">
      <pivotArea outline="0" collapsedLevelsAreSubtotals="1" fieldPosition="0"/>
    </format>
    <format dxfId="2207">
      <pivotArea field="3" type="button" dataOnly="0" labelOnly="1" outline="0" axis="axisRow" fieldPosition="0"/>
    </format>
    <format dxfId="2206">
      <pivotArea field="7" type="button" dataOnly="0" labelOnly="1" outline="0" axis="axisRow" fieldPosition="1"/>
    </format>
    <format dxfId="2205">
      <pivotArea field="1" type="button" dataOnly="0" labelOnly="1" outline="0" axis="axisRow" fieldPosition="2"/>
    </format>
    <format dxfId="2204">
      <pivotArea field="4" type="button" dataOnly="0" labelOnly="1" outline="0"/>
    </format>
    <format dxfId="2203">
      <pivotArea field="6" type="button" dataOnly="0" labelOnly="1" outline="0" axis="axisRow" fieldPosition="4"/>
    </format>
    <format dxfId="2202">
      <pivotArea field="5" type="button" dataOnly="0" labelOnly="1" outline="0" axis="axisRow" fieldPosition="5"/>
    </format>
    <format dxfId="2201">
      <pivotArea dataOnly="0" labelOnly="1" fieldPosition="0">
        <references count="1">
          <reference field="3" count="0"/>
        </references>
      </pivotArea>
    </format>
    <format dxfId="2200">
      <pivotArea dataOnly="0" labelOnly="1" fieldPosition="0">
        <references count="2">
          <reference field="3" count="1" selected="0">
            <x v="0"/>
          </reference>
          <reference field="7" count="1">
            <x v="0"/>
          </reference>
        </references>
      </pivotArea>
    </format>
    <format dxfId="2199">
      <pivotArea dataOnly="0" labelOnly="1" fieldPosition="0">
        <references count="2">
          <reference field="3" count="1" selected="0">
            <x v="1"/>
          </reference>
          <reference field="7" count="1">
            <x v="1"/>
          </reference>
        </references>
      </pivotArea>
    </format>
    <format dxfId="2198">
      <pivotArea dataOnly="0" labelOnly="1" fieldPosition="0">
        <references count="2">
          <reference field="3" count="1" selected="0">
            <x v="2"/>
          </reference>
          <reference field="7" count="1">
            <x v="2"/>
          </reference>
        </references>
      </pivotArea>
    </format>
    <format dxfId="2197">
      <pivotArea dataOnly="0" labelOnly="1" fieldPosition="0">
        <references count="2">
          <reference field="3" count="1" selected="0">
            <x v="3"/>
          </reference>
          <reference field="7" count="1">
            <x v="0"/>
          </reference>
        </references>
      </pivotArea>
    </format>
    <format dxfId="2196">
      <pivotArea dataOnly="0" labelOnly="1" fieldPosition="0">
        <references count="2">
          <reference field="3" count="1" selected="0">
            <x v="5"/>
          </reference>
          <reference field="7" count="1">
            <x v="3"/>
          </reference>
        </references>
      </pivotArea>
    </format>
    <format dxfId="2195">
      <pivotArea dataOnly="0" labelOnly="1" fieldPosition="0">
        <references count="2">
          <reference field="3" count="1" selected="0">
            <x v="6"/>
          </reference>
          <reference field="7" count="1">
            <x v="1"/>
          </reference>
        </references>
      </pivotArea>
    </format>
    <format dxfId="2194">
      <pivotArea dataOnly="0" labelOnly="1" fieldPosition="0">
        <references count="2">
          <reference field="3" count="1" selected="0">
            <x v="7"/>
          </reference>
          <reference field="7" count="1">
            <x v="2"/>
          </reference>
        </references>
      </pivotArea>
    </format>
    <format dxfId="2193">
      <pivotArea dataOnly="0" labelOnly="1" fieldPosition="0">
        <references count="2">
          <reference field="3" count="1" selected="0">
            <x v="8"/>
          </reference>
          <reference field="7" count="1">
            <x v="0"/>
          </reference>
        </references>
      </pivotArea>
    </format>
    <format dxfId="2192">
      <pivotArea dataOnly="0" labelOnly="1" fieldPosition="0">
        <references count="2">
          <reference field="3" count="1" selected="0">
            <x v="9"/>
          </reference>
          <reference field="7" count="1">
            <x v="4"/>
          </reference>
        </references>
      </pivotArea>
    </format>
    <format dxfId="2191">
      <pivotArea dataOnly="0" labelOnly="1" fieldPosition="0">
        <references count="2">
          <reference field="3" count="1" selected="0">
            <x v="10"/>
          </reference>
          <reference field="7" count="1">
            <x v="0"/>
          </reference>
        </references>
      </pivotArea>
    </format>
    <format dxfId="2190">
      <pivotArea dataOnly="0" labelOnly="1" fieldPosition="0">
        <references count="2">
          <reference field="3" count="1" selected="0">
            <x v="11"/>
          </reference>
          <reference field="7" count="1">
            <x v="5"/>
          </reference>
        </references>
      </pivotArea>
    </format>
    <format dxfId="2189">
      <pivotArea dataOnly="0" labelOnly="1" fieldPosition="0">
        <references count="2">
          <reference field="3" count="1" selected="0">
            <x v="13"/>
          </reference>
          <reference field="7" count="1">
            <x v="0"/>
          </reference>
        </references>
      </pivotArea>
    </format>
    <format dxfId="2188">
      <pivotArea dataOnly="0" labelOnly="1" fieldPosition="0">
        <references count="2">
          <reference field="3" count="1" selected="0">
            <x v="14"/>
          </reference>
          <reference field="7" count="1">
            <x v="1"/>
          </reference>
        </references>
      </pivotArea>
    </format>
    <format dxfId="2187">
      <pivotArea dataOnly="0" labelOnly="1" fieldPosition="0">
        <references count="2">
          <reference field="3" count="1" selected="0">
            <x v="15"/>
          </reference>
          <reference field="7" count="1">
            <x v="2"/>
          </reference>
        </references>
      </pivotArea>
    </format>
    <format dxfId="2186">
      <pivotArea dataOnly="0" labelOnly="1" fieldPosition="0">
        <references count="2">
          <reference field="3" count="1" selected="0">
            <x v="16"/>
          </reference>
          <reference field="7" count="1">
            <x v="0"/>
          </reference>
        </references>
      </pivotArea>
    </format>
    <format dxfId="2185">
      <pivotArea dataOnly="0" labelOnly="1" fieldPosition="0">
        <references count="2">
          <reference field="3" count="1" selected="0">
            <x v="18"/>
          </reference>
          <reference field="7" count="1">
            <x v="3"/>
          </reference>
        </references>
      </pivotArea>
    </format>
    <format dxfId="2184">
      <pivotArea dataOnly="0" labelOnly="1" fieldPosition="0">
        <references count="2">
          <reference field="3" count="1" selected="0">
            <x v="19"/>
          </reference>
          <reference field="7" count="1">
            <x v="1"/>
          </reference>
        </references>
      </pivotArea>
    </format>
    <format dxfId="2183">
      <pivotArea dataOnly="0" labelOnly="1" fieldPosition="0">
        <references count="2">
          <reference field="3" count="1" selected="0">
            <x v="20"/>
          </reference>
          <reference field="7" count="1">
            <x v="2"/>
          </reference>
        </references>
      </pivotArea>
    </format>
    <format dxfId="2182">
      <pivotArea dataOnly="0" labelOnly="1" fieldPosition="0">
        <references count="2">
          <reference field="3" count="1" selected="0">
            <x v="21"/>
          </reference>
          <reference field="7" count="1">
            <x v="0"/>
          </reference>
        </references>
      </pivotArea>
    </format>
    <format dxfId="2181">
      <pivotArea dataOnly="0" labelOnly="1" fieldPosition="0">
        <references count="2">
          <reference field="3" count="1" selected="0">
            <x v="22"/>
          </reference>
          <reference field="7" count="1">
            <x v="4"/>
          </reference>
        </references>
      </pivotArea>
    </format>
    <format dxfId="2180">
      <pivotArea dataOnly="0" labelOnly="1" fieldPosition="0">
        <references count="2">
          <reference field="3" count="1" selected="0">
            <x v="23"/>
          </reference>
          <reference field="7" count="1">
            <x v="0"/>
          </reference>
        </references>
      </pivotArea>
    </format>
    <format dxfId="2179">
      <pivotArea dataOnly="0" labelOnly="1" fieldPosition="0">
        <references count="2">
          <reference field="3" count="1" selected="0">
            <x v="24"/>
          </reference>
          <reference field="7" count="1">
            <x v="5"/>
          </reference>
        </references>
      </pivotArea>
    </format>
    <format dxfId="2178">
      <pivotArea dataOnly="0" labelOnly="1" fieldPosition="0">
        <references count="2">
          <reference field="3" count="1" selected="0">
            <x v="25"/>
          </reference>
          <reference field="7" count="1">
            <x v="0"/>
          </reference>
        </references>
      </pivotArea>
    </format>
    <format dxfId="2177">
      <pivotArea dataOnly="0" labelOnly="1" fieldPosition="0">
        <references count="2">
          <reference field="3" count="1" selected="0">
            <x v="26"/>
          </reference>
          <reference field="7" count="1">
            <x v="1"/>
          </reference>
        </references>
      </pivotArea>
    </format>
    <format dxfId="2176">
      <pivotArea dataOnly="0" labelOnly="1" fieldPosition="0">
        <references count="2">
          <reference field="3" count="1" selected="0">
            <x v="27"/>
          </reference>
          <reference field="7" count="1">
            <x v="2"/>
          </reference>
        </references>
      </pivotArea>
    </format>
    <format dxfId="2175">
      <pivotArea dataOnly="0" labelOnly="1" fieldPosition="0">
        <references count="2">
          <reference field="3" count="1" selected="0">
            <x v="28"/>
          </reference>
          <reference field="7" count="1">
            <x v="5"/>
          </reference>
        </references>
      </pivotArea>
    </format>
    <format dxfId="2174">
      <pivotArea dataOnly="0" labelOnly="1" fieldPosition="0">
        <references count="3">
          <reference field="1" count="1">
            <x v="0"/>
          </reference>
          <reference field="3" count="1" selected="0">
            <x v="0"/>
          </reference>
          <reference field="7" count="1" selected="0">
            <x v="0"/>
          </reference>
        </references>
      </pivotArea>
    </format>
    <format dxfId="2173">
      <pivotArea dataOnly="0" labelOnly="1" fieldPosition="0">
        <references count="3">
          <reference field="1" count="1">
            <x v="1"/>
          </reference>
          <reference field="3" count="1" selected="0">
            <x v="2"/>
          </reference>
          <reference field="7" count="1" selected="0">
            <x v="2"/>
          </reference>
        </references>
      </pivotArea>
    </format>
    <format dxfId="2172">
      <pivotArea dataOnly="0" labelOnly="1" fieldPosition="0">
        <references count="3">
          <reference field="1" count="1">
            <x v="0"/>
          </reference>
          <reference field="3" count="1" selected="0">
            <x v="5"/>
          </reference>
          <reference field="7" count="1" selected="0">
            <x v="3"/>
          </reference>
        </references>
      </pivotArea>
    </format>
    <format dxfId="2171">
      <pivotArea dataOnly="0" labelOnly="1" fieldPosition="0">
        <references count="3">
          <reference field="1" count="1">
            <x v="1"/>
          </reference>
          <reference field="3" count="1" selected="0">
            <x v="7"/>
          </reference>
          <reference field="7" count="1" selected="0">
            <x v="2"/>
          </reference>
        </references>
      </pivotArea>
    </format>
    <format dxfId="2170">
      <pivotArea dataOnly="0" labelOnly="1" fieldPosition="0">
        <references count="3">
          <reference field="1" count="1">
            <x v="0"/>
          </reference>
          <reference field="3" count="1" selected="0">
            <x v="8"/>
          </reference>
          <reference field="7" count="1" selected="0">
            <x v="0"/>
          </reference>
        </references>
      </pivotArea>
    </format>
    <format dxfId="2169">
      <pivotArea dataOnly="0" labelOnly="1" fieldPosition="0">
        <references count="3">
          <reference field="1" count="1">
            <x v="1"/>
          </reference>
          <reference field="3" count="1" selected="0">
            <x v="11"/>
          </reference>
          <reference field="7" count="1" selected="0">
            <x v="5"/>
          </reference>
        </references>
      </pivotArea>
    </format>
    <format dxfId="2168">
      <pivotArea dataOnly="0" labelOnly="1" fieldPosition="0">
        <references count="3">
          <reference field="1" count="1">
            <x v="0"/>
          </reference>
          <reference field="3" count="1" selected="0">
            <x v="12"/>
          </reference>
          <reference field="7" count="1" selected="0">
            <x v="5"/>
          </reference>
        </references>
      </pivotArea>
    </format>
    <format dxfId="2167">
      <pivotArea dataOnly="0" labelOnly="1" fieldPosition="0">
        <references count="3">
          <reference field="1" count="1">
            <x v="1"/>
          </reference>
          <reference field="3" count="1" selected="0">
            <x v="13"/>
          </reference>
          <reference field="7" count="1" selected="0">
            <x v="0"/>
          </reference>
        </references>
      </pivotArea>
    </format>
    <format dxfId="2166">
      <pivotArea dataOnly="0" labelOnly="1" fieldPosition="0">
        <references count="3">
          <reference field="1" count="1">
            <x v="0"/>
          </reference>
          <reference field="3" count="1" selected="0">
            <x v="15"/>
          </reference>
          <reference field="7" count="1" selected="0">
            <x v="2"/>
          </reference>
        </references>
      </pivotArea>
    </format>
    <format dxfId="2165">
      <pivotArea dataOnly="0" labelOnly="1" fieldPosition="0">
        <references count="3">
          <reference field="1" count="1">
            <x v="1"/>
          </reference>
          <reference field="3" count="1" selected="0">
            <x v="16"/>
          </reference>
          <reference field="7" count="1" selected="0">
            <x v="0"/>
          </reference>
        </references>
      </pivotArea>
    </format>
    <format dxfId="2164">
      <pivotArea dataOnly="0" labelOnly="1" fieldPosition="0">
        <references count="3">
          <reference field="1" count="1">
            <x v="0"/>
          </reference>
          <reference field="3" count="1" selected="0">
            <x v="17"/>
          </reference>
          <reference field="7" count="1" selected="0">
            <x v="0"/>
          </reference>
        </references>
      </pivotArea>
    </format>
    <format dxfId="2163">
      <pivotArea dataOnly="0" labelOnly="1" fieldPosition="0">
        <references count="3">
          <reference field="1" count="1">
            <x v="1"/>
          </reference>
          <reference field="3" count="1" selected="0">
            <x v="19"/>
          </reference>
          <reference field="7" count="1" selected="0">
            <x v="1"/>
          </reference>
        </references>
      </pivotArea>
    </format>
    <format dxfId="2162">
      <pivotArea dataOnly="0" labelOnly="1" fieldPosition="0">
        <references count="3">
          <reference field="1" count="1">
            <x v="0"/>
          </reference>
          <reference field="3" count="1" selected="0">
            <x v="21"/>
          </reference>
          <reference field="7" count="1" selected="0">
            <x v="0"/>
          </reference>
        </references>
      </pivotArea>
    </format>
    <format dxfId="2161">
      <pivotArea dataOnly="0" labelOnly="1" fieldPosition="0">
        <references count="3">
          <reference field="1" count="1">
            <x v="1"/>
          </reference>
          <reference field="3" count="1" selected="0">
            <x v="23"/>
          </reference>
          <reference field="7" count="1" selected="0">
            <x v="0"/>
          </reference>
        </references>
      </pivotArea>
    </format>
    <format dxfId="2160">
      <pivotArea dataOnly="0" labelOnly="1" fieldPosition="0">
        <references count="3">
          <reference field="1" count="1">
            <x v="0"/>
          </reference>
          <reference field="3" count="1" selected="0">
            <x v="24"/>
          </reference>
          <reference field="7" count="1" selected="0">
            <x v="5"/>
          </reference>
        </references>
      </pivotArea>
    </format>
    <format dxfId="2159">
      <pivotArea dataOnly="0" labelOnly="1" fieldPosition="0">
        <references count="3">
          <reference field="1" count="1">
            <x v="1"/>
          </reference>
          <reference field="3" count="1" selected="0">
            <x v="25"/>
          </reference>
          <reference field="7" count="1" selected="0">
            <x v="0"/>
          </reference>
        </references>
      </pivotArea>
    </format>
    <format dxfId="2158">
      <pivotArea dataOnly="0" labelOnly="1" fieldPosition="0">
        <references count="3">
          <reference field="1" count="1">
            <x v="0"/>
          </reference>
          <reference field="3" count="1" selected="0">
            <x v="26"/>
          </reference>
          <reference field="7" count="1" selected="0">
            <x v="1"/>
          </reference>
        </references>
      </pivotArea>
    </format>
    <format dxfId="2157">
      <pivotArea dataOnly="0" labelOnly="1" fieldPosition="0">
        <references count="3">
          <reference field="1" count="1">
            <x v="1"/>
          </reference>
          <reference field="3" count="1" selected="0">
            <x v="27"/>
          </reference>
          <reference field="7" count="1" selected="0">
            <x v="2"/>
          </reference>
        </references>
      </pivotArea>
    </format>
    <format dxfId="2156">
      <pivotArea dataOnly="0" labelOnly="1" fieldPosition="0">
        <references count="3">
          <reference field="1" count="1">
            <x v="0"/>
          </reference>
          <reference field="3" count="1" selected="0">
            <x v="28"/>
          </reference>
          <reference field="7" count="1" selected="0">
            <x v="5"/>
          </reference>
        </references>
      </pivotArea>
    </format>
    <format dxfId="2155">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đơ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5" level="1">
        <member name="[Table_NhanVien].[Mã NV].&amp;[NV01]"/>
        <member name=""/>
        <member name=""/>
        <member name="[Table_NhanVien].[Mã NV].&amp;[NV04]"/>
        <member name="[Table_NhanVien].[Mã NV].&amp;[NV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3" type="dateBetween" evalOrder="-1" id="117" name="[Table_DonBan].[Ngày lập]">
      <autoFilter ref="A1">
        <filterColumn colId="0">
          <customFilters and="1">
            <customFilter operator="greaterThanOrEqual" val="45292"/>
            <customFilter operator="lessThanOrEqual" val="45535"/>
          </customFilters>
        </filterColumn>
      </autoFilter>
      <extLst>
        <ext xmlns:x15="http://schemas.microsoft.com/office/spreadsheetml/2010/11/main" uri="{0605FD5F-26C8-4aeb-8148-2DB25E43C511}">
          <x15:pivotFilter useWholeDay="1"/>
        </ext>
      </extLst>
    </filter>
    <filter fld="2" type="dateBetween" evalOrder="-1" id="11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0" type="dateBetween" evalOrder="-1" id="7"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6">
    <rowHierarchyUsage hierarchyUsage="138"/>
    <rowHierarchyUsage hierarchyUsage="182"/>
    <rowHierarchyUsage hierarchyUsage="189"/>
    <rowHierarchyUsage hierarchyUsage="150"/>
    <rowHierarchyUsage hierarchyUsage="285"/>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ChiPhiKD]"/>
        <x15:activeTabTopLevelEntity name="[Table_KhachHang]"/>
        <x15:activeTabTopLevelEntity name="[Table_DonBan]"/>
        <x15:activeTabTopLevelEntity name="[Ref_Periods]"/>
        <x15:activeTabTopLevelEntity name="[Table_Main]"/>
        <x15:activeTabTopLevelEntity name="[Table_SKU]"/>
        <x15:activeTabTopLevelEntity name="[Table_KPI]"/>
        <x15:activeTabTopLevelEntity name="[Table_NhanVien]"/>
        <x15:activeTabTopLevelEntity name="[Table_Ken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960D55-00C6-4EBC-9637-473597223216}" name="PivotTable_ThiTruong" cacheId="2" applyNumberFormats="0" applyBorderFormats="0" applyFontFormats="0" applyPatternFormats="0" applyAlignmentFormats="0" applyWidthHeightFormats="1" dataCaption="Values" showMissing="0" tag="37ccdb95-d46c-4fc7-8438-004dd7e29f01" updatedVersion="8" minRefreshableVersion="5" useAutoFormatting="1" subtotalHiddenItems="1" rowGrandTotals="0" colGrandTotals="0" itemPrintTitles="1" createdVersion="7" indent="0" outline="1" outlineData="1" multipleFieldFilters="0">
  <location ref="H5:P113" firstHeaderRow="1" firstDataRow="1" firstDataCol="8"/>
  <pivotFields count="12">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dataField="1" subtotalTop="0" showAll="0" defaultSubtotal="0"/>
    <pivotField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allDrilled="1" outline="0"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8">
    <field x="0"/>
    <field x="2"/>
    <field x="1"/>
    <field x="3"/>
    <field x="4"/>
    <field x="6"/>
    <field x="10"/>
    <field x="7"/>
  </rowFields>
  <rowItems count="108">
    <i>
      <x/>
      <x/>
      <x/>
      <x/>
      <x/>
      <x/>
      <x/>
      <x/>
    </i>
    <i r="7">
      <x v="1"/>
    </i>
    <i r="7">
      <x v="2"/>
    </i>
    <i>
      <x v="1"/>
      <x v="1"/>
      <x/>
      <x v="1"/>
      <x v="1"/>
      <x v="1"/>
      <x v="1"/>
      <x/>
    </i>
    <i r="7">
      <x v="1"/>
    </i>
    <i r="7">
      <x v="2"/>
    </i>
    <i>
      <x v="2"/>
      <x v="2"/>
      <x v="1"/>
      <x v="2"/>
      <x v="2"/>
      <x v="2"/>
      <x v="2"/>
      <x/>
    </i>
    <i r="7">
      <x v="1"/>
    </i>
    <i r="7">
      <x v="2"/>
    </i>
    <i>
      <x v="3"/>
      <x v="3"/>
      <x v="1"/>
      <x v="3"/>
      <x v="3"/>
      <x v="3"/>
      <x v="3"/>
      <x/>
    </i>
    <i r="7">
      <x v="1"/>
    </i>
    <i r="7">
      <x v="2"/>
    </i>
    <i>
      <x v="4"/>
      <x v="3"/>
      <x v="1"/>
      <x v="3"/>
      <x v="4"/>
      <x v="4"/>
      <x v="4"/>
      <x/>
    </i>
    <i r="7">
      <x v="1"/>
    </i>
    <i r="7">
      <x v="2"/>
    </i>
    <i>
      <x v="5"/>
      <x v="4"/>
      <x/>
      <x v="4"/>
      <x v="5"/>
      <x v="3"/>
      <x v="5"/>
      <x/>
    </i>
    <i r="7">
      <x v="1"/>
    </i>
    <i r="7">
      <x v="2"/>
    </i>
    <i>
      <x v="6"/>
      <x/>
      <x/>
      <x/>
      <x v="6"/>
      <x v="5"/>
      <x v="6"/>
      <x/>
    </i>
    <i r="7">
      <x v="1"/>
    </i>
    <i r="7">
      <x v="2"/>
    </i>
    <i>
      <x v="7"/>
      <x v="5"/>
      <x v="1"/>
      <x v="5"/>
      <x v="7"/>
      <x v="6"/>
      <x v="7"/>
      <x/>
    </i>
    <i r="7">
      <x v="1"/>
    </i>
    <i r="7">
      <x v="2"/>
    </i>
    <i>
      <x v="8"/>
      <x v="1"/>
      <x/>
      <x v="1"/>
      <x v="8"/>
      <x v="2"/>
      <x v="8"/>
      <x/>
    </i>
    <i r="7">
      <x v="1"/>
    </i>
    <i r="7">
      <x v="2"/>
    </i>
    <i>
      <x v="9"/>
      <x v="6"/>
      <x/>
      <x v="6"/>
      <x v="9"/>
      <x v="7"/>
      <x v="9"/>
      <x/>
    </i>
    <i r="7">
      <x v="1"/>
    </i>
    <i r="7">
      <x v="2"/>
    </i>
    <i>
      <x v="10"/>
      <x v="6"/>
      <x/>
      <x v="6"/>
      <x v="10"/>
      <x v="8"/>
      <x v="10"/>
      <x/>
    </i>
    <i r="7">
      <x v="1"/>
    </i>
    <i r="7">
      <x v="2"/>
    </i>
    <i>
      <x v="11"/>
      <x v="2"/>
      <x v="1"/>
      <x v="2"/>
      <x v="11"/>
      <x v="9"/>
      <x v="11"/>
      <x/>
    </i>
    <i r="7">
      <x v="1"/>
    </i>
    <i r="7">
      <x v="2"/>
    </i>
    <i>
      <x v="12"/>
      <x/>
      <x/>
      <x/>
      <x v="12"/>
      <x v="10"/>
      <x v="12"/>
      <x/>
    </i>
    <i r="7">
      <x v="1"/>
    </i>
    <i r="7">
      <x v="2"/>
    </i>
    <i>
      <x v="13"/>
      <x v="5"/>
      <x v="1"/>
      <x v="5"/>
      <x v="13"/>
      <x/>
      <x v="13"/>
      <x/>
    </i>
    <i r="7">
      <x v="1"/>
    </i>
    <i r="7">
      <x v="2"/>
    </i>
    <i>
      <x v="14"/>
      <x v="3"/>
      <x v="1"/>
      <x v="3"/>
      <x v="14"/>
      <x v="11"/>
      <x v="14"/>
      <x/>
    </i>
    <i r="7">
      <x v="1"/>
    </i>
    <i r="7">
      <x v="2"/>
    </i>
    <i>
      <x v="15"/>
      <x/>
      <x/>
      <x/>
      <x v="15"/>
      <x v="12"/>
      <x v="15"/>
      <x/>
    </i>
    <i r="7">
      <x v="1"/>
    </i>
    <i r="7">
      <x v="2"/>
    </i>
    <i>
      <x v="16"/>
      <x v="2"/>
      <x v="1"/>
      <x v="2"/>
      <x v="16"/>
      <x v="13"/>
      <x v="16"/>
      <x/>
    </i>
    <i r="7">
      <x v="1"/>
    </i>
    <i r="7">
      <x v="2"/>
    </i>
    <i>
      <x v="17"/>
      <x v="6"/>
      <x/>
      <x v="6"/>
      <x v="17"/>
      <x v="6"/>
      <x v="17"/>
      <x/>
    </i>
    <i r="7">
      <x v="1"/>
    </i>
    <i r="7">
      <x v="2"/>
    </i>
    <i>
      <x v="18"/>
      <x/>
      <x/>
      <x/>
      <x v="18"/>
      <x v="14"/>
      <x v="18"/>
      <x/>
    </i>
    <i r="7">
      <x v="1"/>
    </i>
    <i r="7">
      <x v="2"/>
    </i>
    <i>
      <x v="19"/>
      <x v="5"/>
      <x v="1"/>
      <x v="5"/>
      <x v="19"/>
      <x v="5"/>
      <x v="19"/>
      <x/>
    </i>
    <i r="7">
      <x v="1"/>
    </i>
    <i r="7">
      <x v="2"/>
    </i>
    <i>
      <x v="20"/>
      <x v="2"/>
      <x v="1"/>
      <x v="2"/>
      <x v="20"/>
      <x v="15"/>
      <x v="20"/>
      <x/>
    </i>
    <i r="7">
      <x v="1"/>
    </i>
    <i r="7">
      <x v="2"/>
    </i>
    <i>
      <x v="21"/>
      <x v="1"/>
      <x/>
      <x v="1"/>
      <x v="21"/>
      <x v="9"/>
      <x v="21"/>
      <x/>
    </i>
    <i r="7">
      <x v="1"/>
    </i>
    <i r="7">
      <x v="2"/>
    </i>
    <i>
      <x v="22"/>
      <x/>
      <x/>
      <x/>
      <x v="22"/>
      <x v="16"/>
      <x v="22"/>
      <x/>
    </i>
    <i r="7">
      <x v="1"/>
    </i>
    <i r="7">
      <x v="2"/>
    </i>
    <i>
      <x v="23"/>
      <x v="5"/>
      <x v="1"/>
      <x v="5"/>
      <x v="23"/>
      <x v="10"/>
      <x v="23"/>
      <x/>
    </i>
    <i r="7">
      <x v="1"/>
    </i>
    <i r="7">
      <x v="2"/>
    </i>
    <i>
      <x v="24"/>
      <x v="6"/>
      <x/>
      <x v="6"/>
      <x v="24"/>
      <x/>
      <x v="24"/>
      <x/>
    </i>
    <i r="7">
      <x v="1"/>
    </i>
    <i r="7">
      <x v="2"/>
    </i>
    <i>
      <x v="25"/>
      <x v="1"/>
      <x/>
      <x v="1"/>
      <x v="25"/>
      <x v="13"/>
      <x v="25"/>
      <x/>
    </i>
    <i r="7">
      <x v="1"/>
    </i>
    <i r="7">
      <x v="2"/>
    </i>
    <i>
      <x v="26"/>
      <x v="5"/>
      <x v="1"/>
      <x v="5"/>
      <x v="26"/>
      <x v="12"/>
      <x v="26"/>
      <x/>
    </i>
    <i r="7">
      <x v="1"/>
    </i>
    <i r="7">
      <x v="2"/>
    </i>
    <i>
      <x v="27"/>
      <x/>
      <x/>
      <x/>
      <x v="27"/>
      <x v="17"/>
      <x v="27"/>
      <x/>
    </i>
    <i r="7">
      <x v="1"/>
    </i>
    <i r="7">
      <x v="2"/>
    </i>
    <i>
      <x v="28"/>
      <x v="2"/>
      <x v="1"/>
      <x v="2"/>
      <x v="28"/>
      <x v="7"/>
      <x v="28"/>
      <x/>
    </i>
    <i r="7">
      <x v="1"/>
    </i>
    <i r="7">
      <x v="2"/>
    </i>
    <i>
      <x v="29"/>
      <x v="6"/>
      <x/>
      <x v="6"/>
      <x v="29"/>
      <x v="5"/>
      <x v="29"/>
      <x/>
    </i>
    <i r="7">
      <x v="1"/>
    </i>
    <i r="7">
      <x v="2"/>
    </i>
    <i>
      <x v="30"/>
      <x v="5"/>
      <x v="1"/>
      <x v="5"/>
      <x v="30"/>
      <x v="14"/>
      <x v="30"/>
      <x/>
    </i>
    <i r="7">
      <x v="1"/>
    </i>
    <i r="7">
      <x v="2"/>
    </i>
    <i>
      <x v="31"/>
      <x v="6"/>
      <x/>
      <x v="6"/>
      <x v="31"/>
      <x v="10"/>
      <x v="31"/>
      <x/>
    </i>
    <i r="7">
      <x v="1"/>
    </i>
    <i r="7">
      <x v="2"/>
    </i>
    <i>
      <x v="32"/>
      <x v="1"/>
      <x/>
      <x v="1"/>
      <x v="32"/>
      <x v="15"/>
      <x v="32"/>
      <x/>
    </i>
    <i r="7">
      <x v="1"/>
    </i>
    <i r="7">
      <x v="2"/>
    </i>
    <i>
      <x v="33"/>
      <x v="3"/>
      <x v="1"/>
      <x v="3"/>
      <x v="33"/>
      <x v="1"/>
      <x v="33"/>
      <x/>
    </i>
    <i r="7">
      <x v="1"/>
    </i>
    <i r="7">
      <x v="2"/>
    </i>
    <i>
      <x v="34"/>
      <x/>
      <x/>
      <x/>
      <x v="34"/>
      <x v="18"/>
      <x v="34"/>
      <x/>
    </i>
    <i r="7">
      <x v="1"/>
    </i>
    <i r="7">
      <x v="2"/>
    </i>
    <i>
      <x v="35"/>
      <x v="4"/>
      <x/>
      <x v="4"/>
      <x v="35"/>
      <x v="4"/>
      <x v="35"/>
      <x/>
    </i>
    <i r="7">
      <x v="1"/>
    </i>
    <i r="7">
      <x v="2"/>
    </i>
  </rowItems>
  <colItems count="1">
    <i/>
  </colItems>
  <dataFields count="1">
    <dataField name="Số lượng" fld="5" baseField="0" baseItem="0"/>
  </dataFields>
  <formats count="24">
    <format dxfId="2233">
      <pivotArea type="all" dataOnly="0" outline="0" fieldPosition="0"/>
    </format>
    <format dxfId="2232">
      <pivotArea field="0" type="button" dataOnly="0" labelOnly="1" outline="0" axis="axisRow" fieldPosition="0"/>
    </format>
    <format dxfId="2231">
      <pivotArea dataOnly="0" labelOnly="1" grandRow="1" outline="0" fieldPosition="0"/>
    </format>
    <format dxfId="2230">
      <pivotArea type="all" dataOnly="0" outline="0" fieldPosition="0"/>
    </format>
    <format dxfId="2229">
      <pivotArea outline="0" collapsedLevelsAreSubtotals="1" fieldPosition="0"/>
    </format>
    <format dxfId="2228">
      <pivotArea field="0" type="button" dataOnly="0" labelOnly="1" outline="0" axis="axisRow" fieldPosition="0"/>
    </format>
    <format dxfId="2227">
      <pivotArea field="2" type="button" dataOnly="0" labelOnly="1" outline="0" axis="axisRow" fieldPosition="1"/>
    </format>
    <format dxfId="2226">
      <pivotArea field="1" type="button" dataOnly="0" labelOnly="1" outline="0" axis="axisRow" fieldPosition="2"/>
    </format>
    <format dxfId="2225">
      <pivotArea field="3" type="button" dataOnly="0" labelOnly="1" outline="0" axis="axisRow" fieldPosition="3"/>
    </format>
    <format dxfId="2224">
      <pivotArea field="4" type="button" dataOnly="0" labelOnly="1" outline="0" axis="axisRow" fieldPosition="4"/>
    </format>
    <format dxfId="2223">
      <pivotArea field="6" type="button" dataOnly="0" labelOnly="1" outline="0" axis="axisRow" fieldPosition="5"/>
    </format>
    <format dxfId="2222">
      <pivotArea field="7" type="button" dataOnly="0" labelOnly="1" outline="0" axis="axisRow" fieldPosition="7"/>
    </format>
    <format dxfId="2221">
      <pivotArea dataOnly="0" labelOnly="1" outline="0" axis="axisValues" fieldPosition="0"/>
    </format>
    <format dxfId="2220">
      <pivotArea type="all" dataOnly="0" outline="0" fieldPosition="0"/>
    </format>
    <format dxfId="2219">
      <pivotArea outline="0" collapsedLevelsAreSubtotals="1" fieldPosition="0"/>
    </format>
    <format dxfId="2218">
      <pivotArea field="0" type="button" dataOnly="0" labelOnly="1" outline="0" axis="axisRow" fieldPosition="0"/>
    </format>
    <format dxfId="2217">
      <pivotArea field="2" type="button" dataOnly="0" labelOnly="1" outline="0" axis="axisRow" fieldPosition="1"/>
    </format>
    <format dxfId="2216">
      <pivotArea field="1" type="button" dataOnly="0" labelOnly="1" outline="0" axis="axisRow" fieldPosition="2"/>
    </format>
    <format dxfId="2215">
      <pivotArea field="3" type="button" dataOnly="0" labelOnly="1" outline="0" axis="axisRow" fieldPosition="3"/>
    </format>
    <format dxfId="2214">
      <pivotArea field="4" type="button" dataOnly="0" labelOnly="1" outline="0" axis="axisRow" fieldPosition="4"/>
    </format>
    <format dxfId="2213">
      <pivotArea field="6" type="button" dataOnly="0" labelOnly="1" outline="0" axis="axisRow" fieldPosition="5"/>
    </format>
    <format dxfId="2212">
      <pivotArea field="7" type="button" dataOnly="0" labelOnly="1" outline="0" axis="axisRow" fieldPosition="7"/>
    </format>
    <format dxfId="2211">
      <pivotArea dataOnly="0" labelOnly="1" fieldPosition="0">
        <references count="1">
          <reference field="0" count="0"/>
        </references>
      </pivotArea>
    </format>
    <format dxfId="2210">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62"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11" type="dateBetween" evalOrder="-1" id="26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9" type="dateBetween" evalOrder="-1" id="25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8" type="dateBetween" evalOrder="-1" id="11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8">
    <rowHierarchyUsage hierarchyUsage="138"/>
    <rowHierarchyUsage hierarchyUsage="187"/>
    <rowHierarchyUsage hierarchyUsage="189"/>
    <rowHierarchyUsage hierarchyUsage="194"/>
    <rowHierarchyUsage hierarchyUsage="137"/>
    <rowHierarchyUsage hierarchyUsage="153"/>
    <rowHierarchyUsage hierarchyUsage="150"/>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EDEB4A3-8A3B-42BA-BD96-D5CA357F6E1A}" name="PivotTable_BCQT" cacheId="3" applyNumberFormats="0" applyBorderFormats="0" applyFontFormats="0" applyPatternFormats="0" applyAlignmentFormats="0" applyWidthHeightFormats="1" dataCaption="Values" tag="57c8fbaf-6974-4170-9c2d-34355cd5982d" updatedVersion="8" minRefreshableVersion="5" useAutoFormatting="1" subtotalHiddenItems="1" rowGrandTotals="0" itemPrintTitles="1" createdVersion="8" indent="0" compact="0" compactData="0" multipleFieldFilters="0" chartFormat="1">
  <location ref="E5:E14" firstHeaderRow="1" firstDataRow="1" firstDataCol="1"/>
  <pivotFields count="4">
    <pivotField compact="0" allDrilled="1" outline="0" subtotalTop="0" showAll="0" dataSourceSort="1" defaultSubtotal="0" defaultAttributeDrillState="1"/>
    <pivotField axis="axisRow" compact="0" allDrilled="1" outline="0" subtotalTop="0" showAll="0" dataSourceSort="1" defaultSubtotal="0" defaultAttributeDrillState="1">
      <items count="9">
        <item x="0"/>
        <item x="1"/>
        <item x="2"/>
        <item x="3"/>
        <item x="4"/>
        <item x="5"/>
        <item x="6"/>
        <item x="7"/>
        <item x="8"/>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9">
    <i>
      <x/>
    </i>
    <i>
      <x v="1"/>
    </i>
    <i>
      <x v="2"/>
    </i>
    <i>
      <x v="3"/>
    </i>
    <i>
      <x v="4"/>
    </i>
    <i>
      <x v="5"/>
    </i>
    <i>
      <x v="6"/>
    </i>
    <i>
      <x v="7"/>
    </i>
    <i>
      <x v="8"/>
    </i>
  </rowItems>
  <formats count="16">
    <format dxfId="2249">
      <pivotArea type="all" dataOnly="0" outline="0" fieldPosition="0"/>
    </format>
    <format dxfId="2248">
      <pivotArea field="1" type="button" dataOnly="0" labelOnly="1" outline="0" axis="axisRow" fieldPosition="0"/>
    </format>
    <format dxfId="2247">
      <pivotArea type="all" dataOnly="0" outline="0" fieldPosition="0"/>
    </format>
    <format dxfId="2246">
      <pivotArea field="1" type="button" dataOnly="0" labelOnly="1" outline="0" axis="axisRow" fieldPosition="0"/>
    </format>
    <format dxfId="2245">
      <pivotArea type="all" dataOnly="0" outline="0" fieldPosition="0"/>
    </format>
    <format dxfId="2244">
      <pivotArea field="1" type="button" dataOnly="0" labelOnly="1" outline="0" axis="axisRow" fieldPosition="0"/>
    </format>
    <format dxfId="2243">
      <pivotArea dataOnly="0" labelOnly="1" outline="0" fieldPosition="0">
        <references count="1">
          <reference field="1" count="0"/>
        </references>
      </pivotArea>
    </format>
    <format dxfId="2242">
      <pivotArea type="all" dataOnly="0" outline="0" fieldPosition="0"/>
    </format>
    <format dxfId="2241">
      <pivotArea field="1" type="button" dataOnly="0" labelOnly="1" outline="0" axis="axisRow" fieldPosition="0"/>
    </format>
    <format dxfId="2240">
      <pivotArea dataOnly="0" labelOnly="1" outline="0" fieldPosition="0">
        <references count="1">
          <reference field="1" count="0"/>
        </references>
      </pivotArea>
    </format>
    <format dxfId="2239">
      <pivotArea type="all" dataOnly="0" outline="0" fieldPosition="0"/>
    </format>
    <format dxfId="2238">
      <pivotArea field="1" type="button" dataOnly="0" labelOnly="1" outline="0" axis="axisRow" fieldPosition="0"/>
    </format>
    <format dxfId="2237">
      <pivotArea dataOnly="0" labelOnly="1" outline="0" fieldPosition="0">
        <references count="1">
          <reference field="1" count="0"/>
        </references>
      </pivotArea>
    </format>
    <format dxfId="2236">
      <pivotArea type="all" dataOnly="0" outline="0" fieldPosition="0"/>
    </format>
    <format dxfId="2235">
      <pivotArea field="1" type="button" dataOnly="0" labelOnly="1" outline="0" axis="axisRow" fieldPosition="0"/>
    </format>
    <format dxfId="2234">
      <pivotArea dataOnly="0" labelOnly="1" outline="0" fieldPosition="0">
        <references count="1">
          <reference field="1" count="0"/>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f_Periods].[Kỳ (Year)].&amp;"/>
        <member name="[Ref_Periods].[Kỳ (Year)].&amp;[2024]"/>
        <member name="[Ref_Periods].[Kỳ (Year)].&amp;[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Doanh thu"/>
    <pivotHierarchy dragToData="1"/>
    <pivotHierarchy dragToData="1"/>
    <pivotHierarchy dragToData="1"/>
    <pivotHierarchy dragToData="1" caption=" Sản lượng"/>
    <pivotHierarchy dragToData="1"/>
    <pivotHierarchy dragToData="1" caption=" Lợi nhuận kinh doanh"/>
    <pivotHierarchy dragToData="1" caption=" Dòng tiền vận hành"/>
    <pivotHierarchy dragToData="1" caption=" Chi phí biến đổi"/>
    <pivotHierarchy dragToData="1" caption=" Chi phí cố định"/>
    <pivotHierarchy dragToData="1" caption="Giảm giá"/>
    <pivotHierarchy dragToData="1" caption="Nguyên liệu"/>
    <pivotHierarchy dragToData="1" caption="Tiện ích"/>
    <pivotHierarchy dragToData="1" caption="Hoa hồng"/>
    <pivotHierarchy dragToData="1" caption="Chiết khấu kênh"/>
    <pivotHierarchy dragToData="1" caption="Thưởng KPI"/>
    <pivotHierarchy dragToData="1" caption="Thanh toán"/>
    <pivotHierarchy dragToData="1" caption="Vận chuyển"/>
    <pivotHierarchy dragToData="1" caption="Nhân sự"/>
    <pivotHierarchy dragToData="1" caption="Tiêu hao VP"/>
    <pivotHierarchy dragToData="1" caption="Vận hành kênh"/>
    <pivotHierarchy dragToData="1" caption="Marketing"/>
    <pivotHierarchy dragToData="1" caption="Dịch vụ"/>
    <pivotHierarchy dragToData="1" caption="Khấu hao"/>
    <pivotHierarchy dragToData="1" caption="Lãi vay"/>
    <pivotHierarchy dragToData="1" caption="Thuế phí"/>
    <pivotHierarchy dragToData="1"/>
    <pivotHierarchy dragToData="1"/>
    <pivotHierarchy dragToData="1"/>
    <pivotHierarchy dragToData="1"/>
    <pivotHierarchy dragToData="1"/>
  </pivotHierarchies>
  <pivotTableStyleInfo name="PivotStyleLight17" showRowHeaders="1" showColHeaders="1" showRowStripes="0" showColStripes="0" showLastColumn="1"/>
  <filters count="3">
    <filter fld="1" type="dateBetween" evalOrder="-1" id="34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3" type="dateBetween" evalOrder="-1" id="337"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2" type="dateBetween" evalOrder="-1" id="201"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f_Dates]"/>
        <x15:activeTabTopLevelEntity name="[Table_Datafeed]"/>
        <x15:activeTabTopLevelEntity name="[Table_DonBan]"/>
        <x15:activeTabTopLevelEntity name="[Table_DonMua]"/>
        <x15:activeTabTopLevelEntity name="[Table_DuPhong]"/>
        <x15:activeTabTopLevelEntity name="[Table_ChiPhiK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C5CDF1-4699-4097-932E-8776128F0409}" name="PivotTable12" cacheId="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B22:D27" firstHeaderRow="1" firstDataRow="2" firstDataCol="1"/>
  <pivotFields count="8">
    <pivotField axis="axisRow" numFmtId="166" showAll="0">
      <items count="4">
        <item x="2"/>
        <item x="1"/>
        <item x="0"/>
        <item t="default"/>
      </items>
    </pivotField>
    <pivotField showAll="0"/>
    <pivotField showAll="0"/>
    <pivotField axis="axisCol" showAll="0">
      <items count="3">
        <item x="1"/>
        <item x="0"/>
        <item t="default"/>
      </items>
    </pivotField>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3"/>
  </colFields>
  <colItems count="2">
    <i>
      <x/>
    </i>
    <i>
      <x v="1"/>
    </i>
  </colItems>
  <dataFields count="1">
    <dataField name="Dự phòng" fld="4"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595904-5A7A-4506-9F84-88C7338BD29E}"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3:C27" firstHeaderRow="1" firstDataRow="1" firstDataCol="1"/>
  <pivotFields count="12">
    <pivotField axis="axisRow" showAll="0">
      <items count="4">
        <item x="0"/>
        <item x="1"/>
        <item x="2"/>
        <item t="default"/>
      </items>
    </pivotField>
    <pivotField numFmtId="164" showAll="0"/>
    <pivotField numFmtId="164" showAll="0"/>
    <pivotField numFmtId="164" showAll="0"/>
    <pivotField numFmtId="164" showAll="0"/>
    <pivotField numFmtId="9" showAll="0"/>
    <pivotField numFmtId="164" showAll="0"/>
    <pivotField numFmtId="164" showAll="0"/>
    <pivotField numFmtId="168" showAll="0"/>
    <pivotField dataField="1" numFmtId="164" showAll="0"/>
    <pivotField numFmtId="164" showAll="0"/>
    <pivotField showAll="0"/>
  </pivotFields>
  <rowFields count="1">
    <field x="0"/>
  </rowFields>
  <rowItems count="4">
    <i>
      <x/>
    </i>
    <i>
      <x v="1"/>
    </i>
    <i>
      <x v="2"/>
    </i>
    <i t="grand">
      <x/>
    </i>
  </rowItems>
  <colItems count="1">
    <i/>
  </colItems>
  <dataFields count="1">
    <dataField name="Số lượng cần đặt" fld="9" baseField="0" baseItem="0" numFmtId="164"/>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827A30-26CC-41A7-BB99-B005AE4C7BE3}" name="PivotTable9"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1:J24" firstHeaderRow="0" firstDataRow="1" firstDataCol="1"/>
  <pivotFields count="8">
    <pivotField axis="axisRow" showAll="0">
      <items count="4">
        <item x="0"/>
        <item x="1"/>
        <item h="1" x="2"/>
        <item t="default"/>
      </items>
    </pivotField>
    <pivotField showAll="0"/>
    <pivotField showAll="0"/>
    <pivotField numFmtId="164" showAll="0"/>
    <pivotField dataField="1" numFmtId="164" showAll="0"/>
    <pivotField dataField="1" numFmtId="164" showAll="0"/>
    <pivotField numFmtId="164" showAll="0"/>
    <pivotField showAll="0"/>
  </pivotFields>
  <rowFields count="1">
    <field x="0"/>
  </rowFields>
  <rowItems count="3">
    <i>
      <x/>
    </i>
    <i>
      <x v="1"/>
    </i>
    <i t="grand">
      <x/>
    </i>
  </rowItems>
  <colFields count="1">
    <field x="-2"/>
  </colFields>
  <colItems count="2">
    <i>
      <x/>
    </i>
    <i i="1">
      <x v="1"/>
    </i>
  </colItems>
  <dataFields count="2">
    <dataField name="Tồn kho" fld="4" baseField="0" baseItem="0" numFmtId="37"/>
    <dataField name="Cần đặt" fld="5" baseField="0" baseItem="0" numFmtId="37"/>
  </dataFields>
  <formats count="6">
    <format dxfId="813">
      <pivotArea type="all" dataOnly="0" outline="0" fieldPosition="0"/>
    </format>
    <format dxfId="812">
      <pivotArea outline="0" collapsedLevelsAreSubtotals="1" fieldPosition="0"/>
    </format>
    <format dxfId="811">
      <pivotArea field="0" type="button" dataOnly="0" labelOnly="1" outline="0" axis="axisRow" fieldPosition="0"/>
    </format>
    <format dxfId="810">
      <pivotArea dataOnly="0" labelOnly="1" fieldPosition="0">
        <references count="1">
          <reference field="0" count="0"/>
        </references>
      </pivotArea>
    </format>
    <format dxfId="809">
      <pivotArea dataOnly="0" labelOnly="1" grandRow="1" outline="0" fieldPosition="0"/>
    </format>
    <format dxfId="808">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CA4E388-66D1-4C17-BE4C-F5738EB20823}" name="PivotTable8"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1:F25" firstHeaderRow="1" firstDataRow="1" firstDataCol="1" rowPageCount="1" colPageCount="1"/>
  <pivotFields count="14">
    <pivotField axis="axisPage" showAll="0">
      <items count="3">
        <item x="0"/>
        <item x="1"/>
        <item t="default"/>
      </items>
    </pivotField>
    <pivotField numFmtId="164" showAll="0"/>
    <pivotField numFmtId="164" showAll="0"/>
    <pivotField showAll="0"/>
    <pivotField showAll="0"/>
    <pivotField axis="axisRow" showAll="0">
      <items count="7">
        <item m="1" x="5"/>
        <item m="1" x="4"/>
        <item x="0"/>
        <item x="1"/>
        <item x="2"/>
        <item x="3"/>
        <item t="default"/>
      </items>
    </pivotField>
    <pivotField showAll="0"/>
    <pivotField numFmtId="43" showAll="0"/>
    <pivotField numFmtId="9" showAll="0"/>
    <pivotField numFmtId="164" showAll="0"/>
    <pivotField numFmtId="164" showAll="0"/>
    <pivotField numFmtId="164" showAll="0"/>
    <pivotField dataField="1" numFmtId="164" showAll="0"/>
    <pivotField showAll="0"/>
  </pivotFields>
  <rowFields count="1">
    <field x="5"/>
  </rowFields>
  <rowItems count="4">
    <i>
      <x v="2"/>
    </i>
    <i>
      <x v="3"/>
    </i>
    <i>
      <x v="4"/>
    </i>
    <i t="grand">
      <x/>
    </i>
  </rowItems>
  <colItems count="1">
    <i/>
  </colItems>
  <pageFields count="1">
    <pageField fld="0" item="0" hier="-1"/>
  </pageFields>
  <dataFields count="1">
    <dataField name="Giá vốn bình quân " fld="12" baseField="5" baseItem="3" numFmtId="37"/>
  </dataFields>
  <formats count="8">
    <format dxfId="821">
      <pivotArea outline="0" collapsedLevelsAreSubtotals="1" fieldPosition="0"/>
    </format>
    <format dxfId="820">
      <pivotArea outline="0" fieldPosition="0">
        <references count="1">
          <reference field="4294967294" count="1">
            <x v="0"/>
          </reference>
        </references>
      </pivotArea>
    </format>
    <format dxfId="819">
      <pivotArea type="all" dataOnly="0" outline="0" fieldPosition="0"/>
    </format>
    <format dxfId="818">
      <pivotArea outline="0" collapsedLevelsAreSubtotals="1" fieldPosition="0"/>
    </format>
    <format dxfId="817">
      <pivotArea field="5" type="button" dataOnly="0" labelOnly="1" outline="0" axis="axisRow" fieldPosition="0"/>
    </format>
    <format dxfId="816">
      <pivotArea dataOnly="0" labelOnly="1" fieldPosition="0">
        <references count="1">
          <reference field="5" count="3">
            <x v="2"/>
            <x v="3"/>
            <x v="4"/>
          </reference>
        </references>
      </pivotArea>
    </format>
    <format dxfId="815">
      <pivotArea dataOnly="0" labelOnly="1" grandRow="1" outline="0" fieldPosition="0"/>
    </format>
    <format dxfId="814">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2"/>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83576E-E10A-405B-9634-9EAE3638BC15}" name="PivotTable7"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21:C24" firstHeaderRow="1" firstDataRow="1" firstDataCol="1"/>
  <pivotFields count="14">
    <pivotField axis="axisRow" showAll="0">
      <items count="3">
        <item x="0"/>
        <item x="1"/>
        <item t="default"/>
      </items>
    </pivotField>
    <pivotField numFmtId="164" showAll="0"/>
    <pivotField numFmtId="164" showAll="0"/>
    <pivotField showAll="0"/>
    <pivotField showAll="0"/>
    <pivotField showAll="0"/>
    <pivotField showAll="0"/>
    <pivotField numFmtId="43" showAll="0"/>
    <pivotField numFmtId="9" showAll="0"/>
    <pivotField numFmtId="164" showAll="0"/>
    <pivotField numFmtId="164" showAll="0"/>
    <pivotField numFmtId="164" showAll="0"/>
    <pivotField dataField="1" numFmtId="164" showAll="0"/>
    <pivotField showAll="0"/>
  </pivotFields>
  <rowFields count="1">
    <field x="0"/>
  </rowFields>
  <rowItems count="3">
    <i>
      <x/>
    </i>
    <i>
      <x v="1"/>
    </i>
    <i t="grand">
      <x/>
    </i>
  </rowItems>
  <colItems count="1">
    <i/>
  </colItems>
  <dataFields count="1">
    <dataField name="Giá vốn bình quân " fld="12" baseField="0" baseItem="1" numFmtId="37"/>
  </dataFields>
  <formats count="8">
    <format dxfId="829">
      <pivotArea outline="0" collapsedLevelsAreSubtotals="1" fieldPosition="0"/>
    </format>
    <format dxfId="828">
      <pivotArea outline="0" fieldPosition="0">
        <references count="1">
          <reference field="4294967294" count="1">
            <x v="0"/>
          </reference>
        </references>
      </pivotArea>
    </format>
    <format dxfId="827">
      <pivotArea type="all" dataOnly="0" outline="0" fieldPosition="0"/>
    </format>
    <format dxfId="826">
      <pivotArea outline="0" collapsedLevelsAreSubtotals="1" fieldPosition="0"/>
    </format>
    <format dxfId="825">
      <pivotArea field="0" type="button" dataOnly="0" labelOnly="1" outline="0" axis="axisRow" fieldPosition="0"/>
    </format>
    <format dxfId="824">
      <pivotArea dataOnly="0" labelOnly="1" fieldPosition="0">
        <references count="1">
          <reference field="0" count="0"/>
        </references>
      </pivotArea>
    </format>
    <format dxfId="823">
      <pivotArea dataOnly="0" labelOnly="1" grandRow="1" outline="0" fieldPosition="0"/>
    </format>
    <format dxfId="82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26C657-7BD6-408D-9297-5C60F0EF5580}" name="PivotTable10"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1:O25" firstHeaderRow="0" firstDataRow="1" firstDataCol="1"/>
  <pivotFields count="7">
    <pivotField axis="axisRow" numFmtId="173" showAll="0" sortType="ascending">
      <items count="4">
        <item x="0"/>
        <item x="1"/>
        <item x="2"/>
        <item t="default"/>
      </items>
    </pivotField>
    <pivotField showAll="0"/>
    <pivotField showAll="0"/>
    <pivotField dataField="1" numFmtId="164" showAll="0"/>
    <pivotField dataField="1" numFmtId="164" showAll="0"/>
    <pivotField dataField="1" numFmtId="9" showAll="0"/>
    <pivotField showAll="0"/>
  </pivotFields>
  <rowFields count="1">
    <field x="0"/>
  </rowFields>
  <rowItems count="4">
    <i>
      <x/>
    </i>
    <i>
      <x v="1"/>
    </i>
    <i>
      <x v="2"/>
    </i>
    <i t="grand">
      <x/>
    </i>
  </rowItems>
  <colFields count="1">
    <field x="-2"/>
  </colFields>
  <colItems count="3">
    <i>
      <x/>
    </i>
    <i i="1">
      <x v="1"/>
    </i>
    <i i="2">
      <x v="2"/>
    </i>
  </colItems>
  <dataFields count="3">
    <dataField name="Mục tiêu" fld="3" baseField="0" baseItem="1" numFmtId="37"/>
    <dataField name="Thực tế" fld="4" baseField="0" baseItem="1" numFmtId="37"/>
    <dataField name="Hiệu quả " fld="5" baseField="0" baseItem="1" numFmtId="9"/>
  </dataFields>
  <formats count="6">
    <format dxfId="835">
      <pivotArea type="all" dataOnly="0" outline="0" fieldPosition="0"/>
    </format>
    <format dxfId="834">
      <pivotArea outline="0" collapsedLevelsAreSubtotals="1" fieldPosition="0"/>
    </format>
    <format dxfId="833">
      <pivotArea field="0" type="button" dataOnly="0" labelOnly="1" outline="0" axis="axisRow" fieldPosition="0"/>
    </format>
    <format dxfId="832">
      <pivotArea dataOnly="0" labelOnly="1" fieldPosition="0">
        <references count="1">
          <reference field="0" count="0"/>
        </references>
      </pivotArea>
    </format>
    <format dxfId="831">
      <pivotArea dataOnly="0" labelOnly="1" grandRow="1" outline="0" fieldPosition="0"/>
    </format>
    <format dxfId="830">
      <pivotArea dataOnly="0" labelOnly="1" outline="0" fieldPosition="0">
        <references count="1">
          <reference field="4294967294" count="3">
            <x v="0"/>
            <x v="1"/>
            <x v="2"/>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2"/>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45A0A17-5CD1-47D1-BDF8-59DDBA0A4FB2}" name="PivotTable1"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B6:C10" firstHeaderRow="1" firstDataRow="1" firstDataCol="1" rowPageCount="3"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Row"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axis="axisPage" multipleItemSelectionAllowed="1" showAll="0">
      <items count="21">
        <item x="18"/>
        <item x="15"/>
        <item x="14"/>
        <item x="12"/>
        <item x="9"/>
        <item x="7"/>
        <item x="1"/>
        <item x="19"/>
        <item x="16"/>
        <item x="13"/>
        <item x="10"/>
        <item x="8"/>
        <item x="6"/>
        <item x="5"/>
        <item x="4"/>
        <item x="2"/>
        <item x="17"/>
        <item x="11"/>
        <item x="3"/>
        <item h="1" x="0"/>
        <item t="default"/>
      </items>
    </pivotField>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x="126"/>
        <item sd="0" x="127"/>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50"/>
    <field x="9"/>
  </rowFields>
  <rowItems count="4">
    <i>
      <x v="3"/>
    </i>
    <i>
      <x v="4"/>
    </i>
    <i>
      <x v="5"/>
    </i>
    <i t="grand">
      <x/>
    </i>
  </rowItems>
  <colItems count="1">
    <i/>
  </colItems>
  <pageFields count="3">
    <pageField fld="16" hier="-1"/>
    <pageField fld="2" hier="-1"/>
    <pageField fld="17" hier="-1"/>
  </pageFields>
  <dataFields count="1">
    <dataField name="Giá trị nhập mua" fld="19" baseField="47" baseItem="126" numFmtId="164"/>
  </dataFields>
  <formats count="6">
    <format dxfId="749">
      <pivotArea type="all" dataOnly="0" outline="0" fieldPosition="0"/>
    </format>
    <format dxfId="748">
      <pivotArea outline="0" collapsedLevelsAreSubtotals="1" fieldPosition="0"/>
    </format>
    <format dxfId="747">
      <pivotArea field="50" type="button" dataOnly="0" labelOnly="1" outline="0" axis="axisRow" fieldPosition="0"/>
    </format>
    <format dxfId="746">
      <pivotArea dataOnly="0" labelOnly="1" fieldPosition="0">
        <references count="1">
          <reference field="50" count="3">
            <x v="3"/>
            <x v="4"/>
            <x v="5"/>
          </reference>
        </references>
      </pivotArea>
    </format>
    <format dxfId="745">
      <pivotArea dataOnly="0" labelOnly="1" grandRow="1" outline="0" fieldPosition="0"/>
    </format>
    <format dxfId="744">
      <pivotArea dataOnly="0" labelOnly="1" outline="0" axis="axisValues" fieldPosition="0"/>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dateBetween" evalOrder="-1" id="114"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0"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F9755DF-D332-4BE5-8690-DAA455A8CCC4}" name="PivotTable2"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E6:F10" firstHeaderRow="1" firstDataRow="1" firstDataCol="1" rowPageCount="2" colPageCount="1"/>
  <pivotFields count="51">
    <pivotField showAll="0"/>
    <pivotField showAll="0"/>
    <pivotField name="Hàng" axis="axisRow" showAll="0" measureFilter="1">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multipleItemSelectionAllowed="1"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multipleItemSelectionAllowed="1" showAll="0" defaultSubtotal="0">
      <items count="14">
        <item h="1" x="0"/>
        <item x="1"/>
        <item x="2"/>
        <item x="3"/>
        <item x="4"/>
        <item x="5"/>
        <item x="6"/>
        <item x="7"/>
        <item x="8"/>
        <item x="9"/>
        <item x="10"/>
        <item x="11"/>
        <item x="12"/>
        <item x="13"/>
      </items>
    </pivotField>
    <pivotField showAll="0" defaultSubtotal="0"/>
    <pivotField name="Năm " multipleItemSelectionAllowed="1" showAll="0" defaultSubtotal="0">
      <items count="128">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 Tháng" showAll="0">
      <items count="15">
        <item x="0"/>
        <item x="1"/>
        <item x="2"/>
        <item x="3"/>
        <item x="4"/>
        <item x="5"/>
        <item x="6"/>
        <item x="7"/>
        <item x="8"/>
        <item x="9"/>
        <item x="10"/>
        <item x="11"/>
        <item x="12"/>
        <item x="13"/>
        <item t="default"/>
      </items>
    </pivotField>
  </pivotFields>
  <rowFields count="1">
    <field x="2"/>
  </rowFields>
  <rowItems count="4">
    <i>
      <x v="1"/>
    </i>
    <i>
      <x v="2"/>
    </i>
    <i>
      <x v="3"/>
    </i>
    <i t="grand">
      <x/>
    </i>
  </rowItems>
  <colItems count="1">
    <i/>
  </colItems>
  <pageFields count="2">
    <pageField fld="9" hier="-1"/>
    <pageField fld="17" hier="-1"/>
  </pageFields>
  <dataFields count="1">
    <dataField name="Giá trị nhập mua" fld="19" baseField="2" baseItem="0" numFmtId="164"/>
  </dataFields>
  <formats count="6">
    <format dxfId="755">
      <pivotArea type="all" dataOnly="0" outline="0" fieldPosition="0"/>
    </format>
    <format dxfId="754">
      <pivotArea outline="0" collapsedLevelsAreSubtotals="1" fieldPosition="0"/>
    </format>
    <format dxfId="753">
      <pivotArea field="2" type="button" dataOnly="0" labelOnly="1" outline="0" axis="axisRow" fieldPosition="0"/>
    </format>
    <format dxfId="752">
      <pivotArea dataOnly="0" labelOnly="1" fieldPosition="0">
        <references count="1">
          <reference field="2" count="3">
            <x v="1"/>
            <x v="2"/>
            <x v="3"/>
          </reference>
        </references>
      </pivotArea>
    </format>
    <format dxfId="751">
      <pivotArea dataOnly="0" labelOnly="1" grandRow="1" outline="0" fieldPosition="0"/>
    </format>
    <format dxfId="750">
      <pivotArea dataOnly="0" labelOnly="1" outline="0" axis="axisValues" fieldPosition="0"/>
    </format>
  </formats>
  <chartFormats count="4">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
          </reference>
        </references>
      </pivotArea>
    </chartFormat>
    <chartFormat chart="6" format="10">
      <pivotArea type="data" outline="0" fieldPosition="0">
        <references count="2">
          <reference field="4294967294" count="1" selected="0">
            <x v="0"/>
          </reference>
          <reference field="2" count="1" selected="0">
            <x v="2"/>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3">
    <filter fld="9" type="dateBetween" evalOrder="-1" id="115"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1"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 fld="2"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511AFE0-E54F-4441-9021-22C5351C4854}" name="PivotTable9"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6:I10" firstHeaderRow="1" firstDataRow="1" firstDataCol="1" rowPageCount="2"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Row"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2"/>
    </i>
    <i>
      <x v="3"/>
    </i>
    <i t="grand">
      <x/>
    </i>
  </rowItems>
  <colItems count="1">
    <i/>
  </colItems>
  <pageFields count="2">
    <pageField fld="9" hier="-1"/>
    <pageField fld="2" hier="-1"/>
  </pageFields>
  <dataFields count="1">
    <dataField name="Giá trị nhập mua" fld="19" baseField="17" baseItem="1" numFmtId="164"/>
  </dataFields>
  <formats count="6">
    <format dxfId="761">
      <pivotArea type="all" dataOnly="0" outline="0" fieldPosition="0"/>
    </format>
    <format dxfId="760">
      <pivotArea outline="0" collapsedLevelsAreSubtotals="1" fieldPosition="0"/>
    </format>
    <format dxfId="759">
      <pivotArea field="17" type="button" dataOnly="0" labelOnly="1" outline="0" axis="axisRow" fieldPosition="0"/>
    </format>
    <format dxfId="758">
      <pivotArea dataOnly="0" labelOnly="1" fieldPosition="0">
        <references count="1">
          <reference field="17" count="0"/>
        </references>
      </pivotArea>
    </format>
    <format dxfId="757">
      <pivotArea dataOnly="0" labelOnly="1" grandRow="1" outline="0" fieldPosition="0"/>
    </format>
    <format dxfId="756">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7" count="1" selected="0">
            <x v="1"/>
          </reference>
        </references>
      </pivotArea>
    </chartFormat>
    <chartFormat chart="0" format="2">
      <pivotArea type="data" outline="0" fieldPosition="0">
        <references count="2">
          <reference field="4294967294" count="1" selected="0">
            <x v="0"/>
          </reference>
          <reference field="17" count="1" selected="0">
            <x v="2"/>
          </reference>
        </references>
      </pivotArea>
    </chartFormat>
    <chartFormat chart="0" format="3">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7E43037-E358-4C85-B91C-AA209B44F95F}"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6:N10" firstHeaderRow="0" firstDataRow="1" firstDataCol="1" rowPageCount="2" colPageCount="1"/>
  <pivotFields count="51">
    <pivotField showAll="0"/>
    <pivotField showAll="0"/>
    <pivotField name="Hàng" axis="axisPage" showAll="0">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dataField="1" showAll="0"/>
    <pivotField showAll="0"/>
    <pivotField showAll="0"/>
    <pivotField showAll="0"/>
    <pivotField showAll="0"/>
    <pivotField name="Người bán" axis="axisRow" showAll="0" sortType="ascending">
      <items count="5">
        <item h="1" x="0"/>
        <item x="1"/>
        <item x="2"/>
        <item x="3"/>
        <item t="default"/>
      </items>
      <autoSortScope>
        <pivotArea dataOnly="0" outline="0" fieldPosition="0">
          <references count="1">
            <reference field="4294967294" count="1" selected="0">
              <x v="0"/>
            </reference>
          </references>
        </pivotArea>
      </autoSortScope>
    </pivotField>
    <pivotField dataField="1" showAll="0"/>
    <pivotField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3"/>
    </i>
    <i>
      <x v="2"/>
    </i>
    <i t="grand">
      <x/>
    </i>
  </rowItems>
  <colFields count="1">
    <field x="-2"/>
  </colFields>
  <colItems count="2">
    <i>
      <x/>
    </i>
    <i i="1">
      <x v="1"/>
    </i>
  </colItems>
  <pageFields count="2">
    <pageField fld="9" hier="-1"/>
    <pageField fld="2" item="1" hier="-1"/>
  </pageFields>
  <dataFields count="2">
    <dataField name="Đơn giá" fld="18" subtotal="average" baseField="17" baseItem="1"/>
    <dataField name="Ngày ship" fld="12" subtotal="average" baseField="17" baseItem="1"/>
  </dataFields>
  <formats count="6">
    <format dxfId="767">
      <pivotArea type="all" dataOnly="0" outline="0" fieldPosition="0"/>
    </format>
    <format dxfId="766">
      <pivotArea outline="0" collapsedLevelsAreSubtotals="1" fieldPosition="0"/>
    </format>
    <format dxfId="765">
      <pivotArea field="17" type="button" dataOnly="0" labelOnly="1" outline="0" axis="axisRow" fieldPosition="0"/>
    </format>
    <format dxfId="764">
      <pivotArea dataOnly="0" labelOnly="1" fieldPosition="0">
        <references count="1">
          <reference field="17" count="0"/>
        </references>
      </pivotArea>
    </format>
    <format dxfId="763">
      <pivotArea dataOnly="0" labelOnly="1" grandRow="1" outline="0" fieldPosition="0"/>
    </format>
    <format dxfId="762">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22EF8E-FF6C-432E-9E9C-4FB15882DB19}" name="PivotTable1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B21:E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Dự phòng tồn kho" fld="23" baseField="0" baseItem="0" numFmtId="164"/>
  </dataFields>
  <formats count="2">
    <format dxfId="731">
      <pivotArea outline="0" collapsedLevelsAreSubtotals="1" fieldPosition="0"/>
    </format>
    <format dxfId="730">
      <pivotArea dataOnly="0" labelOnly="1" fieldPosition="0">
        <references count="1">
          <reference field="6" count="3">
            <x v="0"/>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A10A45F-6C04-4E42-AD70-9F22236C7093}" name="PivotTable4"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AG21:AJ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Giá vốn hàng bán" fld="17" baseField="0" baseItem="0" numFmtId="164"/>
  </dataFields>
  <chartFormats count="6">
    <chartFormat chart="0" format="0"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 chart="0" format="8" series="1">
      <pivotArea type="data" outline="0" fieldPosition="0">
        <references count="2">
          <reference field="4294967294" count="1" selected="0">
            <x v="0"/>
          </reference>
          <reference field="6" count="1" selected="0">
            <x v="4"/>
          </reference>
        </references>
      </pivotArea>
    </chartFormat>
    <chartFormat chart="0" format="9"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AD6AB9B-B273-4A24-B31E-DFF7A1ACDE92}" name="PivotTable2"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E21:F26" firstHeaderRow="1" firstDataRow="2" firstDataCol="1" rowPageCount="1" colPageCount="1"/>
  <pivotFields count="27">
    <pivotField axis="axisRow" numFmtId="166" showAll="0">
      <items count="4">
        <item x="2"/>
        <item x="1"/>
        <item x="0"/>
        <item t="default"/>
      </items>
    </pivotField>
    <pivotField showAll="0"/>
    <pivotField showAll="0"/>
    <pivotField showAll="0"/>
    <pivotField showAll="0"/>
    <pivotField showAll="0"/>
    <pivotField axis="axisPage" showAll="0">
      <items count="6">
        <item x="2"/>
        <item x="3"/>
        <item x="4"/>
        <item x="1"/>
        <item x="0"/>
        <item t="default"/>
      </items>
    </pivotField>
    <pivotField axis="axisCol"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7"/>
  </colFields>
  <colItems count="1">
    <i>
      <x/>
    </i>
  </colItems>
  <pageFields count="1">
    <pageField fld="6" hier="-1"/>
  </pageFields>
  <dataFields count="1">
    <dataField name="Tồn cuối kỳ" fld="11"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F0AA407-5F7B-474C-BA06-5511641816C5}" name="PivotTable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P21:U27" firstHeaderRow="1" firstDataRow="3" firstDataCol="1" rowPageCount="1" colPageCount="1"/>
  <pivotFields count="27">
    <pivotField axis="axisRow" numFmtId="166" showAll="0" sortType="ascending">
      <items count="4">
        <item x="2"/>
        <item x="1"/>
        <item x="0"/>
        <item t="default"/>
      </items>
    </pivotField>
    <pivotField showAll="0"/>
    <pivotField showAll="0"/>
    <pivotField showAll="0"/>
    <pivotField showAll="0"/>
    <pivotField axis="axisCol" showAll="0" sortType="descending" defaultSubtotal="0">
      <items count="3">
        <item x="1"/>
        <item x="2"/>
        <item x="0"/>
      </items>
      <autoSortScope>
        <pivotArea dataOnly="0" outline="0" fieldPosition="0">
          <references count="1">
            <reference field="4294967294" count="1" selected="0">
              <x v="0"/>
            </reference>
          </references>
        </pivotArea>
      </autoSortScope>
    </pivotField>
    <pivotField axis="axisCol" showAll="0" sortType="descending">
      <items count="6">
        <item x="2"/>
        <item x="3"/>
        <item x="4"/>
        <item x="1"/>
        <item x="0"/>
        <item t="default"/>
      </items>
      <autoSortScope>
        <pivotArea dataOnly="0" outline="0" fieldPosition="0">
          <references count="1">
            <reference field="4294967294" count="1" selected="0">
              <x v="0"/>
            </reference>
          </references>
        </pivotArea>
      </autoSortScope>
    </pivotField>
    <pivotField axis="axisPage"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2">
    <field x="5"/>
    <field x="6"/>
  </colFields>
  <colItems count="5">
    <i>
      <x v="1"/>
      <x v="1"/>
    </i>
    <i r="1">
      <x v="2"/>
    </i>
    <i>
      <x v="2"/>
      <x v="3"/>
    </i>
    <i r="1">
      <x v="4"/>
    </i>
    <i>
      <x/>
      <x/>
    </i>
  </colItems>
  <pageFields count="1">
    <pageField fld="7" hier="-1"/>
  </pageFields>
  <dataFields count="1">
    <dataField name="Tồn cuối kỳ" fld="11" baseField="0" baseItem="0" numFmtId="164"/>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3"/>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3">
          <reference field="4294967294" count="1" selected="0">
            <x v="0"/>
          </reference>
          <reference field="5" count="1" selected="0">
            <x v="2"/>
          </reference>
          <reference field="6" count="1" selected="0">
            <x v="4"/>
          </reference>
        </references>
      </pivotArea>
    </chartFormat>
    <chartFormat chart="0" format="11" series="1">
      <pivotArea type="data" outline="0" fieldPosition="0">
        <references count="2">
          <reference field="4294967294" count="1" selected="0">
            <x v="0"/>
          </reference>
          <reference field="5" count="1" selected="0">
            <x v="2"/>
          </reference>
        </references>
      </pivotArea>
    </chartFormat>
    <chartFormat chart="0" format="12" series="1">
      <pivotArea type="data" outline="0" fieldPosition="0">
        <references count="3">
          <reference field="4294967294" count="1" selected="0">
            <x v="0"/>
          </reference>
          <reference field="5" count="1" selected="0">
            <x v="1"/>
          </reference>
          <reference field="6" count="1" selected="0">
            <x v="2"/>
          </reference>
        </references>
      </pivotArea>
    </chartFormat>
    <chartFormat chart="0" format="13" series="1">
      <pivotArea type="data" outline="0" fieldPosition="0">
        <references count="3">
          <reference field="4294967294" count="1" selected="0">
            <x v="0"/>
          </reference>
          <reference field="5" count="1" selected="0">
            <x v="2"/>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683D31F-FACA-4FEA-A410-00EF9F4BD09A}" name="PivotTable5" cacheId="8"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1:C23" firstHeaderRow="1" firstDataRow="1" firstDataCol="1" rowPageCount="2" colPageCount="1"/>
  <pivotFields count="27">
    <pivotField axis="axisPage" numFmtId="166" showAll="0">
      <items count="4">
        <item x="2"/>
        <item x="1"/>
        <item x="0"/>
        <item t="default"/>
      </items>
    </pivotField>
    <pivotField showAll="0"/>
    <pivotField showAll="0"/>
    <pivotField showAll="0"/>
    <pivotField showAll="0"/>
    <pivotField showAll="0"/>
    <pivotField name="Mã hàng" axis="axisPage" showAll="0">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2">
    <i>
      <x/>
    </i>
    <i i="1">
      <x v="1"/>
    </i>
  </rowItems>
  <colItems count="1">
    <i/>
  </colItems>
  <pageFields count="2">
    <pageField fld="0" item="2" hier="-1"/>
    <pageField fld="6" hier="-1"/>
  </pageFields>
  <dataFields count="2">
    <dataField name="Tồn kho chưa tiêu thụ" fld="18" baseField="0" baseItem="0" numFmtId="164"/>
    <dataField name="Tồn kho giá vốn thành phẩm" fld="19" baseField="0" baseItem="0" numFmtId="164"/>
  </dataField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5DB42D2-586C-4C45-AC11-6ACF64A27054}"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0:F44" firstHeaderRow="0" firstDataRow="1" firstDataCol="1"/>
  <pivotFields count="12">
    <pivotField numFmtId="166"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74" showAll="0"/>
    <pivotField numFmtId="174" showAll="0"/>
    <pivotField dataField="1" numFmtId="174" showAll="0"/>
    <pivotField dataField="1" numFmtId="174" showAll="0"/>
    <pivotField dataField="1" numFmtId="174" showAll="0"/>
    <pivotField dataField="1" numFmtId="174" showAll="0"/>
    <pivotField numFmtId="174" showAll="0"/>
    <pivotField showAll="0"/>
    <pivotField name="Tháng "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axis="axisRow" showAll="0">
      <items count="6">
        <item x="0"/>
        <item x="1"/>
        <item x="2"/>
        <item h="1" x="3"/>
        <item h="1" x="4"/>
        <item t="default"/>
      </items>
    </pivotField>
  </pivotFields>
  <rowFields count="2">
    <field x="11"/>
    <field x="9"/>
  </rowFields>
  <rowItems count="24">
    <i>
      <x v="1"/>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4">
    <i>
      <x/>
    </i>
    <i i="1">
      <x v="1"/>
    </i>
    <i i="2">
      <x v="2"/>
    </i>
    <i i="3">
      <x v="3"/>
    </i>
  </colItems>
  <dataFields count="4">
    <dataField name="Khấu hao Sản xuất " fld="4" baseField="11" baseItem="1" numFmtId="174"/>
    <dataField name="Khấu hao Bán hàng " fld="5" baseField="11" baseItem="1" numFmtId="174"/>
    <dataField name="Khấu hao Quản lý " fld="6" baseField="11" baseItem="1" numFmtId="174"/>
    <dataField name="Tổng" fld="3" baseField="11" baseItem="1" numFmtId="17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71469C8-C645-4CF1-9AB1-FEC2E413195B}"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21:H26" firstHeaderRow="1" firstDataRow="1" firstDataCol="1" rowPageCount="3" colPageCount="1"/>
  <pivotFields count="21">
    <pivotField numFmtId="166" showAll="0"/>
    <pivotField numFmtId="174" showAll="0"/>
    <pivotField showAll="0"/>
    <pivotField axis="axisRow" showAll="0">
      <items count="5">
        <item x="3"/>
        <item x="2"/>
        <item x="1"/>
        <item x="0"/>
        <item t="default"/>
      </items>
    </pivotField>
    <pivotField showAll="0"/>
    <pivotField numFmtId="175" showAll="0"/>
    <pivotField numFmtId="175" showAll="0"/>
    <pivotField numFmtId="175" showAll="0"/>
    <pivotField numFmtId="9" showAll="0"/>
    <pivotField numFmtId="164" showAll="0"/>
    <pivotField numFmtId="164" showAll="0"/>
    <pivotField dataField="1" numFmtId="164" showAll="0"/>
    <pivotField numFmtId="164" showAll="0"/>
    <pivotField numFmtId="164" showAll="0"/>
    <pivotField numFmtId="164" showAll="0"/>
    <pivotField axis="axisPage" numFmtId="175" showAll="0">
      <items count="14">
        <item x="12"/>
        <item x="9"/>
        <item x="8"/>
        <item x="7"/>
        <item x="6"/>
        <item x="5"/>
        <item x="2"/>
        <item x="4"/>
        <item x="1"/>
        <item x="0"/>
        <item x="11"/>
        <item x="3"/>
        <item x="10"/>
        <item t="default"/>
      </items>
    </pivotField>
    <pivotField numFmtId="164" showAll="0"/>
    <pivotField showAll="0"/>
    <pivotField name="Tháng " axis="axisPage"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3"/>
  </rowFields>
  <rowItems count="5">
    <i>
      <x/>
    </i>
    <i>
      <x v="1"/>
    </i>
    <i>
      <x v="2"/>
    </i>
    <i>
      <x v="3"/>
    </i>
    <i t="grand">
      <x/>
    </i>
  </rowItems>
  <colItems count="1">
    <i/>
  </colItems>
  <pageFields count="3">
    <pageField fld="20" hier="-1"/>
    <pageField fld="18" hier="-1"/>
    <pageField fld="15" hier="-1"/>
  </pageFields>
  <dataFields count="1">
    <dataField name="Lãi vay " fld="11" baseField="3" baseItem="1" numFmtId="164"/>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4B912F7A-D342-46C2-9BA8-FE4E4878CD05}"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1:E49" firstHeaderRow="0" firstDataRow="1" firstDataCol="1"/>
  <pivotFields count="21">
    <pivotField numFmtId="166" showAll="0"/>
    <pivotField numFmtId="174" showAll="0"/>
    <pivotField showAll="0"/>
    <pivotField showAll="0"/>
    <pivotField showAll="0"/>
    <pivotField numFmtId="175" showAll="0"/>
    <pivotField numFmtId="175" showAll="0"/>
    <pivotField numFmtId="175" showAll="0"/>
    <pivotField numFmtId="9" showAll="0"/>
    <pivotField numFmtId="164" showAll="0"/>
    <pivotField dataField="1" numFmtId="164" showAll="0"/>
    <pivotField dataField="1" numFmtId="164" showAll="0"/>
    <pivotField numFmtId="164" showAll="0"/>
    <pivotField dataField="1" numFmtId="164" showAll="0"/>
    <pivotField numFmtId="164" showAll="0"/>
    <pivotField name="Ngày" axis="axisRow" numFmtId="178" showAll="0">
      <items count="14">
        <item x="12"/>
        <item x="9"/>
        <item x="8"/>
        <item x="7"/>
        <item x="6"/>
        <item x="5"/>
        <item x="2"/>
        <item x="4"/>
        <item x="1"/>
        <item x="0"/>
        <item x="11"/>
        <item x="3"/>
        <item x="10"/>
        <item t="default"/>
      </items>
    </pivotField>
    <pivotField numFmtId="164" showAll="0"/>
    <pivotField showAll="0"/>
    <pivotField name="Tháng " axis="axisRow" numFmtId="179"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x="0"/>
        <item x="1"/>
        <item x="2"/>
        <item x="3"/>
        <item x="4"/>
        <item t="default"/>
      </items>
    </pivotField>
  </pivotFields>
  <rowFields count="3">
    <field x="20"/>
    <field x="18"/>
    <field x="15"/>
  </rowFields>
  <rowItems count="28">
    <i>
      <x v="1"/>
    </i>
    <i r="1">
      <x v="2"/>
    </i>
    <i r="2">
      <x/>
    </i>
    <i r="1">
      <x v="4"/>
    </i>
    <i r="2">
      <x v="1"/>
    </i>
    <i r="1">
      <x v="5"/>
    </i>
    <i r="2">
      <x v="2"/>
    </i>
    <i r="1">
      <x v="6"/>
    </i>
    <i r="2">
      <x v="3"/>
    </i>
    <i r="1">
      <x v="7"/>
    </i>
    <i r="2">
      <x v="4"/>
    </i>
    <i r="1">
      <x v="8"/>
    </i>
    <i r="2">
      <x v="5"/>
    </i>
    <i r="2">
      <x v="6"/>
    </i>
    <i r="1">
      <x v="9"/>
    </i>
    <i r="2">
      <x v="7"/>
    </i>
    <i r="1">
      <x v="10"/>
    </i>
    <i r="2">
      <x v="8"/>
    </i>
    <i r="2">
      <x v="9"/>
    </i>
    <i>
      <x v="2"/>
    </i>
    <i r="1">
      <x v="2"/>
    </i>
    <i r="2">
      <x v="10"/>
    </i>
    <i r="1">
      <x v="5"/>
    </i>
    <i r="2">
      <x v="11"/>
    </i>
    <i>
      <x v="3"/>
    </i>
    <i r="1">
      <x v="2"/>
    </i>
    <i r="2">
      <x v="12"/>
    </i>
    <i t="grand">
      <x/>
    </i>
  </rowItems>
  <colFields count="1">
    <field x="-2"/>
  </colFields>
  <colItems count="3">
    <i>
      <x/>
    </i>
    <i i="1">
      <x v="1"/>
    </i>
    <i i="2">
      <x v="2"/>
    </i>
  </colItems>
  <dataFields count="3">
    <dataField name="Gốc" fld="10" baseField="20" baseItem="1" numFmtId="164"/>
    <dataField name="Lãi" fld="11" baseField="20" baseItem="1" numFmtId="164"/>
    <dataField name="Tổng" fld="13" baseField="20" baseItem="1"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0CA0981-E86B-446C-8A71-5EB47C55614E}"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E36" firstHeaderRow="0" firstDataRow="1" firstDataCol="1"/>
  <pivotFields count="23">
    <pivotField axis="axisRow" showAll="0" sortType="descending">
      <items count="7">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7">
        <item x="4"/>
        <item x="5"/>
        <item x="1"/>
        <item x="3"/>
        <item x="2"/>
        <item x="0"/>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6" showAll="0"/>
    <pivotField numFmtId="164" showAll="0"/>
    <pivotField numFmtId="164" showAll="0"/>
    <pivotField numFmtId="166" showAll="0"/>
    <pivotField showAll="0"/>
    <pivotField numFmtId="175" showAll="0"/>
    <pivotField numFmtId="164" showAll="0"/>
    <pivotField showAll="0"/>
    <pivotField showAll="0"/>
    <pivotField numFmtId="164" showAll="0"/>
    <pivotField numFmtId="164" showAll="0"/>
    <pivotField dataField="1" numFmtId="164" showAll="0"/>
    <pivotField dataField="1" numFmtId="9" showAll="0"/>
    <pivotField numFmtId="164" showAll="0"/>
    <pivotField numFmtId="164" showAll="0"/>
    <pivotField showAll="0"/>
  </pivotFields>
  <rowFields count="2">
    <field x="3"/>
    <field x="0"/>
  </rowFields>
  <rowItems count="13">
    <i>
      <x/>
    </i>
    <i r="1">
      <x v="1"/>
    </i>
    <i>
      <x v="1"/>
    </i>
    <i r="1">
      <x/>
    </i>
    <i>
      <x v="3"/>
    </i>
    <i r="1">
      <x v="2"/>
    </i>
    <i>
      <x v="4"/>
    </i>
    <i r="1">
      <x v="3"/>
    </i>
    <i>
      <x v="5"/>
    </i>
    <i r="1">
      <x v="5"/>
    </i>
    <i>
      <x v="2"/>
    </i>
    <i r="1">
      <x v="4"/>
    </i>
    <i t="grand">
      <x/>
    </i>
  </rowItems>
  <colFields count="1">
    <field x="-2"/>
  </colFields>
  <colItems count="3">
    <i>
      <x/>
    </i>
    <i i="1">
      <x v="1"/>
    </i>
    <i i="2">
      <x v="2"/>
    </i>
  </colItems>
  <dataFields count="3">
    <dataField name="Giá trị đầu tư" fld="6" baseField="0" baseItem="3" numFmtId="164"/>
    <dataField name="Khấu hao lũy kế" fld="18" baseField="0" baseItem="3" numFmtId="164"/>
    <dataField name="Tỷ lệ khấu hao " fld="19" baseField="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ân_khúc" xr10:uid="{08A8D885-3978-4DAC-AA1E-20C5EFAA1A42}" sourceName="[Table_KhachHang].[Phân khúc]">
  <pivotTables>
    <pivotTable tabId="74" name="PivotTable_ThiTruong"/>
    <pivotTable tabId="74" name="PivotTable_SanPham"/>
  </pivotTables>
  <data>
    <olap pivotCacheId="1629187186">
      <levels count="2">
        <level uniqueName="[Table_KhachHang].[Phân khúc].[(All)]" sourceCaption="(All)" count="0"/>
        <level uniqueName="[Table_KhachHang].[Phân khúc].[Phân khúc]" sourceCaption="Phân khúc" count="3">
          <ranges>
            <range startItem="0">
              <i n="[Table_KhachHang].[Phân khúc].&amp;" c="(blank)"/>
              <i n="[Table_KhachHang].[Phân khúc].&amp;[B2B]" c="B2B"/>
              <i n="[Table_KhachHang].[Phân khúc].&amp;[B2C]" c="B2C"/>
            </range>
          </ranges>
        </level>
      </levels>
      <selections count="1">
        <selection n="[Table_KhachHang].[Phân khúc].[All]"/>
      </selections>
    </olap>
  </data>
  <extLst>
    <x:ext xmlns:x15="http://schemas.microsoft.com/office/spreadsheetml/2010/11/main" uri="{470722E0-AACD-4C17-9CDC-17EF765DBC7E}">
      <x15:slicerCacheHideItemsWithNoData count="1">
        <x15:slicerCacheOlapLevelName uniqueName="[Table_KhachHang].[Phân khúc].[Phân khúc]"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 xr10:uid="{8367BEF0-871F-4508-9549-53EE0237830C}" sourceName="[Table_KhachHang].[Tỉnh]">
  <pivotTables>
    <pivotTable tabId="74" name="PivotTable_ThiTruong"/>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1" xr10:uid="{9AB6D149-752F-445A-A94D-A47B46509A03}" sourceName="[Table_KhachHang].[Tỉnh]">
  <pivotTables>
    <pivotTable tabId="74" name="PivotTable_SanPham"/>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1" xr10:uid="{363DB256-8C48-4D7B-9404-DC2BE462610C}" sourceName="[Table_SKU].[Nhóm 1]">
  <pivotTables>
    <pivotTable tabId="74" name="PivotTable_SanPham"/>
  </pivotTables>
  <data>
    <olap pivotCacheId="1629187186">
      <levels count="2">
        <level uniqueName="[Table_SKU].[Nhóm 1].[(All)]" sourceCaption="(All)" count="0"/>
        <level uniqueName="[Table_SKU].[Nhóm 1].[Nhóm 1]" sourceCaption="Nhóm 1" count="4">
          <ranges>
            <range startItem="0">
              <i n="[Table_SKU].[Nhóm 1].&amp;" c="(blank)"/>
              <i n="[Table_SKU].[Nhóm 1].&amp;[Nhóm 1]" c="Nhóm 1"/>
              <i n="[Table_SKU].[Nhóm 1].&amp;[Nhóm 2]" c="Nhóm 2"/>
              <i n="[Table_SKU].[Nhóm 1].&amp;[Nhóm 3]" c="Nhóm 3"/>
            </range>
          </ranges>
        </level>
      </levels>
      <selections count="1">
        <selection n="[Table_SKU].[Nhóm 1].[All]"/>
      </selections>
    </olap>
  </data>
  <extLst>
    <x:ext xmlns:x15="http://schemas.microsoft.com/office/spreadsheetml/2010/11/main" uri="{470722E0-AACD-4C17-9CDC-17EF765DBC7E}">
      <x15:slicerCacheHideItemsWithNoData count="1">
        <x15:slicerCacheOlapLevelName uniqueName="[Table_SKU].[Nhóm 1].[Nhóm 1]"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ân khúc" xr10:uid="{853D58B9-8879-42EE-8FF6-E6E6D9D92727}" cache="Slicer_Phân_khúc" caption="Phân khúc" columnCount="5" showCaption="0" level="1" rowHeight="273050"/>
  <slicer name="Tỉnh" xr10:uid="{F80D4E25-E4E8-4CB9-BB8B-40A1B6CB2F5A}" cache="Slicer_Tỉnh" caption="Tỉnh" columnCount="3" showCaption="0"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ỉnh 1" xr10:uid="{BF0AAC17-A525-4BF5-BE2B-8C8CEA98FF8C}" cache="Slicer_Tỉnh1" caption="Tỉnh" columnCount="3" showCaption="0" level="1" rowHeight="273050"/>
  <slicer name="Nhóm 1" xr10:uid="{10736B15-1D0F-43F5-BF5B-8E09116E89BD}" cache="Slicer_Nhóm_1" caption="Nhóm 1" columnCount="5" showCaption="0" level="1"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CABCB06-E76D-4ABB-A881-ABFB02322D7F}" name="Ref_Dates" displayName="Ref_Dates" ref="BI2:BI33" totalsRowShown="0" headerRowDxfId="2113" dataDxfId="2112">
  <autoFilter ref="BI2:BI33" xr:uid="{FCABCB06-E76D-4ABB-A881-ABFB02322D7F}"/>
  <tableColumns count="1">
    <tableColumn id="1" xr3:uid="{D8BF13A4-3A12-4036-9917-AB6128C1D5F8}" name="Ngày" dataDxfId="211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F030FBF0-4D34-4EF7-97B9-188D44049DC2}" name="Ref_Periods" displayName="Ref_Periods" ref="BK2:BK3" totalsRowShown="0" headerRowDxfId="2110" dataDxfId="2109">
  <autoFilter ref="BK2:BK3" xr:uid="{F030FBF0-4D34-4EF7-97B9-188D44049DC2}"/>
  <tableColumns count="1">
    <tableColumn id="1" xr3:uid="{E3C6024A-8868-4504-AE1E-10D6FFA8BE7D}" name="Kỳ" dataDxfId="2108"/>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P4:CT6" totalsRowShown="0" headerRowDxfId="2107" dataDxfId="2106">
  <autoFilter ref="CP4:CT6" xr:uid="{BA39F5F3-F5AA-404A-A7CD-16C79C9DEDE4}"/>
  <tableColumns count="5">
    <tableColumn id="1" xr3:uid="{2B2CA254-1972-463F-AC1F-79640FD3FEBC}" name="Năm" dataDxfId="2105"/>
    <tableColumn id="2" xr3:uid="{AB2F707D-FA25-4ABB-94CC-0B37FF8E4A20}" name="Giá trị gốc" dataDxfId="2104">
      <calculatedColumnFormula array="1">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calculatedColumnFormula>
    </tableColumn>
    <tableColumn id="3" xr3:uid="{63DDC4AF-4E46-4BBB-95C1-358BC97A4949}" name="Giá trị đạt" dataDxfId="2103">
      <calculatedColumnFormula array="1"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calculatedColumnFormula>
    </tableColumn>
    <tableColumn id="4" xr3:uid="{4949AB23-B1EF-4C05-ADC2-B754FDD4B8F7}" name="Format" dataDxfId="2102">
      <calculatedColumnFormula>IFERROR(TEXT(Dashboard_GiaTriNam[[#This Row],[Giá trị đạt]],LOOKUP(Dashboard_GiaTriNam[[#This Row],[Giá trị đạt]],Pivot!$B$6:$B$12,Pivot!$C$6:$C$12)),"")</calculatedColumnFormula>
    </tableColumn>
    <tableColumn id="5" xr3:uid="{1DD8ABD5-C72F-4CFD-BFFA-BEDC4F4C954B}" name="Hiệu quả" dataDxfId="2101">
      <calculatedColumnFormula array="1">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6" totalsRowShown="0" headerRowDxfId="2100" dataDxfId="2099">
  <autoFilter ref="B5:BC6" xr:uid="{BAEBA6B2-288F-49A9-BEF9-8278EDB11DBD}"/>
  <tableColumns count="54">
    <tableColumn id="1" xr3:uid="{FD8ED7B4-F071-45F0-BEE1-F25B013177D2}" name="Kỳ" dataDxfId="2098">
      <calculatedColumnFormula>DATE(Table_Datafeed[[#This Row],[Năm]],Table_Datafeed[[#This Row],[Tháng]],1)</calculatedColumnFormula>
    </tableColumn>
    <tableColumn id="2" xr3:uid="{E9A2CF43-BA4B-4887-B726-EFB6AE39C4B5}" name="Năm" dataDxfId="2097"/>
    <tableColumn id="3" xr3:uid="{2DA1D101-98A7-4341-BAC4-4301BE3B4776}" name="Tháng" dataDxfId="2096"/>
    <tableColumn id="4" xr3:uid="{0641FC0C-01EB-4185-9062-F4AF4EF93644}" name="Sản lượng" dataDxfId="2095">
      <calculatedColumnFormula array="1">+IFERROR(SUM(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calculatedColumnFormula>
    </tableColumn>
    <tableColumn id="5" xr3:uid="{76ACC107-C921-4162-8F12-A0DEDE4FF3A9}" name="Điểm hòa vốn" dataDxfId="2094">
      <calculatedColumnFormula>-Table_Datafeed[[#This Row],[Chi phí cố định]]/(Table_Datafeed[[#This Row],[Lợi nhuận biến đổi]]/Table_Datafeed[[#This Row],[Sản lượng]])</calculatedColumnFormula>
    </tableColumn>
    <tableColumn id="6" xr3:uid="{6AAF5E7D-0221-4C25-814E-E4C46F4BFA4D}" name="Tỷ lệ hòa vốn" dataDxfId="2093">
      <calculatedColumnFormula>Table_Datafeed[[#This Row],[Sản lượng]]/Table_Datafeed[[#This Row],[Điểm hòa vốn]]-1</calculatedColumnFormula>
    </tableColumn>
    <tableColumn id="7" xr3:uid="{2395E714-F676-4D5E-A096-2A17554BF36E}" name="Doanh thu" dataDxfId="2092">
      <calculatedColumnFormula array="1">IFERROR(SUM(
_xlfn._xlws.FILTER(Table_Main[Thành tiền niêm yết],
NOT(ISBLANK(Table_Main[Đơn bán]))*
(Table_Main[Ngày lên đơn] &gt;= Table_Datafeed[[#This Row],[Kỳ]])*
(Table_Main[Ngày lên đơn] &lt;DATE(YEAR(Table_Datafeed[[#This Row],[Kỳ]]),MONTH(Table_Datafeed[[#This Row],[Kỳ]])+1,1))
)),0)</calculatedColumnFormula>
    </tableColumn>
    <tableColumn id="8" xr3:uid="{5596F896-3038-4E7B-9288-73FA2227ED66}" name="Biên lãi gộp" dataDxfId="2091">
      <calculatedColumnFormula>(Table_Datafeed[[#This Row],[Doanh thu]]+Table_Datafeed[[#This Row],[Chi phí biến đổi]])/Table_Datafeed[[#This Row],[Doanh thu]]</calculatedColumnFormula>
    </tableColumn>
    <tableColumn id="9" xr3:uid="{EBB47544-D455-4DD2-AF63-F1351FBE6D82}" name="Chi phí biến đổi" dataDxfId="2090">
      <calculatedColumnFormula>SUM(Table_Datafeed[[#This Row],[CP chiết khấu]:[CP vận chuyển]])</calculatedColumnFormula>
    </tableColumn>
    <tableColumn id="10" xr3:uid="{776D0F30-43C8-4A09-9853-B2D7EBA76A14}" name="CP chiết khấu" dataDxfId="2089">
      <calculatedColumnFormula array="1">-IFERROR(SUM(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calculatedColumnFormula>
    </tableColumn>
    <tableColumn id="11" xr3:uid="{9729C4DC-21DC-4D34-AC53-2BB99DB56E1A}" name="CP nguyên liệu" dataDxfId="2088">
      <calculatedColumnFormula array="1">-IFERROR(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calculatedColumnFormula>
    </tableColumn>
    <tableColumn id="12" xr3:uid="{E928853A-8763-4FF9-A699-00C3757BB851}" name="CP tiện ích sản xuất" dataDxfId="2087">
      <calculatedColumnFormula array="1">-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13" xr3:uid="{02813682-815F-4019-9F5F-48235030214D}" name="CP hoa hồng" dataDxfId="2086">
      <calculatedColumnFormula array="1">-IFERROR(SUM(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calculatedColumnFormula>
    </tableColumn>
    <tableColumn id="15" xr3:uid="{99644569-FDAE-4878-8108-71B11FE61EF3}" name="CP thưởng KPI" dataDxfId="2085">
      <calculatedColumnFormula array="1"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calculatedColumnFormula>
    </tableColumn>
    <tableColumn id="16" xr3:uid="{AFF98F1E-4B8F-4E06-A91E-94A3F1C88CD7}" name="CP thanh toán" dataDxfId="2084">
      <calculatedColumnFormula array="1">-IFERROR(SUM(
_xlfn._xlws.FILTER(Table_ThuChiKD[Phí GD],
(Table_ThuChiKD[Ngày GD] &gt;= Table_Datafeed[[#This Row],[Kỳ]])*
(Table_ThuChiKD[Ngày GD] &lt; DATE(Table_Datafeed[[#This Row],[Năm]],Table_Datafeed[[#This Row],[Tháng]]+1,1))
)),0)</calculatedColumnFormula>
    </tableColumn>
    <tableColumn id="17" xr3:uid="{5B4AF7B4-7422-470C-8E8C-807C04EE20F3}" name="CP vận chuyển" dataDxfId="2083">
      <calculatedColumnFormula array="1">-IFERROR(
SUM(_xlfn._xlws.FILTER(Table_VanDon[Phí ship],
(Table_VanDon[Bên chịu phí] = "Bên bán") *
(Table_VanDon[Ngày lập] &gt;= Table_Datafeed[[#This Row],[Kỳ]]) *
(Table_VanDon[Ngày lập] &lt; DATE(Table_Datafeed[[#This Row],[Năm]],Table_Datafeed[[#This Row],[Tháng]]+1,1))
)),0)</calculatedColumnFormula>
    </tableColumn>
    <tableColumn id="18" xr3:uid="{AF02DCDC-0EB7-4CE4-80AB-74649AF48752}" name="Lợi nhuận biến đổi" dataDxfId="2082">
      <calculatedColumnFormula>+Table_Datafeed[[#This Row],[Doanh thu]]+Table_Datafeed[[#This Row],[Chi phí biến đổi]]</calculatedColumnFormula>
    </tableColumn>
    <tableColumn id="19" xr3:uid="{EA7590FA-F01E-432E-A8A9-1D63BC7943B0}" name="Đòn bẩy hoạt động" dataDxfId="2081">
      <calculatedColumnFormula>Table_Datafeed[[#This Row],[Chi phí cố định]]/(Table_Datafeed[[#This Row],[Chi phí cố định]]+Table_Datafeed[[#This Row],[Chi phí biến đổi]])</calculatedColumnFormula>
    </tableColumn>
    <tableColumn id="20" xr3:uid="{8D7C08F5-574E-4E41-BC92-AFA5E8F31C84}" name="Chi phí cố định" dataDxfId="2080">
      <calculatedColumnFormula>SUM(Table_Datafeed[[#This Row],[CP nhân sự]:[CP khác]])</calculatedColumnFormula>
    </tableColumn>
    <tableColumn id="21" xr3:uid="{EE9318AF-255F-4579-B13E-250E155C38E3}" name="CP nhân sự" dataDxfId="2079">
      <calculatedColumnFormula array="1">-IFERROR(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calculatedColumnFormula>
    </tableColumn>
    <tableColumn id="22" xr3:uid="{E29AD649-43FC-4ACD-9A1F-4543C2AD52BB}" name="CP tiêu hao VP" dataDxfId="2078">
      <calculatedColumnFormula array="1">-IFERROR(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23" xr3:uid="{62B65E09-992C-411F-B6B9-50EFEE7A3975}" name="CP vận hành kênh" dataDxfId="2077">
      <calculatedColumnFormula array="1"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calculatedColumnFormula>
    </tableColumn>
    <tableColumn id="24" xr3:uid="{2EF5B38D-76F3-486D-844B-FAAA07DC87BF}" name="CP marketing" dataDxfId="2076">
      <calculatedColumnFormula array="1"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calculatedColumnFormula>
    </tableColumn>
    <tableColumn id="25" xr3:uid="{BC6198A5-AC40-4396-AB94-B3BDB089F67D}" name="CP dịch vụ" dataDxfId="2075">
      <calculatedColumnFormula array="1">-IFERROR(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calculatedColumnFormula>
    </tableColumn>
    <tableColumn id="26" xr3:uid="{C51AECFE-98FD-4A99-906B-A1D081D6F92F}" name="CP khấu hao" dataDxfId="2074">
      <calculatedColumnFormula array="1">-IFERROR(SUM(_xlfn._xlws.FILTER(Table_TSCD_KhauHao[Khấu hao],
(Table_TSCD_KhauHao[Kỳ] = Table_Datafeed[[#This Row],[Kỳ]]))),0)</calculatedColumnFormula>
    </tableColumn>
    <tableColumn id="27" xr3:uid="{422E3EF5-602E-4FB0-B5C7-B7930FB398B8}" name="CP lãi vay" dataDxfId="2073">
      <calculatedColumnFormula array="1"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calculatedColumnFormula>
    </tableColumn>
    <tableColumn id="28" xr3:uid="{6EC3ECB0-640B-46A8-8283-D14A1CC59BC8}" name="Thuế phí NN" dataDxfId="2072">
      <calculatedColumnFormula array="1">-IFERROR(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calculatedColumnFormula>
    </tableColumn>
    <tableColumn id="29" xr3:uid="{C2A87066-5A53-478B-A0FB-6369427AD775}" name="CP khác" dataDxfId="2071">
      <calculatedColumnFormula array="1">-IFERROR(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calculatedColumnFormula>
    </tableColumn>
    <tableColumn id="30" xr3:uid="{82A76BD9-98C0-4235-87DD-47B4441DBB49}" name="Lợi nhuận kinh doanh" dataDxfId="2070">
      <calculatedColumnFormula>+Table_Datafeed[[#This Row],[Lợi nhuận biến đổi]]+Table_Datafeed[[#This Row],[Chi phí cố định]]</calculatedColumnFormula>
    </tableColumn>
    <tableColumn id="31" xr3:uid="{FB241A19-96CD-4E04-9DA9-E059525EA09C}" name="Hiệu quả lợi nhuận" dataDxfId="2069">
      <calculatedColumnFormula>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55" xr3:uid="{CB986643-2B15-413C-AD6F-72A641C79A1A}" name="Dòng tiền kinh doanh" dataDxfId="2068">
      <calculatedColumnFormula>+Table_Datafeed[[#This Row],[Tiền bán hàng]]+Table_Datafeed[[#This Row],[Tiền VAT]]+Table_Datafeed[[#This Row],[Tiền chi kinh doanh]]+Table_Datafeed[[#This Row],[Tiền nộp NN]]</calculatedColumnFormula>
    </tableColumn>
    <tableColumn id="32" xr3:uid="{BCF05C5B-F2D5-472B-9898-8A1AB77E1AFA}" name="Tiền bán hàng" dataDxfId="2067">
      <calculatedColumnFormula array="1">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calculatedColumnFormula>
    </tableColumn>
    <tableColumn id="33" xr3:uid="{EDB172BA-862D-4EB3-A3AB-ABC078653978}" name="Tiền VAT" dataDxfId="2066">
      <calculatedColumnFormula array="1">IFERROR(
SUM(_xlfn._xlws.FILTER(Table_NopNS[Giá trị tính thuế],
(Table_NopNS[Ngân sách] = "Thuế VAT")*
(Table_NopNS[Năm]=Table_Datafeed[[#This Row],[Năm]])*
(Table_NopNS[Tháng] = Table_Datafeed[[#This Row],[Tháng]])
)),0)</calculatedColumnFormula>
    </tableColumn>
    <tableColumn id="34" xr3:uid="{67166CCD-88F1-40B5-82D1-DD5BE59A000B}" name="Tỷ lệ nợ trên doanh thu" dataDxfId="2065">
      <calculatedColumnFormula>(Table_Datafeed[[#This Row],[Doanh thu]]-Table_Datafeed[[#This Row],[Tiền bán hàng]])/Table_Datafeed[[#This Row],[Doanh thu]]</calculatedColumnFormula>
    </tableColumn>
    <tableColumn id="35" xr3:uid="{3945CA98-6BD9-4A7E-A831-EE792C7E1311}" name="Tiền chi kinh doanh" dataDxfId="2064">
      <calculatedColumnFormula>+Table_Datafeed[[#This Row],[Tiền mua nguyên liệu]]+Table_Datafeed[[#This Row],[Tiền trả chi phí]]+Table_Datafeed[[#This Row],[Tiền trả lao động]]</calculatedColumnFormula>
    </tableColumn>
    <tableColumn id="36" xr3:uid="{5A6C7AB5-9867-4094-B153-9693051914C9}" name="Tiền mua nguyên liệu" dataDxfId="2063">
      <calculatedColumnFormula array="1">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calculatedColumnFormula>
    </tableColumn>
    <tableColumn id="37" xr3:uid="{C9ABC137-7D96-498E-B123-E55F2682CEDE}" name="Tiền trả chi phí" dataDxfId="2062">
      <calculatedColumnFormula array="1">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calculatedColumnFormula>
    </tableColumn>
    <tableColumn id="38" xr3:uid="{D912B86C-BC36-4031-93D2-6A8F527A5E5C}" name="Tiền trả lao động" dataDxfId="2061">
      <calculatedColumnFormula array="1">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calculatedColumnFormula>
    </tableColumn>
    <tableColumn id="39" xr3:uid="{916DF1D5-5863-46C0-8667-D71C8DF4DBB0}" name="Tỷ lệ chiếm dụng chi phí" dataDxfId="2060">
      <calculatedColumnFormula>(SUM(Table_Datafeed[[#This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calculatedColumnFormula>
    </tableColumn>
    <tableColumn id="40" xr3:uid="{E170C9FF-80D4-45FF-AD03-2995D05200BC}" name="Tiền nộp NN" dataDxfId="2059">
      <calculatedColumnFormula array="1">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calculatedColumnFormula>
    </tableColumn>
    <tableColumn id="41" xr3:uid="{4E13D50A-7CE0-4778-81FD-ABED93462011}" name="Tiền trả nợ &amp; đầu tư" dataDxfId="2058">
      <calculatedColumnFormula>+Table_Datafeed[[#This Row],[Tiền trả gốc &amp; lãi]]+Table_Datafeed[[#This Row],[Tiền đầu tư TSCĐ]]+Table_Datafeed[[#This Row],[Tiền đầu tư tài chính]]</calculatedColumnFormula>
    </tableColumn>
    <tableColumn id="42" xr3:uid="{8F0FE448-3D8F-4B68-8060-8448C14C224D}" name="Tiền trả gốc &amp; lãi" dataDxfId="2057">
      <calculatedColumnFormula array="1"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calculatedColumnFormula>
    </tableColumn>
    <tableColumn id="43" xr3:uid="{53C72A69-E5C9-4960-832A-7B73C609FDF1}" name="Tiền đầu tư TSCĐ" dataDxfId="2056">
      <calculatedColumnFormula array="1"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calculatedColumnFormula>
    </tableColumn>
    <tableColumn id="44" xr3:uid="{7BC36105-2403-4F58-8237-70910D47BC4E}" name="Tiền đầu tư tài chính" dataDxfId="2055">
      <calculatedColumnFormula array="1"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calculatedColumnFormula>
    </tableColumn>
    <tableColumn id="45" xr3:uid="{CFD7325A-2A3F-4CBE-B823-2B5F781A5516}" name="Dòng tiền vận hành" dataDxfId="2054">
      <calculatedColumnFormula>+Table_Datafeed[[#This Row],[Dòng tiền kinh doanh]]+Table_Datafeed[[#This Row],[Tiền trả gốc &amp; lãi]]</calculatedColumnFormula>
    </tableColumn>
    <tableColumn id="46" xr3:uid="{4207F6E5-B11E-4B5E-B672-017A94756225}" name="Hiệu quả dòng tiền kinh doanh" dataDxfId="2053">
      <calculatedColumnFormula>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47" xr3:uid="{ADD9F91A-72EC-4D1A-95BA-BAB122B03573}" name="Số dư tiền mặt vận hành" dataDxfId="2052">
      <calculatedColumnFormula array="1">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calculatedColumnFormula>
    </tableColumn>
    <tableColumn id="48" xr3:uid="{38017092-8073-4A34-9AF4-6C3250CFF977}" name="Tiền lời đầu tư" dataDxfId="2051">
      <calculatedColumnFormula array="1"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calculatedColumnFormula>
    </tableColumn>
    <tableColumn id="49" xr3:uid="{944FF52B-0462-4D42-8CB8-14FA59FC77FC}" name="Huy động vốn vay" dataDxfId="2050">
      <calculatedColumnFormula array="1">+IFERROR(SUM(_xlfn._xlws.FILTER(Table_ThuChiTC[Giá trị GD],
(Table_ThuChiTC[Loại GD]="THU")*
(Table_ThuChiTC[Nội dung GD]=Sheet_ThuChiTC!$F$9)*
(Table_ThuChiTC[Ngày GD]&gt;=Table_Datafeed[[#This Row],[Kỳ]])*
(Table_ThuChiTC[Ngày GD]&lt;DATE(Table_Datafeed[[#This Row],[Năm]],Table_Datafeed[[#This Row],[Tháng]]+1,1))
)),0)</calculatedColumnFormula>
    </tableColumn>
    <tableColumn id="50" xr3:uid="{55E8887F-4ACF-422B-B47B-5A779A01D546}" name="Huy động vốn góp" dataDxfId="2049">
      <calculatedColumnFormula array="1"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calculatedColumnFormula>
    </tableColumn>
    <tableColumn id="51" xr3:uid="{D1436329-E98D-46C7-A604-60DB746BE5A2}" name="Đòn bẩy tài chính" dataDxfId="2048">
      <calculatedColumnFormula array="1"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calculatedColumnFormula>
    </tableColumn>
    <tableColumn id="52" xr3:uid="{12E6CBFD-9C49-4AB7-B9A5-6B327B3D2D84}" name="Số dư tiền mặt nguồn vốn" dataDxfId="2047">
      <calculatedColumnFormula>+Table_Datafeed[[#This Row],[Số dư tiền mặt vận hành]]+
+SUM(Table_Datafeed[[#This Row],[Tiền lời đầu tư]:[Huy động vốn góp]])</calculatedColumnFormula>
    </tableColumn>
    <tableColumn id="53" xr3:uid="{5D5C330E-CA2B-4D92-A0B6-79774FE8FBEC}" name="Trả cổ tức" dataDxfId="2046">
      <calculatedColumnFormula array="1"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calculatedColumnFormula>
    </tableColumn>
    <tableColumn id="54" xr3:uid="{EB860026-99BE-42E1-A869-55AA7F337F22}" name="Số dư tiền mặt ròng" dataDxfId="2045">
      <calculatedColumnFormula>+Table_Datafeed[[#This Row],[Số dư tiền mặt nguồn vốn]]+Table_Datafeed[[#This Row],[Trả cổ tức]]</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6BBD135-DAA2-48A2-99CC-C482F4C12060}" name="Dashboard_ThiTruong_KhachHang" displayName="Dashboard_ThiTruong_KhachHang" ref="AR7:AV14" totalsRowShown="0" headerRowDxfId="2044" dataDxfId="2043">
  <autoFilter ref="AR7:AV14" xr:uid="{36BBD135-DAA2-48A2-99CC-C482F4C12060}"/>
  <tableColumns count="5">
    <tableColumn id="1" xr3:uid="{FC5BBDC0-CFF2-40B0-B4B0-961E16F0FBE9}" name="Khách hàng" dataDxfId="2042"/>
    <tableColumn id="2" xr3:uid="{93CD08C4-DED5-48C4-9634-176A29C072EE}" name="Doanh thu" dataDxfId="2041">
      <calculatedColumnFormula>VLOOKUP(Dashboard_ThiTruong_KhachHang[[#This Row],[Khách hàng]],_xlfn.ANCHORARRAY($BO$31):_xlfn.ANCHORARRAY($BV$31),8,0)</calculatedColumnFormula>
    </tableColumn>
    <tableColumn id="3" xr3:uid="{EB73406B-1D74-4E47-9074-58C8F4833142}" name="Doanh thu / ngày" dataDxfId="2040">
      <calculatedColumnFormula>VLOOKUP(Dashboard_ThiTruong_KhachHang[[#This Row],[Khách hàng]],_xlfn.ANCHORARRAY($BO$31):_xlfn.ANCHORARRAY($BZ$31),12,0)</calculatedColumnFormula>
    </tableColumn>
    <tableColumn id="4" xr3:uid="{DA459717-422A-4B47-8E93-7DA52DF867B5}" name="Số ngày chưa mua" dataDxfId="2039">
      <calculatedColumnFormula>VLOOKUP(Dashboard_ThiTruong_KhachHang[[#This Row],[Khách hàng]],_xlfn.ANCHORARRAY($BO$31):_xlfn.ANCHORARRAY($CB$31),14,0)</calculatedColumnFormula>
    </tableColumn>
    <tableColumn id="5" xr3:uid="{B422CFDB-D178-4B09-84E6-7649EF566A27}" name="Nhóm khách" dataDxfId="2038">
      <calculatedColumnFormula array="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B440F6A-EEE4-49BF-9775-007470767C65}" name="Dashboard_ThiTruong_PhanKhuc" displayName="Dashboard_ThiTruong_PhanKhuc" ref="AY7:BC9" totalsRowShown="0" headerRowDxfId="2037" dataDxfId="2036">
  <autoFilter ref="AY7:BC9" xr:uid="{FB440F6A-EEE4-49BF-9775-007470767C65}"/>
  <tableColumns count="5">
    <tableColumn id="1" xr3:uid="{20D32DBA-262A-4148-9BA5-9841285D26F8}" name="Phân khúc" dataDxfId="2035"/>
    <tableColumn id="2" xr3:uid="{024CA038-6F0E-4D5E-B596-4358E7B947CA}" name="Giá trị" dataDxfId="2034">
      <calculatedColumnFormula>VLOOKUP(Dashboard_ThiTruong_PhanKhuc[[#This Row],[Phân khúc]],CJ:CK,2,0)</calculatedColumnFormula>
    </tableColumn>
    <tableColumn id="3" xr3:uid="{F68BE591-9FB2-48C6-A949-2F2B91C6813C}" name="Tỷ lệ" dataDxfId="2033">
      <calculatedColumnFormula>VLOOKUP(Dashboard_ThiTruong_PhanKhuc[[#This Row],[Phân khúc]],CJ:CM,4,0)</calculatedColumnFormula>
    </tableColumn>
    <tableColumn id="4" xr3:uid="{20749695-AF08-4320-9479-96401DA1E585}" name="Tăng trưởng" dataDxfId="2032">
      <calculatedColumnFormula>VLOOKUP(Dashboard_ThiTruong_PhanKhuc[[#This Row],[Phân khúc]],CJ:CO,6,0)</calculatedColumnFormula>
    </tableColumn>
    <tableColumn id="5" xr3:uid="{BFCD7BF7-ADB6-469E-8C6E-4952394F6441}" name="Vượt TB" dataDxfId="2031">
      <calculatedColumnFormula>VLOOKUP(Dashboard_ThiTruong_PhanKhuc[[#This Row],[Phân khúc]],CJ:CP,7,0)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F24DE4CE-2BDB-402B-A4D9-D74394A56CA2}" name="Dashboard_ThiTruong_TinhThanh" displayName="Dashboard_ThiTruong_TinhThanh" ref="BF7:BG14" totalsRowShown="0" headerRowDxfId="2030" dataDxfId="2029">
  <autoFilter ref="BF7:BG14" xr:uid="{F24DE4CE-2BDB-402B-A4D9-D74394A56CA2}"/>
  <tableColumns count="2">
    <tableColumn id="1" xr3:uid="{2C49FBFF-3A20-4D1C-A5A7-F514B51CB0B9}" name="Tỉnh" dataDxfId="2028" dataCellStyle="Percent"/>
    <tableColumn id="2" xr3:uid="{8FDB34DF-8393-46E4-ABF4-B6305ACAAAD6}" name="Giá trị tổng" dataDxfId="2027">
      <calculatedColumnFormula>VLOOKUP(Dashboard_ThiTruong_TinhThanh[[#This Row],[Tỉnh]],CS:CT,2,0)</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EE233C6-2A42-4B91-8973-74E3A35A71D1}" name="Dashboard_ThiTruong_NhomSP" displayName="Dashboard_ThiTruong_NhomSP" ref="BJ7:BL10" totalsRowShown="0" headerRowDxfId="2026" dataDxfId="2025">
  <autoFilter ref="BJ7:BL10" xr:uid="{8EE233C6-2A42-4B91-8973-74E3A35A71D1}"/>
  <tableColumns count="3">
    <tableColumn id="1" xr3:uid="{6FFD339B-4956-48CB-B3A0-7B8D0886D91C}" name="Nhóm" dataDxfId="2024" dataCellStyle="Percent"/>
    <tableColumn id="2" xr3:uid="{39CF6C88-44BE-43C6-808F-D00BDFBDDBFA}" name="Giá trị" dataDxfId="2023">
      <calculatedColumnFormula>IF(ISBLANK($AA$4),
VLOOKUP(Dashboard_ThiTruong_NhomSP[[#This Row],[Nhóm]],_xlfn.ANCHORARRAY($CW$31):_xlfn.ANCHORARRAY($CY$31),2,0),
VLOOKUP(Dashboard_ThiTruong_NhomSP[[#This Row],[Nhóm]],_xlfn.ANCHORARRAY($CW$31):_xlfn.ANCHORARRAY($CY$31),3,0)
)</calculatedColumnFormula>
    </tableColumn>
    <tableColumn id="4" xr3:uid="{4210A0A6-F74F-4D9B-926A-D1F649C607AA}" name="Tỷ trọng" dataDxfId="2022">
      <calculatedColumnFormula>Dashboard_ThiTruong_NhomSP[[#This Row],[Giá trị]]/SUM(Dashboard_ThiTruong_NhomSP[Giá trị])</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C19C1497-EB73-4BA1-BB7D-524D7BA77FAC}" name="Dashboard_SanPham_SKU" displayName="Dashboard_SanPham_SKU" ref="AR7:AV10" totalsRowShown="0" headerRowDxfId="2021" dataDxfId="2020">
  <autoFilter ref="AR7:AV10" xr:uid="{36BBD135-DAA2-48A2-99CC-C482F4C12060}"/>
  <tableColumns count="5">
    <tableColumn id="1" xr3:uid="{2839A81E-3678-4D30-B050-74594E3386CF}" name="SKU" dataDxfId="2019"/>
    <tableColumn id="2" xr3:uid="{013F09F9-44F1-4B64-8268-3FEEFB073505}" name="Doanh thu" dataDxfId="2018">
      <calculatedColumnFormula>VLOOKUP(Dashboard_SanPham_SKU[[#This Row],[SKU]],_xlfn.ANCHORARRAY($BN$31):_xlfn.ANCHORARRAY($BS$31),6,0)</calculatedColumnFormula>
    </tableColumn>
    <tableColumn id="3" xr3:uid="{66EF6EB3-57D3-4620-9EFD-C456A801A67C}" name="Doanh thu / ngày" dataDxfId="2017">
      <calculatedColumnFormula>VLOOKUP(Dashboard_SanPham_SKU[[#This Row],[SKU]],_xlfn.ANCHORARRAY($BN$31):_xlfn.ANCHORARRAY($BV$31),9,0)</calculatedColumnFormula>
    </tableColumn>
    <tableColumn id="4" xr3:uid="{BCDAF0EC-9CDF-4108-9011-05111BF7A1A4}" name="Số ngày chưa mua" dataDxfId="2016">
      <calculatedColumnFormula>VLOOKUP(Dashboard_SanPham_SKU[[#This Row],[SKU]],_xlfn.ANCHORARRAY($BN$31):_xlfn.ANCHORARRAY($BX$31),11,0)</calculatedColumnFormula>
    </tableColumn>
    <tableColumn id="5" xr3:uid="{112F85F1-1601-4439-9E49-0A41EB27DCEF}" name="Nhóm khách" dataDxfId="2015">
      <calculatedColumnFormula array="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B5A28667-08A4-4215-A163-4C9F524B8DAA}" name="Dashboard_SanPham_Nhom" displayName="Dashboard_SanPham_Nhom" ref="AY7:BC10" totalsRowShown="0" headerRowDxfId="2014" dataDxfId="2013">
  <autoFilter ref="AY7:BC10" xr:uid="{FB440F6A-EEE4-49BF-9775-007470767C65}"/>
  <tableColumns count="5">
    <tableColumn id="1" xr3:uid="{54987609-E015-4F8A-8705-E7362082B0AC}" name="Phân khúc" dataDxfId="2012"/>
    <tableColumn id="2" xr3:uid="{A46D8873-0CC1-4523-969E-C6412BF1DC75}" name="Giá trị" dataDxfId="2011">
      <calculatedColumnFormula>VLOOKUP(Dashboard_SanPham_Nhom[[#This Row],[Phân khúc]],_xlfn.ANCHORARRAY($CC$31):_xlfn.ANCHORARRAY($CD$31),2,0)</calculatedColumnFormula>
    </tableColumn>
    <tableColumn id="3" xr3:uid="{EDF080E1-16F4-47D4-9261-82A34D69850B}" name="Tỷ lệ" dataDxfId="2010">
      <calculatedColumnFormula>VLOOKUP(Dashboard_SanPham_Nhom[[#This Row],[Phân khúc]],_xlfn.ANCHORARRAY($CC$31):_xlfn.ANCHORARRAY($CF$31),4,0)</calculatedColumnFormula>
    </tableColumn>
    <tableColumn id="4" xr3:uid="{078182C3-BE75-4B2C-B027-8A2671D370AC}" name="Tăng trưởng" dataDxfId="2009">
      <calculatedColumnFormula>VLOOKUP(Dashboard_SanPham_Nhom[[#This Row],[Phân khúc]],_xlfn.ANCHORARRAY($CC$31):_xlfn.ANCHORARRAY($CH$31),6,0)</calculatedColumnFormula>
    </tableColumn>
    <tableColumn id="5" xr3:uid="{45FEA94E-0A31-41AB-9067-DDEF672F91FD}" name="Vượt TB" dataDxfId="2008">
      <calculatedColumnFormula>VLOOKUP(Dashboard_SanPham_Nhom[[#This Row],[Phân khúc]],_xlfn.ANCHORARRAY($CC$31):_xlfn.ANCHORARRAY($CI$31),7,0)</calculatedColumn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29D8412-8524-400A-B2BE-D154EB138CAE}" name="Dashboard_SanPham_TinhThanh" displayName="Dashboard_SanPham_TinhThanh" ref="BF7:BG14" totalsRowShown="0" headerRowDxfId="2007" dataDxfId="2006">
  <autoFilter ref="BF7:BG14" xr:uid="{F24DE4CE-2BDB-402B-A4D9-D74394A56CA2}"/>
  <tableColumns count="2">
    <tableColumn id="1" xr3:uid="{28FCE4F9-C924-40C0-85DA-BDE44C3CD7AA}" name="Tỉnh" dataDxfId="2005"/>
    <tableColumn id="2" xr3:uid="{6B8C8115-7638-4338-88DB-6BF2A168FB86}" name="Giá trị tổng" dataDxfId="2004">
      <calculatedColumnFormula>VLOOKUP(Dashboard_SanPham_TinhThanh[[#This Row],[Tỉnh]],_xlfn.ANCHORARRAY($CL$31):_xlfn.ANCHORARRAY($CM$31),2,0)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65EC072-CE70-4CEB-AB95-42357F07755C}" name="Dashboard_SanPham_PhanKhuc" displayName="Dashboard_SanPham_PhanKhuc" ref="BJ7:BL9" totalsRowShown="0" headerRowDxfId="2003" dataDxfId="2002">
  <autoFilter ref="BJ7:BL9" xr:uid="{265EC072-CE70-4CEB-AB95-42357F07755C}"/>
  <tableColumns count="3">
    <tableColumn id="1" xr3:uid="{28C519B2-52DB-4C07-B549-8BBA4AF7F476}" name="Phân khúc" dataDxfId="2001"/>
    <tableColumn id="2" xr3:uid="{210EA312-5AC9-4860-BC61-F2EF7A60E09D}" name="Giá trị" dataDxfId="2000">
      <calculatedColumnFormula array="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calculatedColumnFormula>
    </tableColumn>
    <tableColumn id="3" xr3:uid="{6054ACE1-5C28-4500-A4BB-E00C0CEAF347}" name="Tỷ trọng" dataDxfId="1999">
      <calculatedColumnFormula>Dashboard_SanPham_PhanKhuc[[#This Row],[Giá trị]]/SUM(Dashboard_SanPham_PhanKhuc[Giá trị])</calculatedColumnFormula>
    </tableColumn>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7EF92B3D-4805-404A-AF6C-53B7308A26AA}" name="Dashboard_KPI_Kenh" displayName="Dashboard_KPI_Kenh" ref="AP4:AV10" totalsRowShown="0" headerRowDxfId="1998" dataDxfId="1997">
  <autoFilter ref="AP4:AV10" xr:uid="{7EF92B3D-4805-404A-AF6C-53B7308A26AA}"/>
  <tableColumns count="7">
    <tableColumn id="1" xr3:uid="{6436136F-98BF-4810-8D6E-F2D0B860C734}" name="Mã kênh" dataDxfId="1996"/>
    <tableColumn id="2" xr3:uid="{51ACC555-ED96-4FE3-A6B8-77BAB890DAED}" name="Doanh thu" dataDxfId="1995">
      <calculatedColumnFormula>IFERROR(
IF(VLOOKUP(Dashboard_KPI_Kenh[[#This Row],[Mã kênh]],_xlfn.ANCHORARRAY($CD$5):_xlfn.ANCHORARRAY($CG$5),4,0)="",
VLOOKUP(Dashboard_KPI_Kenh[[#This Row],[Mã kênh]],_xlfn.ANCHORARRAY($CD$5):_xlfn.ANCHORARRAY($CG$5),4,0),
VLOOKUP(Dashboard_KPI_Kenh[[#This Row],[Mã kênh]],_xlfn.ANCHORARRAY($CD$5):_xlfn.ANCHORARRAY($CE$5),2,0)
),0)</calculatedColumnFormula>
    </tableColumn>
    <tableColumn id="3" xr3:uid="{80E1F9A9-D151-4AB6-B755-003D2D9163C7}" name="Tỷ lệ chi phí" dataDxfId="1994">
      <calculatedColumnFormula>IFERROR(VLOOKUP(Dashboard_KPI_Kenh[[#This Row],[Mã kênh]],_xlfn.ANCHORARRAY($CD$5):_xlfn.ANCHORARRAY($CH$5),5,0),0)</calculatedColumnFormula>
    </tableColumn>
    <tableColumn id="4" xr3:uid="{C7C60840-3138-4B42-9BC8-BE5D8DADD1C5}" name="Doanh thu / tỷ lệ" dataDxfId="1993">
      <calculatedColumnFormula>IFERROR(VLOOKUP(Dashboard_KPI_Kenh[[#This Row],[Mã kênh]],_xlfn.ANCHORARRAY($CD$5):_xlfn.ANCHORARRAY($CI$5),6,0),0)</calculatedColumnFormula>
    </tableColumn>
    <tableColumn id="5" xr3:uid="{11A9A5B1-A512-4256-B4E2-A4C63A426936}" name="KPI" dataDxfId="1992">
      <calculatedColumnFormula array="1">IFERROR(
SUM(_xlfn._xlws.FILTER(Table_KPI[Doanh thu KPI],
(Table_KPI[Kênh] = Dashboard_KPI_Kenh[[#This Row],[Mã kênh]])*
(Table_KPI[Kỳ] &gt;=DATE(YEAR(Pivot!$AC$2),MONTH(Pivot!$AC$2),1))*
(Table_KPI[Kỳ] &lt;=DATE(YEAR(Pivot!$AC$3),MONTH(Pivot!$AC$3)+1,1)-1)
)),0)</calculatedColumnFormula>
    </tableColumn>
    <tableColumn id="6" xr3:uid="{09099616-D2B8-4B0C-92FF-1B3989F8E86C}" name="Tỷ lệ KPI" dataDxfId="1991">
      <calculatedColumnFormula>IFERROR(Dashboard_KPI_Kenh[[#This Row],[Doanh thu]]/Dashboard_KPI_Kenh[[#This Row],[KPI]],"")</calculatedColumnFormula>
    </tableColumn>
    <tableColumn id="7" xr3:uid="{63C5CC16-6B27-4B81-A093-37B969B017C6}" name="Đạt KPI" dataDxfId="1990">
      <calculatedColumnFormula>IF(Dashboard_KPI_Kenh[[#This Row],[Tỷ lệ KPI]]&gt;1,Dashboard_KPI_Kenh[[#This Row],[Tỷ lệ KPI]],"")</calculatedColumnFormula>
    </tableColumn>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509EC850-09C3-4E1A-96B6-6A3E61B6DFF6}" name="Dashboard_KPI_NhanVien" displayName="Dashboard_KPI_NhanVien" ref="AY4:BE9" totalsRowShown="0" headerRowDxfId="1989" dataDxfId="1988">
  <autoFilter ref="AY4:BE9" xr:uid="{509EC850-09C3-4E1A-96B6-6A3E61B6DFF6}"/>
  <tableColumns count="7">
    <tableColumn id="1" xr3:uid="{E76CF702-F090-45B6-8F64-39627BF64F34}" name="Mã NV" dataDxfId="1987"/>
    <tableColumn id="2" xr3:uid="{7C83196F-9E99-4A71-9BD0-E6BCF83CB713}" name="Doanh thu" dataDxfId="1986">
      <calculatedColumnFormula>IFERROR(
IF(VLOOKUP(Dashboard_KPI_NhanVien[[#This Row],[Mã NV]],_xlfn.ANCHORARRAY($CL$5):_xlfn.ANCHORARRAY($CO$5),4,0)="",
VLOOKUP(Dashboard_KPI_NhanVien[[#This Row],[Mã NV]],_xlfn.ANCHORARRAY($CL$5):_xlfn.ANCHORARRAY($CO$5),4,0),
VLOOKUP(Dashboard_KPI_NhanVien[[#This Row],[Mã NV]],_xlfn.ANCHORARRAY($CL$5):_xlfn.ANCHORARRAY($CM$5),2,0)
),0)</calculatedColumnFormula>
    </tableColumn>
    <tableColumn id="3" xr3:uid="{F1A233E7-D833-4C13-B81E-70CD9BC48511}" name="Tỷ lệ chi phí" dataDxfId="1985">
      <calculatedColumnFormula>IFERROR(VLOOKUP(Dashboard_KPI_NhanVien[[#This Row],[Mã NV]],_xlfn.ANCHORARRAY($CL$5):_xlfn.ANCHORARRAY($CP$5),5,0),0)</calculatedColumnFormula>
    </tableColumn>
    <tableColumn id="4" xr3:uid="{39A52C50-B42D-4C5C-BE5B-FA5FA9A16A3D}" name="Doanh thu / tỷ lệ" dataDxfId="1984">
      <calculatedColumnFormula>IFERROR(VLOOKUP(Dashboard_KPI_NhanVien[[#This Row],[Mã NV]],_xlfn.ANCHORARRAY($CL$5):_xlfn.ANCHORARRAY($CQ$5),6,0),0)</calculatedColumnFormula>
    </tableColumn>
    <tableColumn id="5" xr3:uid="{DA8E4220-8158-4BD1-82CE-A7F238A31A95}" name="KPI" dataDxfId="1983">
      <calculatedColumnFormula array="1">IFERROR(
SUM(_xlfn._xlws.FILTER(Table_KPI[Doanh thu KPI],
(Table_KPI[Nhân viên] = Dashboard_KPI_NhanVien[[#This Row],[Mã NV]])*
(Table_KPI[Kỳ] &gt;=DATE(YEAR(Pivot!$AC$2),MONTH(Pivot!$AC$2),1))*
(Table_KPI[Kỳ] &lt;=DATE(YEAR(Pivot!$AC$3),MONTH(Pivot!$AC$3)+1,1)-1)
)),0)</calculatedColumnFormula>
    </tableColumn>
    <tableColumn id="6" xr3:uid="{E3575B4D-F3CF-4596-9313-CF1794AB2B1E}" name="Tỷ lệ KPI" dataDxfId="1982">
      <calculatedColumnFormula>IFERROR(Dashboard_KPI_NhanVien[[#This Row],[Doanh thu]]/Dashboard_KPI_NhanVien[[#This Row],[KPI]],"")</calculatedColumnFormula>
    </tableColumn>
    <tableColumn id="7" xr3:uid="{4DD66838-23F4-43AE-A1A6-CBED87B84FF6}" name="Đạt KPI" dataDxfId="1981">
      <calculatedColumnFormula>IF(Dashboard_KPI_NhanVien[[#This Row],[Tỷ lệ KPI]]&gt;1,Dashboard_KPI_NhanVien[[#This Row],[Tỷ lệ KPI]],"")</calculatedColumnFormula>
    </tableColumn>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D9E506A-DC0D-4DE9-BF99-A6727265051F}" name="Dashboard_KPI_PhanKhuc" displayName="Dashboard_KPI_PhanKhuc" ref="BH4:BJ6" totalsRowShown="0" headerRowDxfId="1980" dataDxfId="1979">
  <autoFilter ref="BH4:BJ6" xr:uid="{9D9E506A-DC0D-4DE9-BF99-A6727265051F}"/>
  <tableColumns count="3">
    <tableColumn id="1" xr3:uid="{E74E1FE3-FDEF-4B0C-86E2-E12D87C9487E}" name="Phân khúc" dataDxfId="1978"/>
    <tableColumn id="2" xr3:uid="{CFD1BF36-F37F-44C6-A79C-E7CEA67B5223}" name="Tỷ lệ Kênh" dataDxfId="1977">
      <calculatedColumnFormula array="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calculatedColumnFormula>
    </tableColumn>
    <tableColumn id="3" xr3:uid="{F1FE9618-739E-41AE-AFF5-81783C119FC9}" name="Tỷ lệ NV" dataDxfId="1976">
      <calculatedColumnFormula array="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2603CB4-9CE6-453C-924D-95ABE1214791}" name="Dashboard_KPI_PhanNhom" displayName="Dashboard_KPI_PhanNhom" ref="BM4:BO7" totalsRowShown="0" headerRowDxfId="1975" dataDxfId="1974">
  <autoFilter ref="BM4:BO7" xr:uid="{F2603CB4-9CE6-453C-924D-95ABE1214791}"/>
  <tableColumns count="3">
    <tableColumn id="1" xr3:uid="{B258295B-3240-4E04-B819-B4AE54BD2541}" name="Phân nhóm" dataDxfId="1973"/>
    <tableColumn id="2" xr3:uid="{7721E708-F3E7-4B36-8E93-E8F6D2E758AB}" name="Tỷ lệ NV" dataDxfId="1972">
      <calculatedColumnFormula array="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calculatedColumnFormula>
    </tableColumn>
    <tableColumn id="3" xr3:uid="{9099A838-DEB8-42FB-ABDB-9D572FFE6270}" name="Tỷ lệ Kênh" dataDxfId="1971">
      <calculatedColumnFormula array="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calculatedColumnFormula>
    </tableColumn>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5565D60-6118-4C37-A7DF-0AF81AE48398}" name="Dashboard_Ctr_Ctr" displayName="Dashboard_Ctr_Ctr" ref="AM5:AV9" totalsRowShown="0" headerRowDxfId="1970" dataDxfId="1969">
  <autoFilter ref="AM5:AV9" xr:uid="{15565D60-6118-4C37-A7DF-0AF81AE48398}"/>
  <tableColumns count="10">
    <tableColumn id="1" xr3:uid="{A820E8DB-EDB7-424E-AA8D-7EEE7633F0E4}" name="Chương trình" dataDxfId="1968"/>
    <tableColumn id="2" xr3:uid="{FE7A7A82-196E-441A-8056-E6A1B3044E04}" name="Dthu" dataDxfId="1967">
      <calculatedColumnFormula>VLOOKUP(Dashboard_Ctr_Ctr[[#This Row],[Chương trình]],_xlfn.ANCHORARRAY($BH$25):_xlfn.ANCHORARRAY($BL$25),5,0)</calculatedColumnFormula>
    </tableColumn>
    <tableColumn id="3" xr3:uid="{052BD364-3308-438B-B0F3-7D2E28AFA2AB}" name="Tăng DT" dataDxfId="1966">
      <calculatedColumnFormula>VLOOKUP(Dashboard_Ctr_Ctr[[#This Row],[Chương trình]],_xlfn.ANCHORARRAY($BH$25):_xlfn.ANCHORARRAY($BX$25),17,0)</calculatedColumnFormula>
    </tableColumn>
    <tableColumn id="4" xr3:uid="{2E247858-F896-432F-A010-6875C5A3A5F9}" name="HQ Dthu" dataDxfId="1965">
      <calculatedColumnFormula>VLOOKUP(Dashboard_Ctr_Ctr[[#This Row],[Chương trình]],_xlfn.ANCHORARRAY($BH$25):_xlfn.ANCHORARRAY($BZ$25),19,0)</calculatedColumnFormula>
    </tableColumn>
    <tableColumn id="5" xr3:uid="{81B762CF-66DE-4703-B65C-A67769863726}" name="Khách mới" dataDxfId="1964">
      <calculatedColumnFormula>VLOOKUP(Dashboard_Ctr_Ctr[[#This Row],[Chương trình]],_xlfn.ANCHORARRAY($BH$25):_xlfn.ANCHORARRAY($BI$25),2,0)</calculatedColumnFormula>
    </tableColumn>
    <tableColumn id="6" xr3:uid="{131D7EFD-240C-4EFE-AC0D-61AB2E916EA0}" name="HQ khách mới" dataDxfId="1963">
      <calculatedColumnFormula>VLOOKUP(Dashboard_Ctr_Ctr[[#This Row],[Chương trình]],_xlfn.ANCHORARRAY($BH$25):_xlfn.ANCHORARRAY($BW$25),16,0)</calculatedColumnFormula>
    </tableColumn>
    <tableColumn id="7" xr3:uid="{29EE600E-6C76-49F2-95D1-C3967391D426}" name="Tăng TS Đơn" dataDxfId="1962">
      <calculatedColumnFormula>VLOOKUP(Dashboard_Ctr_Ctr[[#This Row],[Chương trình]],_xlfn.ANCHORARRAY($BH$25):_xlfn.ANCHORARRAY($CA$25),20,0)</calculatedColumnFormula>
    </tableColumn>
    <tableColumn id="8" xr3:uid="{73D8814E-2098-4228-ABE6-2EA69BF59588}" name="HQ Đơn" dataDxfId="1961">
      <calculatedColumnFormula>VLOOKUP(Dashboard_Ctr_Ctr[[#This Row],[Chương trình]],_xlfn.ANCHORARRAY($BH$25):_xlfn.ANCHORARRAY($CB$25),21,0)</calculatedColumnFormula>
    </tableColumn>
    <tableColumn id="9" xr3:uid="{93933BA8-267D-4E3D-B6BB-0801477E4F20}" name="Tăng TS SKU" dataDxfId="1960">
      <calculatedColumnFormula>VLOOKUP(Dashboard_Ctr_Ctr[[#This Row],[Chương trình]],_xlfn.ANCHORARRAY($BH$25):_xlfn.ANCHORARRAY($CC$25),22,0)</calculatedColumnFormula>
    </tableColumn>
    <tableColumn id="10" xr3:uid="{C926ABF7-22EE-4F16-AC71-EF37EAC60314}" name="HQ SKU" dataDxfId="1959">
      <calculatedColumnFormula>VLOOKUP(Dashboard_Ctr_Ctr[[#This Row],[Chương trình]],_xlfn.ANCHORARRAY($BH$25):_xlfn.ANCHORARRAY($CD$25),23,0)</calculatedColumnFormula>
    </tableColumn>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CB9D148-4698-4385-8DD3-482072853730}" name="Dashboard_Ctr_Khach" displayName="Dashboard_Ctr_Khach" ref="AY5:BA12" totalsRowShown="0" headerRowDxfId="1958" dataDxfId="1957">
  <autoFilter ref="AY5:BA12" xr:uid="{1CB9D148-4698-4385-8DD3-482072853730}"/>
  <tableColumns count="3">
    <tableColumn id="1" xr3:uid="{8E48EF81-9B6D-46D3-8B0F-1DE07507681F}" name="Khách" dataDxfId="1956"/>
    <tableColumn id="2" xr3:uid="{9C6E774F-1A80-48EE-A0C0-232764C66C1C}" name="Giá trị" dataDxfId="1955">
      <calculatedColumnFormula array="1">IFERROR(
SUM(_xlfn._xlws.FILTER(Pivot_Ctr_DthuDon,
(Pivot_Ctr_CtrDon=$Z$3)*
(Pivot_Ctr_Khach=Dashboard_Ctr_Khach[[#This Row],[Khách]])
)),0)
+IFERROR(
SUM(_xlfn._xlws.FILTER(Pivot_Ctr_DthuSKU,
(Pivot_Ctr_CtrSKU=$Z$3)*
(Pivot_Ctr_Khach=Dashboard_Ctr_Khach[[#This Row],[Khách]])
)),0)</calculatedColumnFormula>
    </tableColumn>
    <tableColumn id="3" xr3:uid="{8E805324-260A-4A7B-957F-92BC48F413B9}" name="Tỷ trọng" dataDxfId="1954">
      <calculatedColumnFormula>Dashboard_Ctr_Khach[[#This Row],[Giá trị]]/SUM(Dashboard_Ctr_Khach[Giá trị])</calculatedColumnFormula>
    </tableColumn>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16F12A0E-ED7C-459C-BC66-ED2465A5F374}" name="Dashboard_Ctr_SKU" displayName="Dashboard_Ctr_SKU" ref="BD5:BF8" totalsRowShown="0" headerRowDxfId="1953" dataDxfId="1952">
  <autoFilter ref="BD5:BF8" xr:uid="{16F12A0E-ED7C-459C-BC66-ED2465A5F374}"/>
  <tableColumns count="3">
    <tableColumn id="1" xr3:uid="{DCD71675-FF16-40CF-B500-B8E70688B072}" name="SKU" dataDxfId="1951"/>
    <tableColumn id="2" xr3:uid="{A12AE408-6E8B-4FC4-84DC-1DA1A9C8DD90}" name="Giá trị" dataDxfId="1950">
      <calculatedColumnFormula array="1">IFERROR(
SUM(_xlfn._xlws.FILTER(Pivot_Ctr_DthuSKU,
(Pivot_Ctr_CtrDon=$Z$3)*
(Pivot_Ctr_SKU=Dashboard_Ctr_SKU[[#This Row],[SKU]])
)),0)
+IFERROR(
SUM(_xlfn._xlws.FILTER(Pivot_Ctr_DthuSKU,
(Pivot_Ctr_CtrSKU=$Z$3)*
(Pivot_Ctr_SKU=Dashboard_Ctr_SKU[[#This Row],[SKU]])
)),0)</calculatedColumnFormula>
    </tableColumn>
    <tableColumn id="3" xr3:uid="{53C96683-E090-4373-B803-10A826384ED2}" name="Tỷ trọng" dataDxfId="1949">
      <calculatedColumnFormula>Dashboard_Ctr_SKU[[#This Row],[Giá trị]]/SUM(Dashboard_Ctr_SKU[Giá trị])</calculatedColumnFormula>
    </tableColumn>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P47" totalsRowShown="0" headerRowDxfId="1891" dataDxfId="1890">
  <autoFilter ref="B6:P47" xr:uid="{822B9D44-8197-4B45-BA58-5B50DB6A72B5}"/>
  <tableColumns count="15">
    <tableColumn id="1" xr3:uid="{656412B0-12BB-4819-9C73-49C79DEB4E6A}" name="Gtri" dataDxfId="1889"/>
    <tableColumn id="4" xr3:uid="{09162BA7-3630-4B4C-95DE-4A93C54903A8}" name="Năm" dataDxfId="1888"/>
    <tableColumn id="2" xr3:uid="{FB83258E-0BE8-455A-9DCB-4F9C3FA390D0}" name="Tháng 1" dataDxfId="1887"/>
    <tableColumn id="3" xr3:uid="{641B1B86-10DE-4F0C-A502-11DEA59DF958}" name="Tháng 2" dataDxfId="1886"/>
    <tableColumn id="5" xr3:uid="{754DA001-F6FD-443E-A174-CD7E0B1F5D17}" name="Tháng 3" dataDxfId="1885"/>
    <tableColumn id="6" xr3:uid="{6FA9767F-3C52-4564-9992-686AC7EBEB3E}" name="Tháng 4" dataDxfId="1884"/>
    <tableColumn id="7" xr3:uid="{F6BD0B78-CBC0-4377-A58A-555958C799E1}" name="Tháng 5" dataDxfId="1883"/>
    <tableColumn id="8" xr3:uid="{75E88C8C-617B-475C-B72F-31798F0DD844}" name="Tháng 6" dataDxfId="1882"/>
    <tableColumn id="9" xr3:uid="{20F2A264-1A70-4F0C-8BB9-D0162B0123E8}" name="Tháng 7" dataDxfId="1881"/>
    <tableColumn id="10" xr3:uid="{9E5110B6-B694-4D70-8064-B95CECFFF716}" name="Tháng 8" dataDxfId="1880"/>
    <tableColumn id="11" xr3:uid="{B3CA4AC5-536E-4D62-A03D-6901B8958F54}" name="Tháng 9" dataDxfId="1879"/>
    <tableColumn id="12" xr3:uid="{51C600F4-235F-4505-A24C-F4DF37840B37}" name="Tháng 10" dataDxfId="1878"/>
    <tableColumn id="13" xr3:uid="{2DFC94EE-8346-42BC-ADC0-510190C07656}" name="Tháng 11" dataDxfId="1877"/>
    <tableColumn id="14" xr3:uid="{28C613C3-C209-4F7A-82BF-B2F301134772}" name="Tháng 12" dataDxfId="1876"/>
    <tableColumn id="15" xr3:uid="{C1064C40-D3C2-4250-A7A0-F40BA9B57993}" name="Add" dataDxfId="1875"/>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4:P56" totalsRowCount="1" headerRowDxfId="1874" dataDxfId="1873" totalsRowDxfId="1872">
  <autoFilter ref="B54:P55" xr:uid="{D31941DA-BE1B-4021-9B31-FDF3E083BB86}"/>
  <tableColumns count="15">
    <tableColumn id="1" xr3:uid="{82FAE5A8-DBFB-4E79-822D-469B63D66705}" name="Kế hoạch sản lượng" totalsRowLabel="Tổng" dataDxfId="1871" totalsRowDxfId="1870"/>
    <tableColumn id="4" xr3:uid="{6B311055-99D3-4F69-B4DB-48A1AB894484}" name="Tham chiếu" totalsRowFunction="custom" dataDxfId="1869" totalsRowDxfId="1868" dataCellStyle="Comma" totalsRowCellStyle="Comma">
      <calculatedColumnFormula array="1"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calculatedColumnFormula>
      <totalsRowFormula>SUM(Table_KeHoach_SanLuong[Tham chiếu])</totalsRowFormula>
    </tableColumn>
    <tableColumn id="29" xr3:uid="{C9D35E4E-90E4-4E68-AA1B-3453F8A03048}" name="Tháng 1" totalsRowFunction="custom" dataDxfId="1867" totalsRowDxfId="1866" dataCellStyle="Comma" totalsRowCellStyle="Comma">
      <totalsRowFormula>SUM(Table_KeHoach_SanLuong[Tháng 1])</totalsRowFormula>
    </tableColumn>
    <tableColumn id="30" xr3:uid="{70694902-0D86-4550-8978-6631221B1110}" name="Tháng 2" totalsRowFunction="custom" dataDxfId="1865" totalsRowDxfId="1864" dataCellStyle="Comma" totalsRowCellStyle="Comma">
      <totalsRowFormula>SUM(Table_KeHoach_SanLuong[Tháng 2])</totalsRowFormula>
    </tableColumn>
    <tableColumn id="31" xr3:uid="{C1E724A7-9693-46FC-8A7A-304F00161DBE}" name="Tháng 3" totalsRowFunction="custom" dataDxfId="1863" totalsRowDxfId="1862" dataCellStyle="Comma" totalsRowCellStyle="Comma">
      <totalsRowFormula>SUM(Table_KeHoach_SanLuong[Tháng 3])</totalsRowFormula>
    </tableColumn>
    <tableColumn id="32" xr3:uid="{7221CCF4-72B1-44F8-BEEB-AAD846AA595F}" name="Tháng 4" totalsRowFunction="custom" dataDxfId="1861" totalsRowDxfId="1860" dataCellStyle="Comma" totalsRowCellStyle="Comma">
      <totalsRowFormula>SUM(Table_KeHoach_SanLuong[Tháng 4])</totalsRowFormula>
    </tableColumn>
    <tableColumn id="33" xr3:uid="{0E67CAE7-0D32-49F3-BD50-A158C644B1BD}" name="Tháng 5" totalsRowFunction="custom" dataDxfId="1859" totalsRowDxfId="1858" dataCellStyle="Comma" totalsRowCellStyle="Comma">
      <totalsRowFormula>SUM(Table_KeHoach_SanLuong[Tháng 5])</totalsRowFormula>
    </tableColumn>
    <tableColumn id="34" xr3:uid="{1918CD14-C8BB-4831-A685-D18D5461986C}" name="Tháng 6" totalsRowFunction="custom" dataDxfId="1857" totalsRowDxfId="1856" dataCellStyle="Comma" totalsRowCellStyle="Comma">
      <totalsRowFormula>SUM(Table_KeHoach_SanLuong[Tháng 6])</totalsRowFormula>
    </tableColumn>
    <tableColumn id="35" xr3:uid="{15CFC91E-B8B9-42A1-8A2B-87E661BF4084}" name="Tháng 7" totalsRowFunction="custom" dataDxfId="1855" totalsRowDxfId="1854" dataCellStyle="Comma" totalsRowCellStyle="Comma">
      <totalsRowFormula>SUM(Table_KeHoach_SanLuong[Tháng 7])</totalsRowFormula>
    </tableColumn>
    <tableColumn id="36" xr3:uid="{DEAE018A-5B97-4FF8-B5C6-524BBD8A8553}" name="Tháng 8" totalsRowFunction="custom" dataDxfId="1853" totalsRowDxfId="1852" dataCellStyle="Comma" totalsRowCellStyle="Comma">
      <totalsRowFormula>SUM(Table_KeHoach_SanLuong[Tháng 8])</totalsRowFormula>
    </tableColumn>
    <tableColumn id="37" xr3:uid="{69090A1D-A073-4FD8-889C-ADBE6A9D7DB8}" name="Tháng 9" totalsRowFunction="custom" dataDxfId="1851" totalsRowDxfId="1850" dataCellStyle="Comma" totalsRowCellStyle="Comma">
      <totalsRowFormula>SUM(Table_KeHoach_SanLuong[Tháng 9])</totalsRowFormula>
    </tableColumn>
    <tableColumn id="38" xr3:uid="{11A81D84-C3DD-47F7-AF28-E389CC9FF3CB}" name="Tháng 10" totalsRowFunction="custom" dataDxfId="1849" totalsRowDxfId="1848" dataCellStyle="Comma" totalsRowCellStyle="Comma">
      <totalsRowFormula>SUM(Table_KeHoach_SanLuong[Tháng 10])</totalsRowFormula>
    </tableColumn>
    <tableColumn id="39" xr3:uid="{14A6A2F5-5E15-4169-86A9-3229B946B250}" name="Tháng 11" totalsRowFunction="custom" dataDxfId="1847" totalsRowDxfId="1846" dataCellStyle="Comma" totalsRowCellStyle="Comma">
      <totalsRowFormula>SUM(Table_KeHoach_SanLuong[Tháng 11])</totalsRowFormula>
    </tableColumn>
    <tableColumn id="40" xr3:uid="{7C1CB8B1-00D4-4FA9-A290-F043A0FA9307}" name="Tháng 12" totalsRowFunction="custom" dataDxfId="1845" totalsRowDxfId="1844" dataCellStyle="Comma" totalsRowCellStyle="Comma">
      <totalsRowFormula>SUM(Table_KeHoach_SanLuong[Tháng 12])</totalsRowFormula>
    </tableColumn>
    <tableColumn id="3" xr3:uid="{A6D0263F-3084-4FE7-A127-4BA9D805D4D7}" name="Add" dataDxfId="1843" totalsRowDxfId="1842" dataCellStyle="Comma" totalsRowCellStyle="Comma"/>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9:P60" totalsRowShown="0" headerRowDxfId="1841" dataDxfId="1840">
  <autoFilter ref="B59:P60" xr:uid="{8A426214-1C38-4C4E-9C2C-D253B8886748}"/>
  <tableColumns count="15">
    <tableColumn id="1" xr3:uid="{EBDC21DB-0978-43FF-8F49-EB0A63ACFFC6}" name="Kế hoạch giá niêm yết thành phẩm" dataDxfId="1839" totalsRowDxfId="1838"/>
    <tableColumn id="3" xr3:uid="{425153B2-5062-4C16-A6F6-F47683DA3B49}" name="Tham chiếu" dataDxfId="1837" totalsRowDxfId="1836" dataCellStyle="Comma">
      <calculatedColumnFormula array="1">+IFERROR(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calculatedColumnFormula>
    </tableColumn>
    <tableColumn id="29" xr3:uid="{669CACBE-1D77-46AC-A978-B8FF66B671BB}" name="Tháng 1" dataDxfId="1835" totalsRowDxfId="1834" dataCellStyle="Comma"/>
    <tableColumn id="30" xr3:uid="{CF8A322E-866F-494C-966A-830B3ADA2CD2}" name="Tháng 2" dataDxfId="1833" totalsRowDxfId="1832" dataCellStyle="Comma"/>
    <tableColumn id="31" xr3:uid="{6B66BA70-F0F0-4B4E-87CF-79B7E1D3B29C}" name="Tháng 3" dataDxfId="1831" totalsRowDxfId="1830" dataCellStyle="Comma"/>
    <tableColumn id="32" xr3:uid="{5B3CE899-C52C-4E1C-A688-5D6030E82F01}" name="Tháng 4" dataDxfId="1829" totalsRowDxfId="1828" dataCellStyle="Comma"/>
    <tableColumn id="33" xr3:uid="{C034F888-AFFA-4740-B3BA-F4654FB405CF}" name="Tháng 5" dataDxfId="1827" totalsRowDxfId="1826" dataCellStyle="Comma"/>
    <tableColumn id="34" xr3:uid="{07693A9D-90BE-477A-BB72-83DE0C3434DF}" name="Tháng 6" dataDxfId="1825" totalsRowDxfId="1824" dataCellStyle="Comma"/>
    <tableColumn id="35" xr3:uid="{B0AE6993-599A-4E49-BDB1-73ABDD7A437B}" name="Tháng 7" dataDxfId="1823" totalsRowDxfId="1822" dataCellStyle="Comma"/>
    <tableColumn id="36" xr3:uid="{D49868AC-F67A-41A1-A3C9-45781D2C20F8}" name="Tháng 8" dataDxfId="1821" totalsRowDxfId="1820" dataCellStyle="Comma"/>
    <tableColumn id="37" xr3:uid="{468EF536-F826-42F5-9301-BAFFFD24E104}" name="Tháng 9" dataDxfId="1819" totalsRowDxfId="1818" dataCellStyle="Comma"/>
    <tableColumn id="38" xr3:uid="{70CE9CF4-C007-4692-8311-0BC64B9F3395}" name="Tháng 10" dataDxfId="1817" totalsRowDxfId="1816" dataCellStyle="Comma"/>
    <tableColumn id="39" xr3:uid="{04E84556-5D4C-4DA4-B749-C98FB45C0BAF}" name="Tháng 11" dataDxfId="1815" totalsRowDxfId="1814" dataCellStyle="Comma"/>
    <tableColumn id="40" xr3:uid="{68F1F4EB-3B1D-42A1-AC0E-1DCF48610F1E}" name="Tháng 12" dataDxfId="1813" totalsRowDxfId="1812" dataCellStyle="Comma"/>
    <tableColumn id="4" xr3:uid="{0E570896-0519-4F88-8B9B-744525FF3C16}" name="Add" dataDxfId="1811" totalsRowDxfId="1810" dataCellStyle="Comma"/>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63:P65" totalsRowCount="1" headerRowDxfId="1809" dataDxfId="1808" totalsRowDxfId="1807">
  <autoFilter ref="B63:P64" xr:uid="{711209EA-EEC6-4FC4-BAC5-C6E63F6E3A21}"/>
  <tableColumns count="15">
    <tableColumn id="1" xr3:uid="{F22794FE-2FF3-4CE4-82EB-81614189B352}" name="Kế hoạch doanh thu" totalsRowLabel="Tổng" dataDxfId="1806" totalsRowDxfId="1805"/>
    <tableColumn id="3" xr3:uid="{76F75EB8-7687-48A4-A860-C3AABF1EACB2}" name="Tham chiếu" totalsRowFunction="custom" dataDxfId="1804" totalsRowDxfId="1803" dataCellStyle="Comma" totalsRowCellStyle="Comma">
      <calculatedColumnFormula array="1"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calculatedColumnFormula>
      <totalsRowFormula>SUM(Table_KeHoach_DoanhThu[Tham chiếu])</totalsRowFormula>
    </tableColumn>
    <tableColumn id="29" xr3:uid="{50184772-8DC7-4AF1-AAC3-18E289C04F3E}" name="Tháng 1" totalsRowFunction="custom" dataDxfId="1802" totalsRowDxfId="1801" dataCellStyle="Comma" totalsRowCellStyle="Comma">
      <calculatedColumnFormula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calculatedColumnFormula>
      <totalsRowFormula>SUM(Table_KeHoach_DoanhThu[Tháng 1])</totalsRowFormula>
    </tableColumn>
    <tableColumn id="30" xr3:uid="{7A212235-4EA0-4179-B870-D606FE76B216}" name="Tháng 2" totalsRowFunction="custom" dataDxfId="1800" totalsRowDxfId="1799" dataCellStyle="Comma" totalsRowCellStyle="Comma">
      <calculatedColumnFormula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calculatedColumnFormula>
      <totalsRowFormula>SUM(Table_KeHoach_DoanhThu[Tháng 2])</totalsRowFormula>
    </tableColumn>
    <tableColumn id="31" xr3:uid="{D9825A39-9B19-4658-8560-DDDD891E0205}" name="Tháng 3" totalsRowFunction="custom" dataDxfId="1798" totalsRowDxfId="1797" dataCellStyle="Comma" totalsRowCellStyle="Comma">
      <calculatedColumnFormula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calculatedColumnFormula>
      <totalsRowFormula>SUM(Table_KeHoach_DoanhThu[Tháng 3])</totalsRowFormula>
    </tableColumn>
    <tableColumn id="32" xr3:uid="{CF1D56F3-AD70-4276-BB0C-AD1DB6B57C66}" name="Tháng 4" totalsRowFunction="custom" dataDxfId="1796" totalsRowDxfId="1795" dataCellStyle="Comma" totalsRowCellStyle="Comma">
      <calculatedColumnFormula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calculatedColumnFormula>
      <totalsRowFormula>SUM(Table_KeHoach_DoanhThu[Tháng 4])</totalsRowFormula>
    </tableColumn>
    <tableColumn id="33" xr3:uid="{00880281-B1E6-4212-96C1-4D19F388A28B}" name="Tháng 5" totalsRowFunction="custom" dataDxfId="1794" totalsRowDxfId="1793" dataCellStyle="Comma" totalsRowCellStyle="Comma">
      <calculatedColumnFormula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calculatedColumnFormula>
      <totalsRowFormula>SUM(Table_KeHoach_DoanhThu[Tháng 5])</totalsRowFormula>
    </tableColumn>
    <tableColumn id="34" xr3:uid="{0C65B697-F7AA-4DE3-ADAE-0ADCA8351B2F}" name="Tháng 6" totalsRowFunction="custom" dataDxfId="1792" totalsRowDxfId="1791" dataCellStyle="Comma" totalsRowCellStyle="Comma">
      <calculatedColumnFormula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calculatedColumnFormula>
      <totalsRowFormula>SUM(Table_KeHoach_DoanhThu[Tháng 6])</totalsRowFormula>
    </tableColumn>
    <tableColumn id="35" xr3:uid="{FD5FC443-FABD-40AE-A1B2-AF43E5583B4A}" name="Tháng 7" totalsRowFunction="custom" dataDxfId="1790" totalsRowDxfId="1789" dataCellStyle="Comma" totalsRowCellStyle="Comma">
      <calculatedColumnFormula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calculatedColumnFormula>
      <totalsRowFormula>SUM(Table_KeHoach_DoanhThu[Tháng 7])</totalsRowFormula>
    </tableColumn>
    <tableColumn id="36" xr3:uid="{F5D51FF9-EFB8-4B10-BD35-9DFB587A52C7}" name="Tháng 8" totalsRowFunction="custom" dataDxfId="1788" totalsRowDxfId="1787" dataCellStyle="Comma" totalsRowCellStyle="Comma">
      <calculatedColumnFormula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calculatedColumnFormula>
      <totalsRowFormula>SUM(Table_KeHoach_DoanhThu[Tháng 8])</totalsRowFormula>
    </tableColumn>
    <tableColumn id="37" xr3:uid="{C6C15622-E8E9-487A-959D-8C220B56DE76}" name="Tháng 9" totalsRowFunction="custom" dataDxfId="1786" totalsRowDxfId="1785" dataCellStyle="Comma" totalsRowCellStyle="Comma">
      <calculatedColumnFormula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calculatedColumnFormula>
      <totalsRowFormula>SUM(Table_KeHoach_DoanhThu[Tháng 9])</totalsRowFormula>
    </tableColumn>
    <tableColumn id="38" xr3:uid="{7BFC1C3B-6EF3-4CF7-A300-C11AEEBB0E1A}" name="Tháng 10" totalsRowFunction="custom" dataDxfId="1784" totalsRowDxfId="1783" dataCellStyle="Comma" totalsRowCellStyle="Comma">
      <calculatedColumnFormula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calculatedColumnFormula>
      <totalsRowFormula>SUM(Table_KeHoach_DoanhThu[Tháng 10])</totalsRowFormula>
    </tableColumn>
    <tableColumn id="39" xr3:uid="{4D0CAB13-02F5-4D43-93DB-79792960CDFB}" name="Tháng 11" totalsRowFunction="custom" dataDxfId="1782" totalsRowDxfId="1781" dataCellStyle="Comma" totalsRowCellStyle="Comma">
      <calculatedColumnFormula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calculatedColumnFormula>
      <totalsRowFormula>SUM(Table_KeHoach_DoanhThu[Tháng 11])</totalsRowFormula>
    </tableColumn>
    <tableColumn id="40" xr3:uid="{784CDCAA-C9FB-447F-AAED-DD0A17FEAB77}" name="Tháng 12" totalsRowFunction="custom" dataDxfId="1780" totalsRowDxfId="1779" dataCellStyle="Comma" totalsRowCellStyle="Comma">
      <calculatedColumnFormula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calculatedColumnFormula>
      <totalsRowFormula>SUM(Table_KeHoach_DoanhThu[Tháng 12])</totalsRowFormula>
    </tableColumn>
    <tableColumn id="4" xr3:uid="{AB7BA7A5-13D5-45DF-9B90-D3674E94410E}" name="Add" dataDxfId="1778" totalsRowDxfId="1777" dataCellStyle="Comma" totalsRow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73:P74" totalsRowShown="0" headerRowDxfId="1776" dataDxfId="1775">
  <autoFilter ref="B73:P74" xr:uid="{50D75140-F33D-450B-ACC0-7F92B177C57D}"/>
  <tableColumns count="15">
    <tableColumn id="1" xr3:uid="{C9B9741A-9357-40AD-8883-2D1E650453F5}" name="Kế hoạch giá nhập hàng hóa" dataDxfId="1774" totalsRowDxfId="1773"/>
    <tableColumn id="3" xr3:uid="{28B2834A-7CE4-43D5-ACA9-8317F7A289D2}" name="Tham chiếu" dataDxfId="1772" totalsRowDxfId="1771" dataCellStyle="Comma">
      <calculatedColumnFormula array="1">+IFERROR(
AVERAGE(
_xlfn._xlws.FILTER(Table_Main[Giá trị hàng nhập],
(Table_Main[Mã SKU] = $B74) *
(Table_Main[Ngày lên đơn] &gt;= BCQT_BatDau)*
(Table_Main[Ngày lên đơn] &lt; BCQT_KetThuc)
)) /
AVERAGE(
_xlfn._xlws.FILTER(Table_Main[Số lượng],
(Table_Main[Mã SKU] = $B74) *
(Table_Main[Ngày lên đơn] &gt;= BCQT_BatDau)*
(Table_Main[Ngày lên đơn] &lt; BCQT_KetThuc)
)),0)</calculatedColumnFormula>
    </tableColumn>
    <tableColumn id="29" xr3:uid="{019E5F1B-DE2D-464D-8063-064C5116CFCC}" name="Tháng 1" dataDxfId="1770" totalsRowDxfId="1769" dataCellStyle="Comma"/>
    <tableColumn id="30" xr3:uid="{90AFC99B-1620-4C46-BD12-553A1C3FFDD8}" name="Tháng 2" dataDxfId="1768" totalsRowDxfId="1767" dataCellStyle="Comma"/>
    <tableColumn id="31" xr3:uid="{FBF2D68D-F4EB-4171-BD9D-E76539DF938C}" name="Tháng 3" dataDxfId="1766" totalsRowDxfId="1765" dataCellStyle="Comma"/>
    <tableColumn id="32" xr3:uid="{F41B1887-7A08-4DC9-BDE9-E43ABE4AE1BE}" name="Tháng 4" dataDxfId="1764" totalsRowDxfId="1763" dataCellStyle="Comma"/>
    <tableColumn id="33" xr3:uid="{D369E62A-3CDD-4B01-A431-C39C2CBE1293}" name="Tháng 5" dataDxfId="1762" totalsRowDxfId="1761" dataCellStyle="Comma"/>
    <tableColumn id="34" xr3:uid="{F0115D72-64F0-4CBC-A8C5-6835DCA86A12}" name="Tháng 6" dataDxfId="1760" totalsRowDxfId="1759" dataCellStyle="Comma"/>
    <tableColumn id="35" xr3:uid="{4AEC4DCF-162D-499F-A186-5800A521A71B}" name="Tháng 7" dataDxfId="1758" totalsRowDxfId="1757" dataCellStyle="Comma"/>
    <tableColumn id="36" xr3:uid="{5A6B4CEF-0269-4C8A-B8D5-9CB34819A8C8}" name="Tháng 8" dataDxfId="1756" totalsRowDxfId="1755" dataCellStyle="Comma"/>
    <tableColumn id="37" xr3:uid="{15EBC225-23BE-414B-B8C6-FF6D2C2DA707}" name="Tháng 9" dataDxfId="1754" totalsRowDxfId="1753" dataCellStyle="Comma"/>
    <tableColumn id="38" xr3:uid="{68785765-EC8D-400C-A53D-C098BAEB2867}" name="Tháng 10" dataDxfId="1752" totalsRowDxfId="1751" dataCellStyle="Comma"/>
    <tableColumn id="39" xr3:uid="{FE6CAAF6-4E91-48E9-BE30-736B71AE2517}" name="Tháng 11" dataDxfId="1750" totalsRowDxfId="1749" dataCellStyle="Comma"/>
    <tableColumn id="40" xr3:uid="{9B1D1B2C-78EE-4936-BA9C-70DE6FAEB0D5}" name="Tháng 12" dataDxfId="1748" totalsRowDxfId="1747" dataCellStyle="Comma"/>
    <tableColumn id="4" xr3:uid="{F6BA2DB9-C7C4-4136-A29C-3988740AF60B}" name="Add" dataDxfId="1746" totalsRowDxfId="1745"/>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7:P79" totalsRowCount="1" headerRowDxfId="1744" dataDxfId="1743" totalsRowDxfId="1742">
  <autoFilter ref="B77:P78" xr:uid="{673B555B-AF75-419C-8864-7B66DF2C2C6F}"/>
  <tableColumns count="15">
    <tableColumn id="1" xr3:uid="{91AE107E-7E90-4FD8-9894-89A53DE58960}" name="Kế hoạch chi phí hàng hóa" totalsRowLabel="Total" dataDxfId="1741" totalsRowDxfId="1740"/>
    <tableColumn id="3" xr3:uid="{89E2E365-2517-477F-B95E-6FD048EFFFF0}" name="Tham chiếu" totalsRowFunction="sum" dataDxfId="1739" totalsRowDxfId="1738" dataCellStyle="Comma" totalsRowCellStyle="Comma">
      <calculatedColumnFormula array="1"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calculatedColumnFormula>
    </tableColumn>
    <tableColumn id="29" xr3:uid="{F85F740B-EE9D-4A38-AED0-D66B55D25ADB}" name="Tháng 1" totalsRowFunction="sum" dataDxfId="1737" totalsRowDxfId="1736" dataCellStyle="Comma" totalsRowCellStyle="Comma">
      <calculatedColumnFormula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calculatedColumnFormula>
    </tableColumn>
    <tableColumn id="30" xr3:uid="{37F68F66-8DC6-4721-995B-A9C565EDC074}" name="Tháng 2" totalsRowFunction="sum" dataDxfId="1735" totalsRowDxfId="1734" dataCellStyle="Comma" totalsRowCellStyle="Comma">
      <calculatedColumnFormula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calculatedColumnFormula>
    </tableColumn>
    <tableColumn id="31" xr3:uid="{2BC7CA73-4BD0-470B-9B0D-9F76DAA6E07C}" name="Tháng 3" totalsRowFunction="sum" dataDxfId="1733" totalsRowDxfId="1732" dataCellStyle="Comma" totalsRowCellStyle="Comma">
      <calculatedColumnFormula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calculatedColumnFormula>
    </tableColumn>
    <tableColumn id="32" xr3:uid="{5644AD1C-3FFA-42FB-9ADE-2E483592E846}" name="Tháng 4" totalsRowFunction="sum" dataDxfId="1731" totalsRowDxfId="1730" dataCellStyle="Comma" totalsRowCellStyle="Comma">
      <calculatedColumnFormula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calculatedColumnFormula>
    </tableColumn>
    <tableColumn id="33" xr3:uid="{2FFF0947-01AC-41E7-ACDF-FAC1A6DA515C}" name="Tháng 5" totalsRowFunction="sum" dataDxfId="1729" totalsRowDxfId="1728" dataCellStyle="Comma" totalsRowCellStyle="Comma">
      <calculatedColumnFormula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calculatedColumnFormula>
    </tableColumn>
    <tableColumn id="34" xr3:uid="{5750EFE5-25E1-499F-A818-F1A750D13220}" name="Tháng 6" totalsRowFunction="sum" dataDxfId="1727" totalsRowDxfId="1726" dataCellStyle="Comma" totalsRowCellStyle="Comma">
      <calculatedColumnFormula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calculatedColumnFormula>
    </tableColumn>
    <tableColumn id="35" xr3:uid="{A4D3AFA5-70E9-450C-8894-1DE0C94FD9C1}" name="Tháng 7" totalsRowFunction="sum" dataDxfId="1725" totalsRowDxfId="1724" dataCellStyle="Comma" totalsRowCellStyle="Comma">
      <calculatedColumnFormula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calculatedColumnFormula>
    </tableColumn>
    <tableColumn id="36" xr3:uid="{0098CC1D-55DA-4BE3-AF11-DC348343C5FD}" name="Tháng 8" totalsRowFunction="sum" dataDxfId="1723" totalsRowDxfId="1722" dataCellStyle="Comma" totalsRowCellStyle="Comma">
      <calculatedColumnFormula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calculatedColumnFormula>
    </tableColumn>
    <tableColumn id="37" xr3:uid="{92521C97-0D88-45E6-AABC-A297D3839A8E}" name="Tháng 9" totalsRowFunction="sum" dataDxfId="1721" totalsRowDxfId="1720" dataCellStyle="Comma" totalsRowCellStyle="Comma">
      <calculatedColumnFormula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calculatedColumnFormula>
    </tableColumn>
    <tableColumn id="38" xr3:uid="{89D3235E-1CED-47EE-8B5A-44E67EFFB28C}" name="Tháng 10" totalsRowFunction="sum" dataDxfId="1719" totalsRowDxfId="1718" dataCellStyle="Comma" totalsRowCellStyle="Comma">
      <calculatedColumnFormula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calculatedColumnFormula>
    </tableColumn>
    <tableColumn id="39" xr3:uid="{15B70680-6B84-4E74-9D09-80A9E804313E}" name="Tháng 11" totalsRowFunction="sum" dataDxfId="1717" totalsRowDxfId="1716" dataCellStyle="Comma" totalsRowCellStyle="Comma">
      <calculatedColumnFormula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calculatedColumnFormula>
    </tableColumn>
    <tableColumn id="40" xr3:uid="{AA453F5D-621A-48ED-AE68-1464823DFBED}" name="Tháng 12" totalsRowFunction="sum" dataDxfId="1715" totalsRowDxfId="1714" dataCellStyle="Comma" totalsRowCellStyle="Comma">
      <calculatedColumnFormula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calculatedColumnFormula>
    </tableColumn>
    <tableColumn id="4" xr3:uid="{1DA38066-0235-47D9-9C13-A949D7DC71F3}" name="Add" dataDxfId="1713" totalsRowDxfId="1712"/>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8:P99" totalsRowShown="0" headerRowDxfId="1711" dataDxfId="1710" headerRowCellStyle="Percent" dataCellStyle="Percent">
  <autoFilter ref="B98:P99" xr:uid="{571A7629-CD3D-4301-B87F-F24F63AD2A81}"/>
  <tableColumns count="15">
    <tableColumn id="1" xr3:uid="{89CE5103-5F2F-473A-8285-61F7E158BE32}" name="Kế hoạch tỷ lệ hoa hồng" dataDxfId="1709" totalsRowDxfId="1708" dataCellStyle="Percent"/>
    <tableColumn id="3" xr3:uid="{A1C5A2FF-BE5E-4865-9699-E09EA6B78869}" name="Tham chiếu" dataDxfId="1707" totalsRowDxfId="1706" dataCellStyle="Percent">
      <calculatedColumnFormula array="1"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calculatedColumnFormula>
    </tableColumn>
    <tableColumn id="29" xr3:uid="{42CEEF9C-84DE-45DF-BFFB-8E1D0BC996A0}" name="Tháng 1" dataDxfId="1705" totalsRowDxfId="1704" dataCellStyle="Percent"/>
    <tableColumn id="30" xr3:uid="{B17D0FDB-5B56-4429-9BF8-633417993FBB}" name="Tháng 2" dataDxfId="1703" totalsRowDxfId="1702" dataCellStyle="Percent"/>
    <tableColumn id="31" xr3:uid="{7F3739EE-012B-4AB4-ACE1-CBC110526F9D}" name="Tháng 3" dataDxfId="1701" totalsRowDxfId="1700" dataCellStyle="Percent"/>
    <tableColumn id="32" xr3:uid="{6103A08B-5854-4BEB-B0F6-AF7602FCE44A}" name="Tháng 4" dataDxfId="1699" totalsRowDxfId="1698" dataCellStyle="Percent"/>
    <tableColumn id="33" xr3:uid="{EE55A315-C233-4CC6-B5AF-32C405AB383B}" name="Tháng 5" dataDxfId="1697" totalsRowDxfId="1696" dataCellStyle="Percent"/>
    <tableColumn id="34" xr3:uid="{12B659E6-642C-4140-AA0D-2D84AB9B6125}" name="Tháng 6" dataDxfId="1695" totalsRowDxfId="1694" dataCellStyle="Percent"/>
    <tableColumn id="35" xr3:uid="{A00D81B6-DF88-4E88-8CFC-8C7C28D732F7}" name="Tháng 7" dataDxfId="1693" totalsRowDxfId="1692" dataCellStyle="Percent"/>
    <tableColumn id="36" xr3:uid="{211F463D-5EDA-41F3-803D-F665490CFE40}" name="Tháng 8" dataDxfId="1691" totalsRowDxfId="1690" dataCellStyle="Percent"/>
    <tableColumn id="37" xr3:uid="{B4EC8197-3C1F-43AB-A435-36D6AD6B3E13}" name="Tháng 9" dataDxfId="1689" totalsRowDxfId="1688" dataCellStyle="Percent"/>
    <tableColumn id="38" xr3:uid="{7C84B51B-A957-4A53-AC29-4A036ABA4C20}" name="Tháng 10" dataDxfId="1687" totalsRowDxfId="1686" dataCellStyle="Percent"/>
    <tableColumn id="39" xr3:uid="{E5FAA999-8C52-4A9F-B6FA-CA39A6D759DA}" name="Tháng 11" dataDxfId="1685" totalsRowDxfId="1684" dataCellStyle="Percent"/>
    <tableColumn id="40" xr3:uid="{5936866B-F994-4BD4-9014-345AD0715655}" name="Tháng 12" dataDxfId="1683" totalsRowDxfId="1682" dataCellStyle="Percent"/>
    <tableColumn id="4" xr3:uid="{D216F6B4-B989-49AA-A487-C608C9A0C4AE}" name="Add" dataDxfId="1681" totalsRowDxfId="1680" dataCellStyle="Percent"/>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102:P104" totalsRowCount="1" headerRowDxfId="1679" dataDxfId="1678" totalsRowDxfId="1677" headerRowCellStyle="Comma" dataCellStyle="Comma" totalsRowCellStyle="Comma">
  <autoFilter ref="B102:P103" xr:uid="{917CE6FA-BA76-44BB-B776-281155435948}"/>
  <tableColumns count="15">
    <tableColumn id="1" xr3:uid="{B069FC19-6704-4041-B913-34A9A708A151}" name="Kế hoạch chi phí hoa hồng" totalsRowLabel="Total" dataDxfId="1676" totalsRowDxfId="1675" dataCellStyle="Comma" totalsRowCellStyle="Comma"/>
    <tableColumn id="3" xr3:uid="{45A81392-9858-4624-9F4F-3DB6DC54E1DD}" name="Tham chiếu" totalsRowFunction="sum" dataDxfId="1674" totalsRowDxfId="1673" dataCellStyle="Comma" totalsRowCellStyle="Comma">
      <calculatedColumnFormula array="1">-SUM(_xlfn._xlws.FILTER(Table_Main[Hoa hồng],
(Table_Main[Mã SKU] = Table_KeHoach_ChiPhiHoaHong[[#This Row],[Kế hoạch chi phí hoa hồng]]) *
(Table_Main[Ngày lên đơn] &gt;= BCQT_BatDau) *
(Table_Main[Ngày lên đơn] &lt; BCQT_KetThuc)
)) /
ROUND((BCQT_KetThuc-BCQT_BatDau)/(365.25/12),0)</calculatedColumnFormula>
    </tableColumn>
    <tableColumn id="29" xr3:uid="{44FF01A0-EDB3-4A6A-92FD-1674BC0087AE}" name="Tháng 1" totalsRowFunction="sum" dataDxfId="1672" totalsRowDxfId="1671" dataCellStyle="Comma" totalsRowCellStyle="Comma">
      <calculatedColumnFormula>-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calculatedColumnFormula>
    </tableColumn>
    <tableColumn id="30" xr3:uid="{AA758440-3D9D-4EED-984C-92AC297C6E87}" name="Tháng 2" totalsRowFunction="sum" dataDxfId="1670" totalsRowDxfId="1669" dataCellStyle="Comma" totalsRowCellStyle="Comma">
      <calculatedColumnFormula>-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calculatedColumnFormula>
    </tableColumn>
    <tableColumn id="31" xr3:uid="{F07668AE-AD66-4052-9593-D1A9368E6169}" name="Tháng 3" totalsRowFunction="sum" dataDxfId="1668" totalsRowDxfId="1667" dataCellStyle="Comma" totalsRowCellStyle="Comma">
      <calculatedColumnFormula>-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calculatedColumnFormula>
    </tableColumn>
    <tableColumn id="32" xr3:uid="{019F83CA-1D86-4894-9E1C-B97411E02CE3}" name="Tháng 4" totalsRowFunction="sum" dataDxfId="1666" totalsRowDxfId="1665" dataCellStyle="Comma" totalsRowCellStyle="Comma">
      <calculatedColumnFormula>-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calculatedColumnFormula>
    </tableColumn>
    <tableColumn id="33" xr3:uid="{98A21E41-7307-4A31-8516-C3BAAF1B6A71}" name="Tháng 5" totalsRowFunction="sum" dataDxfId="1664" totalsRowDxfId="1663" dataCellStyle="Comma" totalsRowCellStyle="Comma">
      <calculatedColumnFormula>-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calculatedColumnFormula>
    </tableColumn>
    <tableColumn id="34" xr3:uid="{A35D5DAD-05B9-47A1-BE73-C5B4D7AC14D2}" name="Tháng 6" totalsRowFunction="sum" dataDxfId="1662" totalsRowDxfId="1661" dataCellStyle="Comma" totalsRowCellStyle="Comma">
      <calculatedColumnFormula>-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calculatedColumnFormula>
    </tableColumn>
    <tableColumn id="35" xr3:uid="{DB88872F-43F3-4B29-B6D2-7C307941341D}" name="Tháng 7" totalsRowFunction="sum" dataDxfId="1660" totalsRowDxfId="1659" dataCellStyle="Comma" totalsRowCellStyle="Comma">
      <calculatedColumnFormula>-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calculatedColumnFormula>
    </tableColumn>
    <tableColumn id="36" xr3:uid="{4293C101-8A6A-48CA-BB50-59282E2317CE}" name="Tháng 8" totalsRowFunction="sum" dataDxfId="1658" totalsRowDxfId="1657" dataCellStyle="Comma" totalsRowCellStyle="Comma">
      <calculatedColumnFormula>-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calculatedColumnFormula>
    </tableColumn>
    <tableColumn id="37" xr3:uid="{95FBAF24-EB51-44D8-B651-26FE188B4B40}" name="Tháng 9" totalsRowFunction="sum" dataDxfId="1656" totalsRowDxfId="1655" dataCellStyle="Comma" totalsRowCellStyle="Comma">
      <calculatedColumnFormula>-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calculatedColumnFormula>
    </tableColumn>
    <tableColumn id="38" xr3:uid="{E4FFC353-4C31-4E0A-ABD0-521861BA3766}" name="Tháng 10" totalsRowFunction="sum" dataDxfId="1654" totalsRowDxfId="1653" dataCellStyle="Comma" totalsRowCellStyle="Comma">
      <calculatedColumnFormula>-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calculatedColumnFormula>
    </tableColumn>
    <tableColumn id="39" xr3:uid="{1176195A-F2D0-491F-ADAF-FEE4B331168F}" name="Tháng 11" totalsRowFunction="sum" dataDxfId="1652" totalsRowDxfId="1651" dataCellStyle="Comma" totalsRowCellStyle="Comma">
      <calculatedColumnFormula>-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calculatedColumnFormula>
    </tableColumn>
    <tableColumn id="40" xr3:uid="{F7A3A82A-D538-4F76-8571-151155BB1E03}" name="Tháng 12" totalsRowFunction="sum" dataDxfId="1650" totalsRowDxfId="1649" dataCellStyle="Comma" totalsRowCellStyle="Comma">
      <calculatedColumnFormula>-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calculatedColumnFormula>
    </tableColumn>
    <tableColumn id="4" xr3:uid="{14A5F491-D272-4B46-90C0-7B58515C4C63}" name="Add" dataDxfId="1648" totalsRowDxfId="1647" dataCellStyle="Comma" totalsRowCellStyle="Comma"/>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20:P122" totalsRowShown="0" headerRowDxfId="1646" dataDxfId="1645">
  <autoFilter ref="B120:P122" xr:uid="{908E4510-1D66-4B62-BD4E-8366A63DB2D9}"/>
  <tableColumns count="15">
    <tableColumn id="1" xr3:uid="{4974AA81-EDE8-48A1-972A-BD6B8748ED4C}" name="Kế hoạch chi phí ship" dataDxfId="1644" totalsRowDxfId="1643"/>
    <tableColumn id="3" xr3:uid="{B298E000-F4DB-4ECC-9D0C-FCA782A86771}" name="Tham chiếu" dataDxfId="1642">
      <calculatedColumnFormula array="1">-IFERROR(
SUM(_xlfn._xlws.FILTER(Table_VanDon[Phí ship],
(Table_VanDon[Bên chịu phí] = "Bên bán") *
(Table_VanDon[Ngày lập] &gt;= KeHoach_BatDau) *
(Table_VanDon[Ngày lập] &lt; KeHoach_KetThuc)
)),0)
-IFERROR(
SUM(_xlfn._xlws.FILTER(Table_DonMua[Phụ phí],
(Table_DonMua[Ngày lập] &gt;= KeHoach_BatDau)*
(Table_DonMua[Ngày lập] &lt; KeHoach_KetThuc)
)),0)</calculatedColumnFormula>
    </tableColumn>
    <tableColumn id="29" xr3:uid="{0E8CCF25-9538-4858-B4EB-66D14E65C5E6}" name="Tháng 1" dataDxfId="1641">
      <calculatedColumnFormula>VLOOKUP(Table_KeHoach_ChiPhiShip[[#This Row],[Kế hoạch chi phí ship]],#REF!,Sheet_SKU!#REF!,0)</calculatedColumnFormula>
    </tableColumn>
    <tableColumn id="30" xr3:uid="{AF72C6DF-EB35-4A98-ABEC-099350C31E27}" name="Tháng 2" dataDxfId="1640">
      <calculatedColumnFormula>VLOOKUP(Table_KeHoach_ChiPhiShip[[#This Row],[Kế hoạch chi phí ship]],#REF!,Sheet_SKU!#REF!,0)</calculatedColumnFormula>
    </tableColumn>
    <tableColumn id="31" xr3:uid="{3EAF95EE-2F6B-43B3-9D13-5D7C0429B475}" name="Tháng 3" dataDxfId="1639">
      <calculatedColumnFormula>VLOOKUP(Table_KeHoach_ChiPhiShip[[#This Row],[Kế hoạch chi phí ship]],#REF!,Sheet_SKU!#REF!,0)</calculatedColumnFormula>
    </tableColumn>
    <tableColumn id="32" xr3:uid="{D96EEB51-7417-4655-BDDC-D0E338E941FB}" name="Tháng 4" dataDxfId="1638">
      <calculatedColumnFormula>VLOOKUP(Table_KeHoach_ChiPhiShip[[#This Row],[Kế hoạch chi phí ship]],#REF!,Sheet_SKU!#REF!,0)</calculatedColumnFormula>
    </tableColumn>
    <tableColumn id="33" xr3:uid="{257E62C8-5051-48B2-85A8-3358E9656E87}" name="Tháng 5" dataDxfId="1637">
      <calculatedColumnFormula>VLOOKUP(Table_KeHoach_ChiPhiShip[[#This Row],[Kế hoạch chi phí ship]],#REF!,Sheet_SKU!#REF!,0)</calculatedColumnFormula>
    </tableColumn>
    <tableColumn id="34" xr3:uid="{0E06FA86-8BB1-4A39-B5C1-0D5C45891AD0}" name="Tháng 6" dataDxfId="1636">
      <calculatedColumnFormula>VLOOKUP(Table_KeHoach_ChiPhiShip[[#This Row],[Kế hoạch chi phí ship]],#REF!,Sheet_SKU!#REF!,0)</calculatedColumnFormula>
    </tableColumn>
    <tableColumn id="35" xr3:uid="{9F9131FD-5E00-446F-BB5F-FA90CC9D32D8}" name="Tháng 7" dataDxfId="1635">
      <calculatedColumnFormula>VLOOKUP(Table_KeHoach_ChiPhiShip[[#This Row],[Kế hoạch chi phí ship]],#REF!,Sheet_SKU!#REF!,0)</calculatedColumnFormula>
    </tableColumn>
    <tableColumn id="36" xr3:uid="{780160DC-AD91-4578-974A-DAA46A0EFA55}" name="Tháng 8" dataDxfId="1634">
      <calculatedColumnFormula>VLOOKUP(Table_KeHoach_ChiPhiShip[[#This Row],[Kế hoạch chi phí ship]],#REF!,Sheet_SKU!#REF!,0)</calculatedColumnFormula>
    </tableColumn>
    <tableColumn id="37" xr3:uid="{8F0619B7-DD39-44BB-919F-7190F8C66661}" name="Tháng 9" dataDxfId="1633">
      <calculatedColumnFormula>VLOOKUP(Table_KeHoach_ChiPhiShip[[#This Row],[Kế hoạch chi phí ship]],#REF!,Sheet_SKU!#REF!,0)</calculatedColumnFormula>
    </tableColumn>
    <tableColumn id="38" xr3:uid="{85E0E657-1656-49DE-ACC4-ECD2C5A8BD77}" name="Tháng 10" dataDxfId="1632">
      <calculatedColumnFormula>VLOOKUP(Table_KeHoach_ChiPhiShip[[#This Row],[Kế hoạch chi phí ship]],#REF!,Sheet_SKU!#REF!,0)</calculatedColumnFormula>
    </tableColumn>
    <tableColumn id="39" xr3:uid="{871494F5-3229-4D50-A00E-F79B1EC4C89C}" name="Tháng 11" dataDxfId="1631">
      <calculatedColumnFormula>VLOOKUP(Table_KeHoach_ChiPhiShip[[#This Row],[Kế hoạch chi phí ship]],#REF!,Sheet_SKU!#REF!,0)</calculatedColumnFormula>
    </tableColumn>
    <tableColumn id="40" xr3:uid="{93DF0D7F-F948-4D01-9B0F-5A68A405CC28}" name="Tháng 12" dataDxfId="1630">
      <calculatedColumnFormula>VLOOKUP(Table_KeHoach_ChiPhiShip[[#This Row],[Kế hoạch chi phí ship]],#REF!,Sheet_SKU!#REF!,0)</calculatedColumnFormula>
    </tableColumn>
    <tableColumn id="4" xr3:uid="{2D4C2D48-BC42-4E31-9323-72EFF86ED93C}" name="Add" dataDxfId="1629">
      <calculatedColumnFormula>-P120*HLOOKUP(P$120,Table_KeHoach_DoanhThu[#All],COUNTA(Table_KeHoach_DoanhThu[[#All],[Kế hoạch doanh thu]]),0)</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5:P126" totalsRowShown="0" headerRowDxfId="1628" dataDxfId="1627" headerRowCellStyle="Comma" dataCellStyle="Comma">
  <autoFilter ref="B125:P126" xr:uid="{3AA81467-7CA1-47A8-90EC-3D38BDD54257}"/>
  <tableColumns count="15">
    <tableColumn id="1" xr3:uid="{3C4D3BE7-FFE8-4AA6-9046-2E900FEAAF24}" name="Kế hoạch lương gross" dataDxfId="1626" totalsRowDxfId="1625" dataCellStyle="Comma"/>
    <tableColumn id="3" xr3:uid="{5406D85A-8CE2-4CC8-8623-275C8DAC4DB0}" name="Tham chiếu" dataDxfId="1624" totalsRowDxfId="1623" dataCellStyle="Comma">
      <calculatedColumnFormula>-VLOOKUP(Table_KeHoach_LuongNet[[#This Row],[Kế hoạch lương gross]],Table_NhanVien[],COUNTA(Table_NhanVien[[#Headers],[Mã NV]:[Lương gross]]),0)</calculatedColumnFormula>
    </tableColumn>
    <tableColumn id="29" xr3:uid="{22CFBB3B-BFA7-42CB-BA20-AC6D1269A08E}" name="Tháng 1" dataDxfId="1622" totalsRowDxfId="1621" dataCellStyle="Comma"/>
    <tableColumn id="30" xr3:uid="{3C7E21A7-1D02-40CC-B621-9BA1EE2F5AF0}" name="Tháng 2" dataDxfId="1620" totalsRowDxfId="1619" dataCellStyle="Comma"/>
    <tableColumn id="31" xr3:uid="{0EA71E79-00ED-47C7-9E3F-25D06EA1FE91}" name="Tháng 3" dataDxfId="1618" totalsRowDxfId="1617" dataCellStyle="Comma"/>
    <tableColumn id="32" xr3:uid="{BC596114-217F-4B94-AD95-C681D74C7AEE}" name="Tháng 4" dataDxfId="1616" totalsRowDxfId="1615" dataCellStyle="Comma"/>
    <tableColumn id="33" xr3:uid="{4D50F754-44AB-4EA0-8411-B3DA58FA9F77}" name="Tháng 5" dataDxfId="1614" totalsRowDxfId="1613" dataCellStyle="Comma"/>
    <tableColumn id="34" xr3:uid="{095DA541-8FFF-4D4A-B0B1-0F628DFE99D0}" name="Tháng 6" dataDxfId="1612" dataCellStyle="Comma"/>
    <tableColumn id="35" xr3:uid="{D3E05F56-0880-4153-91D3-D886DE1340C5}" name="Tháng 7" dataDxfId="1611" dataCellStyle="Comma"/>
    <tableColumn id="36" xr3:uid="{D1923F54-11DB-4249-B122-FA71BE50ED0F}" name="Tháng 8" dataDxfId="1610" dataCellStyle="Comma"/>
    <tableColumn id="37" xr3:uid="{01190BA1-8776-41CD-8213-306DC9E72917}" name="Tháng 9" dataDxfId="1609" dataCellStyle="Comma"/>
    <tableColumn id="38" xr3:uid="{D4E78B4D-AEFC-4A5A-90AA-D2B0186513FD}" name="Tháng 10" dataDxfId="1608" dataCellStyle="Comma"/>
    <tableColumn id="39" xr3:uid="{39541C43-C729-4B8C-A2DF-8B46DB19934F}" name="Tháng 11" dataDxfId="1607" dataCellStyle="Comma"/>
    <tableColumn id="40" xr3:uid="{B507645B-A83E-40A1-8131-DC22121E7942}" name="Tháng 12" dataDxfId="1606" dataCellStyle="Comma"/>
    <tableColumn id="4" xr3:uid="{D2D75DE3-EB7B-496E-AFF1-41BEC8813A93}" name="Add" dataDxfId="1605" data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9:P131" totalsRowCount="1" headerRowDxfId="1604" dataDxfId="1603" totalsRowDxfId="1602" headerRowCellStyle="Comma" dataCellStyle="Comma" totalsRowCellStyle="Comma">
  <autoFilter ref="B129:P130" xr:uid="{91BBA9C3-FC15-4CD7-9733-B5B5DB650110}"/>
  <tableColumns count="15">
    <tableColumn id="1" xr3:uid="{2E43917D-C813-4D56-BD16-1D4A8D96F05A}" name="Kế hoạch chi phí nhân sự (+ bảo hiểm)" totalsRowLabel="Total" dataDxfId="1601" totalsRowDxfId="1600" dataCellStyle="Comma"/>
    <tableColumn id="3" xr3:uid="{A57E4123-9FD6-4DF6-9D3E-62EF299F2B98}" name="Tham chiếu" totalsRowFunction="sum" dataDxfId="1599" totalsRowDxfId="1598" dataCellStyle="Comma">
      <calculatedColumnFormula array="1"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calculatedColumnFormula>
    </tableColumn>
    <tableColumn id="29" xr3:uid="{B2E2777D-DFCF-4D07-B498-2CCCF122CEE7}" name="Tháng 1" totalsRowFunction="sum" dataDxfId="1597" totalsRowDxfId="1596" dataCellStyle="Comma">
      <calculatedColumnFormula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0" xr3:uid="{30A364DF-C3BF-441E-95BE-2636E496ACC9}" name="Tháng 2" totalsRowFunction="sum" dataDxfId="1595" totalsRowDxfId="1594" dataCellStyle="Comma">
      <calculatedColumnFormula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1" xr3:uid="{F79E7C83-DE64-4D3F-A770-8721FA722A0B}" name="Tháng 3" totalsRowFunction="sum" dataDxfId="1593" totalsRowDxfId="1592" dataCellStyle="Comma">
      <calculatedColumnFormula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2" xr3:uid="{12CDFC08-D112-49FB-BA4C-3889A6F962C8}" name="Tháng 4" totalsRowFunction="sum" dataDxfId="1591" totalsRowDxfId="1590" dataCellStyle="Comma">
      <calculatedColumnFormula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3" xr3:uid="{BA17BEBB-819B-4DA5-8ECA-94C0F9F54D1E}" name="Tháng 5" totalsRowFunction="sum" dataDxfId="1589" totalsRowDxfId="1588" dataCellStyle="Comma">
      <calculatedColumnFormula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4" xr3:uid="{006080A1-D98E-4C4E-8496-FC8D3C3FACBE}" name="Tháng 6" totalsRowFunction="sum" dataDxfId="1587" totalsRowDxfId="1586" dataCellStyle="Comma">
      <calculatedColumnFormula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5" xr3:uid="{15395AAC-B928-47CE-B742-B4EF8F476198}" name="Tháng 7" totalsRowFunction="sum" dataDxfId="1585" totalsRowDxfId="1584" dataCellStyle="Comma">
      <calculatedColumnFormula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6" xr3:uid="{81FF2137-1BA7-4AE8-B8C0-29D2D9FB6360}" name="Tháng 8" totalsRowFunction="sum" dataDxfId="1583" totalsRowDxfId="1582" dataCellStyle="Comma">
      <calculatedColumnFormula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7" xr3:uid="{E242B3E5-8EE2-4684-B5A4-EC975FBCAD0D}" name="Tháng 9" totalsRowFunction="sum" dataDxfId="1581" totalsRowDxfId="1580" dataCellStyle="Comma">
      <calculatedColumnFormula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8" xr3:uid="{4A471B8A-96F3-4C18-B153-5501384DE608}" name="Tháng 10" totalsRowFunction="sum" dataDxfId="1579" totalsRowDxfId="1578" dataCellStyle="Comma">
      <calculatedColumnFormula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9" xr3:uid="{7033B668-BF4D-42C6-8569-E47101B12BC8}" name="Tháng 11" totalsRowFunction="sum" dataDxfId="1577" totalsRowDxfId="1576" dataCellStyle="Comma">
      <calculatedColumnFormula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0" xr3:uid="{A0BF1392-5881-4F1A-8B3E-2CFBA566D9AB}" name="Tháng 12" totalsRowFunction="sum" dataDxfId="1575" totalsRowDxfId="1574" dataCellStyle="Comma">
      <calculatedColumnFormula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 xr3:uid="{F9B57AD9-1FB5-44FC-ABFD-F2B10703DE21}" name="Add" dataDxfId="1573" totalsRowDxfId="1572" data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34:P136" totalsRowCount="1" headerRowDxfId="1571" dataDxfId="1570" totalsRowDxfId="1569" headerRowCellStyle="Comma" dataCellStyle="Comma" totalsRowCellStyle="Comma">
  <autoFilter ref="B134:P135" xr:uid="{51C1DF05-35B2-4BFD-8DF4-9018A45F6CC9}"/>
  <tableColumns count="15">
    <tableColumn id="1" xr3:uid="{DE902550-E20E-4920-9A1F-69869534EED6}" name="Kế hoạch thưởng KPI" totalsRowLabel="Total" dataDxfId="1568" totalsRowDxfId="1567" dataCellStyle="Comma" totalsRowCellStyle="Comma"/>
    <tableColumn id="3" xr3:uid="{23B56988-FA74-49DE-860C-652B89832633}" name="Tham chiếu" totalsRowFunction="sum" dataDxfId="1566" totalsRowDxfId="1565" dataCellStyle="Comma" totalsRowCellStyle="Comma">
      <calculatedColumnFormula array="1"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calculatedColumnFormula>
    </tableColumn>
    <tableColumn id="29" xr3:uid="{218C951F-2A25-4221-8C6F-BC60515EF8B8}" name="Tháng 1" totalsRowFunction="sum" dataDxfId="1564" totalsRowDxfId="1563" dataCellStyle="Comma" totalsRowCellStyle="Comma"/>
    <tableColumn id="30" xr3:uid="{79562E96-A57B-4C97-B581-1FC0ECDC0E76}" name="Tháng 2" totalsRowFunction="sum" dataDxfId="1562" totalsRowDxfId="1561" dataCellStyle="Comma" totalsRowCellStyle="Comma"/>
    <tableColumn id="31" xr3:uid="{0A4730AF-73B6-4A07-958A-C8FF52EC6A41}" name="Tháng 3" totalsRowFunction="sum" dataDxfId="1560" totalsRowDxfId="1559" dataCellStyle="Comma" totalsRowCellStyle="Comma"/>
    <tableColumn id="32" xr3:uid="{F0F88703-DBDC-407F-8F7E-4483AECA0242}" name="Tháng 4" totalsRowFunction="sum" dataDxfId="1558" totalsRowDxfId="1557" dataCellStyle="Comma" totalsRowCellStyle="Comma"/>
    <tableColumn id="33" xr3:uid="{D10E704C-0465-4AE8-BCD8-36942ABB8208}" name="Tháng 5" totalsRowFunction="sum" dataDxfId="1556" totalsRowDxfId="1555" dataCellStyle="Comma" totalsRowCellStyle="Comma"/>
    <tableColumn id="34" xr3:uid="{D8F6CCAA-AFE4-4EC1-AE0D-510FB5B92FB5}" name="Tháng 6" totalsRowFunction="sum" dataDxfId="1554" totalsRowDxfId="1553" dataCellStyle="Comma" totalsRowCellStyle="Comma"/>
    <tableColumn id="35" xr3:uid="{678187C6-1705-4738-B037-28706C93C220}" name="Tháng 7" totalsRowFunction="sum" dataDxfId="1552" totalsRowDxfId="1551" dataCellStyle="Comma" totalsRowCellStyle="Comma"/>
    <tableColumn id="36" xr3:uid="{D79FF401-459B-4FD8-8631-FD8F00B21CE3}" name="Tháng 8" totalsRowFunction="sum" dataDxfId="1550" totalsRowDxfId="1549" dataCellStyle="Comma" totalsRowCellStyle="Comma"/>
    <tableColumn id="37" xr3:uid="{36801A4E-98B6-4028-8EBF-B03919843482}" name="Tháng 9" totalsRowFunction="sum" dataDxfId="1548" totalsRowDxfId="1547" dataCellStyle="Comma" totalsRowCellStyle="Comma"/>
    <tableColumn id="38" xr3:uid="{30753DC8-004B-477F-B388-CBD4F9EF4ECE}" name="Tháng 10" totalsRowFunction="sum" dataDxfId="1546" totalsRowDxfId="1545" dataCellStyle="Comma" totalsRowCellStyle="Comma"/>
    <tableColumn id="39" xr3:uid="{638B4AF6-6F7F-43EC-A0CE-20762E3E036D}" name="Tháng 11" totalsRowFunction="sum" dataDxfId="1544" totalsRowDxfId="1543" dataCellStyle="Comma" totalsRowCellStyle="Comma"/>
    <tableColumn id="40" xr3:uid="{2C7C1BC1-E77A-4FA3-9C3B-873B2BA91660}" name="Tháng 12" totalsRowFunction="sum" dataDxfId="1542" totalsRowDxfId="1541" dataCellStyle="Comma" totalsRowCellStyle="Comma"/>
    <tableColumn id="4" xr3:uid="{C75BA92E-3442-4B90-BCC9-4C1EBA166D5F}" name="Add" dataDxfId="1540" totalsRowDxfId="1539" dataCellStyle="Comma" totalsRowCellStyle="Comma"/>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92:P95" totalsRowCount="1" headerRowDxfId="1538" dataDxfId="1537" totalsRowDxfId="1536" headerRowCellStyle="Comma" dataCellStyle="Comma" totalsRowCellStyle="Comma">
  <autoFilter ref="B92:P94" xr:uid="{65310F32-2FD4-490F-884B-1AA81C582DF4}"/>
  <tableColumns count="15">
    <tableColumn id="1" xr3:uid="{BE423CEE-B6E7-4111-8870-82E3FE033021}" name="Kế hoạch chi phí vật tư &amp; tiện ích văn phòng" totalsRowLabel="Total" dataDxfId="1535" totalsRowDxfId="1534" dataCellStyle="Comma" totalsRowCellStyle="Comma"/>
    <tableColumn id="3" xr3:uid="{EBB8A3FA-398D-4A82-9B88-93A338431418}" name="Tham chiếu" totalsRowFunction="sum" dataDxfId="1533" totalsRowDxfId="1532" dataCellStyle="Comma" totalsRowCellStyle="Comma">
      <calculatedColumnFormula array="1"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9" xr3:uid="{18458E08-BB69-483A-BFF6-CC58414AD0D7}" name="Tháng 1" totalsRowFunction="sum" dataDxfId="1531" totalsRowDxfId="1530" dataCellStyle="Comma" totalsRowCellStyle="Comma"/>
    <tableColumn id="30" xr3:uid="{7FD75624-7DC6-49A7-8E05-A71039153BF1}" name="Tháng 2" totalsRowFunction="sum" dataDxfId="1529" totalsRowDxfId="1528" dataCellStyle="Comma" totalsRowCellStyle="Comma"/>
    <tableColumn id="31" xr3:uid="{42CB0602-6C2C-429F-9B84-98C757C5C5E4}" name="Tháng 3" totalsRowFunction="sum" dataDxfId="1527" totalsRowDxfId="1526" dataCellStyle="Comma" totalsRowCellStyle="Comma"/>
    <tableColumn id="32" xr3:uid="{01087BC2-EBDB-4095-8A4A-732B0A6FE87E}" name="Tháng 4" totalsRowFunction="sum" dataDxfId="1525" totalsRowDxfId="1524" dataCellStyle="Comma" totalsRowCellStyle="Comma"/>
    <tableColumn id="33" xr3:uid="{304B7945-3140-472A-AD9E-868515C0D16C}" name="Tháng 5" totalsRowFunction="sum" dataDxfId="1523" totalsRowDxfId="1522" dataCellStyle="Comma" totalsRowCellStyle="Comma"/>
    <tableColumn id="34" xr3:uid="{3261FDF8-4E8D-44A5-9B23-D773F0C7B65B}" name="Tháng 6" totalsRowFunction="sum" dataDxfId="1521" totalsRowDxfId="1520" dataCellStyle="Comma" totalsRowCellStyle="Comma"/>
    <tableColumn id="35" xr3:uid="{C2668BA7-C9F7-4559-90D2-274692CC68BA}" name="Tháng 7" totalsRowFunction="sum" dataDxfId="1519" totalsRowDxfId="1518" dataCellStyle="Comma" totalsRowCellStyle="Comma"/>
    <tableColumn id="36" xr3:uid="{B8B3836E-E188-4747-8152-C6E22B15EA27}" name="Tháng 8" totalsRowFunction="sum" dataDxfId="1517" totalsRowDxfId="1516" dataCellStyle="Comma" totalsRowCellStyle="Comma"/>
    <tableColumn id="37" xr3:uid="{4124E7A8-F80D-4B28-A7AF-3D2F53163B04}" name="Tháng 9" totalsRowFunction="sum" dataDxfId="1515" totalsRowDxfId="1514" dataCellStyle="Comma" totalsRowCellStyle="Comma"/>
    <tableColumn id="38" xr3:uid="{4E61618F-7E56-433A-9F3D-A7BEF1423B52}" name="Tháng 10" totalsRowFunction="sum" dataDxfId="1513" totalsRowDxfId="1512" dataCellStyle="Comma" totalsRowCellStyle="Comma"/>
    <tableColumn id="39" xr3:uid="{42F0304F-0136-47F5-A156-67D1C6D5A0F8}" name="Tháng 11" totalsRowFunction="sum" dataDxfId="1511" totalsRowDxfId="1510" dataCellStyle="Comma" totalsRowCellStyle="Comma"/>
    <tableColumn id="40" xr3:uid="{32AC9F09-DE67-48F6-8C67-9DC92EE4D4CC}" name="Tháng 12" totalsRowFunction="sum" dataDxfId="1509" totalsRowDxfId="1508" dataCellStyle="Comma" totalsRowCellStyle="Comma"/>
    <tableColumn id="4" xr3:uid="{762515F4-2F66-471A-83A4-BE59179608FF}" name="Add" dataDxfId="1507" totalsRowDxfId="1506"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9:P143" totalsRowCount="1" headerRowDxfId="1505" dataDxfId="1504" totalsRowDxfId="1503" headerRowCellStyle="Comma" dataCellStyle="Comma" totalsRowCellStyle="Comma">
  <autoFilter ref="B139:P142" xr:uid="{3D0FA759-8479-488D-839B-1BE0075A8A6C}"/>
  <tableColumns count="15">
    <tableColumn id="1" xr3:uid="{A3A5B59D-65BE-4BDD-8D15-A6692B89122C}" name="Kế hoạch ngân sách" totalsRowLabel="Total" dataDxfId="1502" totalsRowDxfId="1501" dataCellStyle="Comma" totalsRowCellStyle="Comma"/>
    <tableColumn id="3" xr3:uid="{9A361F38-A974-4042-8B26-AC09A6AC678E}" name="Tham chiếu" totalsRowFunction="sum" dataDxfId="1500" totalsRowDxfId="1499" dataCellStyle="Comma" totalsRowCellStyle="Comma">
      <calculatedColumnFormula array="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calculatedColumnFormula>
    </tableColumn>
    <tableColumn id="29" xr3:uid="{814D5643-16CD-47F4-A1E0-208A06B8A9D3}" name="Tháng 1" totalsRowFunction="sum" dataDxfId="1498" totalsRowDxfId="1497" dataCellStyle="Comma" totalsRowCellStyle="Comma"/>
    <tableColumn id="30" xr3:uid="{7A393414-42CB-443D-9D95-3533718E1A1D}" name="Tháng 2" totalsRowFunction="sum" dataDxfId="1496" totalsRowDxfId="1495" dataCellStyle="Comma" totalsRowCellStyle="Comma"/>
    <tableColumn id="31" xr3:uid="{1547A942-2141-4B1A-981E-FAFA34800349}" name="Tháng 3" totalsRowFunction="sum" dataDxfId="1494" totalsRowDxfId="1493" dataCellStyle="Comma" totalsRowCellStyle="Comma"/>
    <tableColumn id="32" xr3:uid="{4BA2A346-C5A9-4F66-B866-D24B20A9F657}" name="Tháng 4" totalsRowFunction="sum" dataDxfId="1492" totalsRowDxfId="1491" dataCellStyle="Comma" totalsRowCellStyle="Comma"/>
    <tableColumn id="33" xr3:uid="{72D605EF-2B61-4603-BCEA-EDBA2E24899C}" name="Tháng 5" totalsRowFunction="sum" dataDxfId="1490" totalsRowDxfId="1489" dataCellStyle="Comma" totalsRowCellStyle="Comma"/>
    <tableColumn id="34" xr3:uid="{D875344A-BA11-4CC1-BB3B-8739F71AC936}" name="Tháng 6" totalsRowFunction="sum" dataDxfId="1488" totalsRowDxfId="1487" dataCellStyle="Comma" totalsRowCellStyle="Comma"/>
    <tableColumn id="35" xr3:uid="{8B9B1D70-3FB2-4F52-B888-826982A5B247}" name="Tháng 7" totalsRowFunction="sum" dataDxfId="1486" totalsRowDxfId="1485" dataCellStyle="Comma" totalsRowCellStyle="Comma"/>
    <tableColumn id="36" xr3:uid="{0B8202AD-3A51-404D-9F3F-05D009961822}" name="Tháng 8" totalsRowFunction="sum" dataDxfId="1484" totalsRowDxfId="1483" dataCellStyle="Comma" totalsRowCellStyle="Comma"/>
    <tableColumn id="37" xr3:uid="{C122372F-CA84-4684-9337-528B16AB5609}" name="Tháng 9" totalsRowFunction="sum" dataDxfId="1482" totalsRowDxfId="1481" dataCellStyle="Comma" totalsRowCellStyle="Comma"/>
    <tableColumn id="38" xr3:uid="{62E64D4F-8F5D-45B9-B48B-B5ADDCB026D3}" name="Tháng 10" totalsRowFunction="sum" dataDxfId="1480" totalsRowDxfId="1479" dataCellStyle="Comma" totalsRowCellStyle="Comma"/>
    <tableColumn id="39" xr3:uid="{ECACEED0-E3A6-411F-9422-7CEA08BA2E8D}" name="Tháng 11" totalsRowFunction="sum" dataDxfId="1478" totalsRowDxfId="1477" dataCellStyle="Comma" totalsRowCellStyle="Comma"/>
    <tableColumn id="40" xr3:uid="{9697E292-6880-42E7-A8AE-EE172DE9F15A}" name="Tháng 12" totalsRowFunction="sum" dataDxfId="1476" totalsRowDxfId="1475" dataCellStyle="Comma" totalsRowCellStyle="Comma"/>
    <tableColumn id="4" xr3:uid="{39A00EAC-35E2-476E-9C03-58DC60EBCFD7}" name="Add" dataDxfId="1474" totalsRowDxfId="1473" dataCellStyle="Comma" totalsRowCellStyle="Comma"/>
  </tableColumns>
  <tableStyleInfo name="TableStyleMedium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52:P155" totalsRowShown="0" headerRowDxfId="1472" dataDxfId="1471" headerRowCellStyle="Comma" dataCellStyle="Comma">
  <autoFilter ref="B152:P155" xr:uid="{97E71E07-08C3-4D75-87B9-575C55B5318E}"/>
  <tableColumns count="15">
    <tableColumn id="1" xr3:uid="{8C61939D-D1D3-4AA6-B8EC-9BF9733718F4}" name="Lịch khấu hao &amp; lãi vay" dataDxfId="1470" totalsRowDxfId="1469" dataCellStyle="Comma"/>
    <tableColumn id="3" xr3:uid="{EDAC3FF8-E543-464D-9B08-967E5E55A4FA}" name="Tham chiếu" dataDxfId="1468" dataCellStyle="Comma"/>
    <tableColumn id="29" xr3:uid="{B71573E4-B697-46AB-9AAD-919DBC8C2FE4}" name="Tháng 1" dataDxfId="1467" dataCellStyle="Comma"/>
    <tableColumn id="30" xr3:uid="{BB6EF50D-0D28-463F-A546-0322F2AA023F}" name="Tháng 2" dataDxfId="1466" dataCellStyle="Comma"/>
    <tableColumn id="31" xr3:uid="{BEEDA225-F934-4EC8-A044-EF51D67FFEA6}" name="Tháng 3" dataDxfId="1465" dataCellStyle="Comma"/>
    <tableColumn id="32" xr3:uid="{B6239208-B5A0-4BB3-876A-5D5156EDB6DD}" name="Tháng 4" dataDxfId="1464" dataCellStyle="Comma"/>
    <tableColumn id="33" xr3:uid="{7E493B9B-A5A9-4C91-9CC4-83B34E29EE50}" name="Tháng 5" dataDxfId="1463" dataCellStyle="Comma"/>
    <tableColumn id="34" xr3:uid="{37ACC2D8-4DEE-4789-AFB8-5D6B17420595}" name="Tháng 6" dataDxfId="1462" dataCellStyle="Comma"/>
    <tableColumn id="35" xr3:uid="{C38990B5-9F3B-4DB4-9798-79782F699076}" name="Tháng 7" dataDxfId="1461" dataCellStyle="Comma"/>
    <tableColumn id="36" xr3:uid="{11218192-6632-468B-9EE7-26F36E3398AE}" name="Tháng 8" dataDxfId="1460" dataCellStyle="Comma"/>
    <tableColumn id="37" xr3:uid="{CFC4D188-33E2-4A7B-A9BD-E10A0C069D17}" name="Tháng 9" dataDxfId="1459" dataCellStyle="Comma"/>
    <tableColumn id="38" xr3:uid="{98901CFD-0E90-426A-B1AE-8391DAC8D976}" name="Tháng 10" dataDxfId="1458" dataCellStyle="Comma"/>
    <tableColumn id="39" xr3:uid="{1F566442-3E89-4C65-9077-775BF6EF3FB6}" name="Tháng 11" dataDxfId="1457" dataCellStyle="Comma"/>
    <tableColumn id="40" xr3:uid="{58E047CC-369A-45E9-970B-69863F3C0B10}" name="Tháng 12" dataDxfId="1456" dataCellStyle="Comma"/>
    <tableColumn id="4" xr3:uid="{A3D771E3-1BF0-4769-9E5D-0A43A6EE075D}" name="Add" dataDxfId="1455" dataCellStyle="Comma"/>
  </tableColumns>
  <tableStyleInfo name="TableStyleMedium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6:P149" totalsRowCount="1" headerRowDxfId="1454" dataDxfId="1453" totalsRowDxfId="1452" headerRowCellStyle="Comma" dataCellStyle="Comma" totalsRowCellStyle="Comma">
  <autoFilter ref="B146:P148" xr:uid="{9E645D46-1A44-4F2B-8728-BC01BC6E8461}"/>
  <tableColumns count="15">
    <tableColumn id="1" xr3:uid="{5AA33CFF-2395-41B5-BF4C-27903568360B}" name="Kế hoạch ngân sách" totalsRowLabel="Total" dataDxfId="1451" totalsRowDxfId="1450" dataCellStyle="Comma" totalsRowCellStyle="Comma"/>
    <tableColumn id="3" xr3:uid="{DAE9A5E1-2CB3-4173-B33F-044FDCA10A62}" name="Tham chiếu" totalsRowFunction="sum" dataDxfId="1449" totalsRowDxfId="1448" dataCellStyle="Comma" totalsRowCellStyle="Comma">
      <calculatedColumnFormula array="1"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calculatedColumnFormula>
    </tableColumn>
    <tableColumn id="29" xr3:uid="{89D89AB7-BC0F-4F78-B5ED-5E36151E42EB}" name="Tháng 1" totalsRowFunction="sum" dataDxfId="1447" totalsRowDxfId="1446" dataCellStyle="Comma" totalsRowCellStyle="Comma"/>
    <tableColumn id="30" xr3:uid="{34C4D473-7E36-46F9-9EBA-E56D5FD0E172}" name="Tháng 2" totalsRowFunction="sum" dataDxfId="1445" totalsRowDxfId="1444" dataCellStyle="Comma" totalsRowCellStyle="Comma"/>
    <tableColumn id="31" xr3:uid="{20ECC82F-669A-4503-8155-4E0BD0CD521E}" name="Tháng 3" totalsRowFunction="sum" dataDxfId="1443" totalsRowDxfId="1442" dataCellStyle="Comma" totalsRowCellStyle="Comma"/>
    <tableColumn id="32" xr3:uid="{D7DF4C08-EF0D-459E-A993-EC17AB53D1BF}" name="Tháng 4" totalsRowFunction="sum" dataDxfId="1441" totalsRowDxfId="1440" dataCellStyle="Comma" totalsRowCellStyle="Comma"/>
    <tableColumn id="33" xr3:uid="{508CE090-5BF6-43D6-9AA3-7D2F39531309}" name="Tháng 5" totalsRowFunction="sum" dataDxfId="1439" totalsRowDxfId="1438" dataCellStyle="Comma" totalsRowCellStyle="Comma"/>
    <tableColumn id="34" xr3:uid="{6E7DB939-A67C-4B62-A246-94DEF021C7FA}" name="Tháng 6" totalsRowFunction="sum" dataDxfId="1437" totalsRowDxfId="1436" dataCellStyle="Comma" totalsRowCellStyle="Comma"/>
    <tableColumn id="35" xr3:uid="{E8F31322-4527-4EB4-8EBD-8E8CFD5F5E16}" name="Tháng 7" totalsRowFunction="sum" dataDxfId="1435" totalsRowDxfId="1434" dataCellStyle="Comma" totalsRowCellStyle="Comma"/>
    <tableColumn id="36" xr3:uid="{749398F3-9AB9-41DA-86BA-A41AB260C8A0}" name="Tháng 8" totalsRowFunction="sum" dataDxfId="1433" totalsRowDxfId="1432" dataCellStyle="Comma" totalsRowCellStyle="Comma"/>
    <tableColumn id="37" xr3:uid="{679E67DA-BE73-4F1E-904E-D4BAB51D59D2}" name="Tháng 9" totalsRowFunction="sum" dataDxfId="1431" totalsRowDxfId="1430" dataCellStyle="Comma" totalsRowCellStyle="Comma"/>
    <tableColumn id="38" xr3:uid="{C8B5B370-BD7A-42F4-ACA7-19D7B1064E9D}" name="Tháng 10" totalsRowFunction="sum" dataDxfId="1429" totalsRowDxfId="1428" dataCellStyle="Comma" totalsRowCellStyle="Comma"/>
    <tableColumn id="39" xr3:uid="{00FB2879-3329-4378-ACCB-05253AA210A9}" name="Tháng 11" totalsRowFunction="sum" dataDxfId="1427" totalsRowDxfId="1426" dataCellStyle="Comma" totalsRowCellStyle="Comma"/>
    <tableColumn id="40" xr3:uid="{EF5EC11B-262C-449B-BCD4-40B6D08C6A4E}" name="Tháng 12" totalsRowFunction="sum" dataDxfId="1425" totalsRowDxfId="1424" dataCellStyle="Comma" totalsRowCellStyle="Comma"/>
    <tableColumn id="4" xr3:uid="{CCC250CA-6149-4031-BDD7-4D41AD38E16A}" name="Add" dataDxfId="1423" totalsRowDxfId="1422" dataCellStyle="Comma" totalsRowCellStyle="Comma"/>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82:P84" totalsRowCount="1" headerRowDxfId="1421" dataDxfId="1420" totalsRowDxfId="1419">
  <autoFilter ref="B82:P83" xr:uid="{90CB3F43-228B-42C8-8033-82A9C464218A}"/>
  <tableColumns count="15">
    <tableColumn id="1" xr3:uid="{3372742A-D250-4646-8967-F0313A30B44F}" name="Kế hoạch chi phí nguyên liệu, vật tư" totalsRowLabel="Total" dataDxfId="1418" totalsRowDxfId="1417" dataCellStyle="Comma" totalsRowCellStyle="Comma"/>
    <tableColumn id="3" xr3:uid="{44871731-2E3E-470C-8662-4B271913AE86}" name="Tham chiếu" totalsRowFunction="sum" dataDxfId="1416" totalsRowDxfId="1415" dataCellStyle="Comma" totalsRowCellStyle="Comma">
      <calculatedColumnFormula array="1">-IFERROR(
SUM(_xlfn._xlws.FILTER(Table_TonKho[Chi phí ghi nhận],
(Table_TonKho[Nguyên liệu] = Table_KeHoach_ChiPhiVatTuSX[[#This Row],[Kế hoạch chi phí nguyên liệu, vật tư]]) *
(Table_TonKho[Kỳ] &gt;=BCQT_BatDau) *
(Table_TonKho[Kỳ] &lt;BCQT_KetThuc)
)),0) /
ROUND((BCQT_KetThuc-BCQT_BatDau)/(365.25/12),0)</calculatedColumnFormula>
    </tableColumn>
    <tableColumn id="27" xr3:uid="{8ED96F53-513C-4E33-A5C5-182322C75381}" name="Tháng 1" totalsRowFunction="sum" dataDxfId="1414" totalsRowDxfId="1413" dataCellStyle="Comma" totalsRowCellStyle="Comma"/>
    <tableColumn id="28" xr3:uid="{EB268450-C92C-4EF4-B250-D1327E4DB0DD}" name="Tháng 2" totalsRowFunction="sum" dataDxfId="1412" totalsRowDxfId="1411" dataCellStyle="Comma" totalsRowCellStyle="Comma"/>
    <tableColumn id="29" xr3:uid="{9F8929A2-D8E6-4D5D-85C6-982E5C57DFB2}" name="Tháng 3" totalsRowFunction="sum" dataDxfId="1410" totalsRowDxfId="1409" dataCellStyle="Comma" totalsRowCellStyle="Comma"/>
    <tableColumn id="30" xr3:uid="{3B0680D1-6885-4501-8FDB-F1318F6CB0D8}" name="Tháng 4" totalsRowFunction="sum" dataDxfId="1408" totalsRowDxfId="1407" dataCellStyle="Comma" totalsRowCellStyle="Comma"/>
    <tableColumn id="31" xr3:uid="{BBAA5574-2400-46B0-9AF9-20B2BFDBD9DF}" name="Tháng 5" totalsRowFunction="sum" dataDxfId="1406" totalsRowDxfId="1405" dataCellStyle="Comma" totalsRowCellStyle="Comma"/>
    <tableColumn id="32" xr3:uid="{25BFBF1C-5AF4-49AE-8773-D775BD10541C}" name="Tháng 6" totalsRowFunction="sum" dataDxfId="1404" totalsRowDxfId="1403" dataCellStyle="Comma" totalsRowCellStyle="Comma"/>
    <tableColumn id="33" xr3:uid="{9DD9B0AB-9ADC-404B-A15A-150336570D6B}" name="Tháng 7" totalsRowFunction="sum" dataDxfId="1402" totalsRowDxfId="1401" dataCellStyle="Comma" totalsRowCellStyle="Comma"/>
    <tableColumn id="34" xr3:uid="{DB26B895-DA94-430D-B8B1-C4810F234A02}" name="Tháng 8" totalsRowFunction="sum" dataDxfId="1400" totalsRowDxfId="1399" dataCellStyle="Comma" totalsRowCellStyle="Comma"/>
    <tableColumn id="35" xr3:uid="{B41AAD7F-0471-425C-9C94-E0F57D8A3FD4}" name="Tháng 9" totalsRowFunction="sum" dataDxfId="1398" totalsRowDxfId="1397" dataCellStyle="Comma" totalsRowCellStyle="Comma"/>
    <tableColumn id="36" xr3:uid="{3C7456A8-64D5-4793-A017-A86820EA5328}" name="Tháng 10" totalsRowFunction="sum" dataDxfId="1396" totalsRowDxfId="1395" dataCellStyle="Comma" totalsRowCellStyle="Comma"/>
    <tableColumn id="37" xr3:uid="{4A752FBB-A857-49FA-9DFF-0746C4B7C7B3}" name="Tháng 11" totalsRowFunction="sum" dataDxfId="1394" totalsRowDxfId="1393" dataCellStyle="Comma" totalsRowCellStyle="Comma"/>
    <tableColumn id="38" xr3:uid="{25FB919C-492A-46B1-B521-987406C79B89}" name="Tháng 12" totalsRowFunction="sum" dataDxfId="1392" totalsRowDxfId="1391" dataCellStyle="Comma" totalsRowCellStyle="Comma"/>
    <tableColumn id="4" xr3:uid="{76B04028-0E93-449E-88F6-4D49CB59F867}" name="Add" dataDxfId="1390" totalsRowDxfId="1389"/>
  </tableColumns>
  <tableStyleInfo name="TableStyleMedium3"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7:P89" totalsRowCount="1" headerRowDxfId="1388" dataDxfId="1387" totalsRowDxfId="1386" headerRowCellStyle="Comma" dataCellStyle="Comma" totalsRowCellStyle="Comma">
  <autoFilter ref="B87:P88" xr:uid="{221B0537-5FEB-4DED-A19F-3E6B77DA9996}"/>
  <tableColumns count="15">
    <tableColumn id="1" xr3:uid="{17A55D1D-8A7F-46C4-A78E-E6D88609A0ED}" name="Kế hoạch chi phí tiện ích sản xuất" totalsRowLabel="Total" dataDxfId="1385" totalsRowDxfId="1384" dataCellStyle="Comma" totalsRowCellStyle="Comma"/>
    <tableColumn id="3" xr3:uid="{03133537-8970-47C4-9CB1-F57A233D5355}" name="Tham chiếu" totalsRowFunction="sum" dataDxfId="1383" totalsRowDxfId="1382" dataCellStyle="Comma" totalsRowCellStyle="Comma">
      <calculatedColumnFormula array="1"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7" xr3:uid="{0E5F53FE-DD99-49BB-956B-C5B039632FC3}" name="Tháng 1" totalsRowFunction="sum" dataDxfId="1381" totalsRowDxfId="1380" dataCellStyle="Comma" totalsRowCellStyle="Comma"/>
    <tableColumn id="28" xr3:uid="{408F329E-A3BD-4780-A836-586D06F3F5F6}" name="Tháng 2" totalsRowFunction="sum" dataDxfId="1379" totalsRowDxfId="1378" dataCellStyle="Comma" totalsRowCellStyle="Comma"/>
    <tableColumn id="29" xr3:uid="{93B60ABC-5251-432D-8B09-2C62360426B9}" name="Tháng 3" totalsRowFunction="sum" dataDxfId="1377" totalsRowDxfId="1376" dataCellStyle="Comma" totalsRowCellStyle="Comma"/>
    <tableColumn id="30" xr3:uid="{8CA584FC-B8D9-4903-8138-100091B50430}" name="Tháng 4" totalsRowFunction="sum" dataDxfId="1375" totalsRowDxfId="1374" dataCellStyle="Comma" totalsRowCellStyle="Comma"/>
    <tableColumn id="31" xr3:uid="{D7148F32-51F6-407D-BA56-EEF0BAAFF045}" name="Tháng 5" totalsRowFunction="sum" dataDxfId="1373" totalsRowDxfId="1372" dataCellStyle="Comma" totalsRowCellStyle="Comma"/>
    <tableColumn id="32" xr3:uid="{E4B3771C-3F5D-4E1B-B8C5-F0AB7A779F31}" name="Tháng 6" totalsRowFunction="sum" dataDxfId="1371" totalsRowDxfId="1370" dataCellStyle="Comma" totalsRowCellStyle="Comma"/>
    <tableColumn id="33" xr3:uid="{BB5112F1-DF2B-46EF-A759-0B8526A16202}" name="Tháng 7" totalsRowFunction="sum" dataDxfId="1369" totalsRowDxfId="1368" dataCellStyle="Comma" totalsRowCellStyle="Comma"/>
    <tableColumn id="34" xr3:uid="{53491907-D6B4-44B1-B631-825C9AB3EAC9}" name="Tháng 8" totalsRowFunction="sum" dataDxfId="1367" totalsRowDxfId="1366" dataCellStyle="Comma" totalsRowCellStyle="Comma"/>
    <tableColumn id="35" xr3:uid="{DBD3DFBF-CB4A-4279-B26F-2294BD4221B8}" name="Tháng 9" totalsRowFunction="sum" dataDxfId="1365" totalsRowDxfId="1364" dataCellStyle="Comma" totalsRowCellStyle="Comma"/>
    <tableColumn id="36" xr3:uid="{99835027-2C0C-4E07-8D04-B5AEE2FCAED3}" name="Tháng 10" totalsRowFunction="sum" dataDxfId="1363" totalsRowDxfId="1362" dataCellStyle="Comma" totalsRowCellStyle="Comma"/>
    <tableColumn id="37" xr3:uid="{E54489E3-CF50-4AF1-8114-420E4169CF1C}" name="Tháng 11" totalsRowFunction="sum" dataDxfId="1361" totalsRowDxfId="1360" dataCellStyle="Comma" totalsRowCellStyle="Comma"/>
    <tableColumn id="38" xr3:uid="{81D93D54-7809-486C-8C6D-B20D35EC3603}" name="Tháng 12" totalsRowFunction="sum" dataDxfId="1359" totalsRowDxfId="1358" dataCellStyle="Comma" totalsRowCellStyle="Comma"/>
    <tableColumn id="4" xr3:uid="{D87FE2DC-D034-48F9-B0EF-D04F9DE6812D}" name="Add" dataDxfId="1357" totalsRowDxfId="1356" dataCellStyle="Comma" totalsRowCellStyle="Comma"/>
  </tableColumns>
  <tableStyleInfo name="TableStyleMedium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7:P108" totalsRowShown="0" headerRowDxfId="1355" dataDxfId="1354" headerRowCellStyle="Percent" dataCellStyle="Percent">
  <autoFilter ref="B107:P108" xr:uid="{6F4378BF-C48C-4BF7-978E-B05133837A9C}"/>
  <tableColumns count="15">
    <tableColumn id="1" xr3:uid="{0AB704CD-6E77-4A19-8A14-44B491ED44A9}" name="Kế hoạch tỷ lệ CK thanh toán" dataDxfId="1353" dataCellStyle="Percent"/>
    <tableColumn id="3" xr3:uid="{2D2F2141-648C-44C4-A38F-63B74B7ADD09}" name="Tham chiếu" dataDxfId="1352" dataCellStyle="Percent">
      <calculatedColumnFormula array="1">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calculatedColumnFormula>
    </tableColumn>
    <tableColumn id="27" xr3:uid="{8572BB42-B998-4847-BD79-619E9E413158}" name="Tháng 1" dataDxfId="1351" dataCellStyle="Percent"/>
    <tableColumn id="28" xr3:uid="{84EE1221-DEC1-4F70-9345-67F537D90FF1}" name="Tháng 2" dataDxfId="1350" dataCellStyle="Percent"/>
    <tableColumn id="29" xr3:uid="{529C4CF1-0CD0-4188-9775-240208D63558}" name="Tháng 3" dataDxfId="1349" dataCellStyle="Percent"/>
    <tableColumn id="30" xr3:uid="{388C03E3-701B-43CD-98FF-FB59C839699F}" name="Tháng 4" dataDxfId="1348" dataCellStyle="Percent"/>
    <tableColumn id="31" xr3:uid="{A27FB24F-7DB3-45CA-9BB7-26DE3660DD4A}" name="Tháng 5" dataDxfId="1347" dataCellStyle="Percent"/>
    <tableColumn id="32" xr3:uid="{CDFB964C-256B-4671-9E9A-6736F6E35215}" name="Tháng 6" dataDxfId="1346" dataCellStyle="Percent"/>
    <tableColumn id="33" xr3:uid="{9F5978D1-9D0F-435B-B981-77F26AB879EC}" name="Tháng 7" dataDxfId="1345" dataCellStyle="Percent"/>
    <tableColumn id="34" xr3:uid="{9C76757D-0A13-4B88-A3E0-8FB691A90FD6}" name="Tháng 8" dataDxfId="1344" dataCellStyle="Percent"/>
    <tableColumn id="35" xr3:uid="{42FBE347-EDDD-4577-A72B-093288F992EA}" name="Tháng 9" dataDxfId="1343" dataCellStyle="Percent"/>
    <tableColumn id="36" xr3:uid="{C10786ED-D15A-4048-B931-CE8FE052E0BB}" name="Tháng 10" dataDxfId="1342" dataCellStyle="Percent"/>
    <tableColumn id="37" xr3:uid="{E0E1F05E-4DF9-48A2-A327-71B98B576B04}" name="Tháng 11" dataDxfId="1341" dataCellStyle="Percent"/>
    <tableColumn id="38" xr3:uid="{1B2BC369-8B67-4EA4-B6B1-78066DCB5241}" name="Tháng 12" dataDxfId="1340" dataCellStyle="Percent"/>
    <tableColumn id="4" xr3:uid="{AD6DF885-CE62-49F9-A015-3CAAF11FE2E4}" name="Add" dataDxfId="1339" dataCellStyle="Percent"/>
  </tableColumns>
  <tableStyleInfo name="TableStyleMedium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11:P112" totalsRowShown="0" headerRowDxfId="1338" dataDxfId="1337" headerRowCellStyle="Percent" dataCellStyle="Percent">
  <autoFilter ref="B111:P112" xr:uid="{4DB4E945-1A05-4874-A72A-EEAF59322C13}"/>
  <tableColumns count="15">
    <tableColumn id="1" xr3:uid="{EBB5E7C6-D939-4589-8704-A0CFFC685DB4}" name="Kế hoạch tỷ trọng doanh thu" dataDxfId="1336" dataCellStyle="Percent"/>
    <tableColumn id="3" xr3:uid="{F510D5AB-1223-433A-9DD7-BB949C5603C7}" name="Tham chiếu" dataDxfId="1335" dataCellStyle="Percent">
      <calculatedColumnFormula array="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calculatedColumnFormula>
    </tableColumn>
    <tableColumn id="27" xr3:uid="{DFF02D24-4281-4ED6-A6C5-733B4AECC52A}" name="Tháng 1" dataDxfId="1334" dataCellStyle="Percent"/>
    <tableColumn id="28" xr3:uid="{AC15DDAC-1488-496D-A1FD-755A17C1765C}" name="Tháng 2" dataDxfId="1333" dataCellStyle="Percent"/>
    <tableColumn id="29" xr3:uid="{8F89C81C-9306-4476-9065-1C9055D23101}" name="Tháng 3" dataDxfId="1332" dataCellStyle="Percent"/>
    <tableColumn id="30" xr3:uid="{FB51BEB5-3EBC-4225-AFA9-1582A2D0E694}" name="Tháng 4" dataDxfId="1331" dataCellStyle="Percent"/>
    <tableColumn id="31" xr3:uid="{D59A1D80-6E2A-4F74-B9B2-3CB8EE5D48AC}" name="Tháng 5" dataDxfId="1330" dataCellStyle="Percent"/>
    <tableColumn id="32" xr3:uid="{B5BA3823-4DA6-4052-877C-67FB19C2D153}" name="Tháng 6" dataDxfId="1329" dataCellStyle="Percent"/>
    <tableColumn id="33" xr3:uid="{87A57697-B2D6-4D67-AF6D-87B1A2F2031D}" name="Tháng 7" dataDxfId="1328" dataCellStyle="Percent"/>
    <tableColumn id="34" xr3:uid="{52576BFB-2F7A-44B4-BE29-972875199C82}" name="Tháng 8" dataDxfId="1327" dataCellStyle="Percent"/>
    <tableColumn id="35" xr3:uid="{60667DE0-46F3-41A5-B737-276C5E83E46B}" name="Tháng 9" dataDxfId="1326" dataCellStyle="Percent"/>
    <tableColumn id="36" xr3:uid="{79D79A59-26BF-4C3B-BAB3-FCDB2B9DBFA0}" name="Tháng 10" dataDxfId="1325" dataCellStyle="Percent"/>
    <tableColumn id="37" xr3:uid="{EE95E868-2995-43EE-8E53-035105D694A9}" name="Tháng 11" dataDxfId="1324" dataCellStyle="Percent"/>
    <tableColumn id="38" xr3:uid="{1C4C6182-AF5E-42F6-A7FF-40D2E44EBD89}" name="Tháng 12" dataDxfId="1323" dataCellStyle="Percent"/>
    <tableColumn id="4" xr3:uid="{18EAC69D-6080-4C06-8FE2-E9D20A33237A}" name="Add" dataDxfId="1322" dataCellStyle="Percent"/>
  </tableColumns>
  <tableStyleInfo name="TableStyleMedium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5:P117" totalsRowCount="1" headerRowDxfId="1321" dataDxfId="1320" totalsRowDxfId="1319" headerRowCellStyle="Comma" dataCellStyle="Comma" totalsRowCellStyle="Comma">
  <autoFilter ref="B115:P116" xr:uid="{4E79D7EF-FE20-446B-8CC3-46D2CC3EA444}"/>
  <tableColumns count="15">
    <tableColumn id="1" xr3:uid="{26A35DC7-8E8B-45E3-BB3A-C37DFD8EE114}" name="Kế hoạch chi phí thanh toán" totalsRowLabel="Total" dataDxfId="1318" totalsRowDxfId="1317" dataCellStyle="Comma" totalsRowCellStyle="Comma"/>
    <tableColumn id="3" xr3:uid="{57AF8CD3-7273-4172-8B35-08BB4E2A0CEF}" name="Tham chiếu" totalsRowFunction="sum" dataDxfId="1316" totalsRowDxfId="1315" dataCellStyle="Comma" totalsRowCellStyle="Comma">
      <calculatedColumnFormula array="1">-IFERROR(
SUM(_xlfn._xlws.FILTER(Table_ThuChiKD[Phí GD],
(Table_ThuChiKD[TK GD] = Table_KeHoach_ChiPhiThanhToan[[#This Row],[Kế hoạch chi phí thanh toán]]) *
(Table_ThuChiKD[Ngày GD] &gt;=BCQT_BatDau) *
(Table_ThuChiKD[Ngày GD] &lt; BCQT_KetThuc )
)),0)/
ROUND((BCQT_KetThuc-BCQT_BatDau)/(365.25/12),0)</calculatedColumnFormula>
    </tableColumn>
    <tableColumn id="27" xr3:uid="{86C37662-7BBE-4106-9E4A-7220856970C4}" name="Tháng 1" totalsRowFunction="sum" dataDxfId="1314" totalsRowDxfId="1313" dataCellStyle="Comma" totalsRowCellStyle="Comma">
      <calculatedColumnFormula>-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calculatedColumnFormula>
    </tableColumn>
    <tableColumn id="28" xr3:uid="{3C1FD459-BE52-476C-A231-93612BDC781D}" name="Tháng 2" totalsRowFunction="sum" dataDxfId="1312" totalsRowDxfId="1311" dataCellStyle="Comma" totalsRowCellStyle="Comma">
      <calculatedColumnFormula>-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calculatedColumnFormula>
    </tableColumn>
    <tableColumn id="29" xr3:uid="{44E99AC0-CE1E-4FEA-B1EC-56FE319B7BDB}" name="Tháng 3" totalsRowFunction="sum" dataDxfId="1310" totalsRowDxfId="1309" dataCellStyle="Comma" totalsRowCellStyle="Comma">
      <calculatedColumnFormula>-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calculatedColumnFormula>
    </tableColumn>
    <tableColumn id="30" xr3:uid="{96C0360B-2A89-485D-AF92-3B6FF178430A}" name="Tháng 4" totalsRowFunction="sum" dataDxfId="1308" totalsRowDxfId="1307" dataCellStyle="Comma" totalsRowCellStyle="Comma">
      <calculatedColumnFormula>-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calculatedColumnFormula>
    </tableColumn>
    <tableColumn id="31" xr3:uid="{42586720-5824-4FE3-A8DF-B80FDE5EF3D4}" name="Tháng 5" totalsRowFunction="sum" dataDxfId="1306" totalsRowDxfId="1305" dataCellStyle="Comma" totalsRowCellStyle="Comma">
      <calculatedColumnFormula>-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calculatedColumnFormula>
    </tableColumn>
    <tableColumn id="32" xr3:uid="{07F0297E-062C-4051-8E96-4FA401FF61A4}" name="Tháng 6" totalsRowFunction="sum" dataDxfId="1304" totalsRowDxfId="1303" dataCellStyle="Comma" totalsRowCellStyle="Comma">
      <calculatedColumnFormula>-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calculatedColumnFormula>
    </tableColumn>
    <tableColumn id="33" xr3:uid="{B905C123-8F78-469A-881C-7FF04EC6AA39}" name="Tháng 7" totalsRowFunction="sum" dataDxfId="1302" totalsRowDxfId="1301" dataCellStyle="Comma" totalsRowCellStyle="Comma">
      <calculatedColumnFormula>-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calculatedColumnFormula>
    </tableColumn>
    <tableColumn id="34" xr3:uid="{7F55150A-0CF2-4CFB-BFE1-2A95E9D95074}" name="Tháng 8" totalsRowFunction="sum" dataDxfId="1300" totalsRowDxfId="1299" dataCellStyle="Comma" totalsRowCellStyle="Comma">
      <calculatedColumnFormula>-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calculatedColumnFormula>
    </tableColumn>
    <tableColumn id="35" xr3:uid="{73FA5353-45C9-4ED4-999D-14E70B99E824}" name="Tháng 9" totalsRowFunction="sum" dataDxfId="1298" totalsRowDxfId="1297" dataCellStyle="Comma" totalsRowCellStyle="Comma">
      <calculatedColumnFormula>-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calculatedColumnFormula>
    </tableColumn>
    <tableColumn id="36" xr3:uid="{D4791067-9357-49C2-84E1-DFAC0F17A84F}" name="Tháng 10" totalsRowFunction="sum" dataDxfId="1296" totalsRowDxfId="1295" dataCellStyle="Comma" totalsRowCellStyle="Comma">
      <calculatedColumnFormula>-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calculatedColumnFormula>
    </tableColumn>
    <tableColumn id="37" xr3:uid="{5611D5E6-8D29-43D1-9B81-864F4CE55C4C}" name="Tháng 11" totalsRowFunction="sum" dataDxfId="1294" totalsRowDxfId="1293" dataCellStyle="Comma" totalsRowCellStyle="Comma">
      <calculatedColumnFormula>-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calculatedColumnFormula>
    </tableColumn>
    <tableColumn id="38" xr3:uid="{8181C98D-3CAA-4B60-8AD7-1538621D71FC}" name="Tháng 12" totalsRowFunction="sum" dataDxfId="1292" totalsRowDxfId="1291" dataCellStyle="Comma" totalsRowCellStyle="Comma">
      <calculatedColumnFormula>-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calculatedColumnFormula>
    </tableColumn>
    <tableColumn id="4" xr3:uid="{B0478169-E6F8-42CC-8421-DE117A26B7F0}" name="Add" dataDxfId="1290" totalsRowDxfId="1289" dataCellStyle="Comma" totalsRowCellStyle="Comma"/>
  </tableColumns>
  <tableStyleInfo name="TableStyleMedium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8:P70" totalsRowShown="0" headerRowDxfId="1288" dataDxfId="1287">
  <autoFilter ref="B68:P70" xr:uid="{0C63FCA5-374F-45E9-B948-7D48CC19EBA8}"/>
  <tableColumns count="15">
    <tableColumn id="1" xr3:uid="{76415C8B-364D-4D08-A827-14CA674598A8}" name="Kế hoạch chiết khấu thương mại" dataDxfId="1286"/>
    <tableColumn id="3" xr3:uid="{2D1F0164-FE3F-4FC6-81B1-670A52FB817F}" name="Tham chiếu" dataDxfId="1285">
      <calculatedColumnFormula>-C70/Table_KeHoach_DoanhThu[[#Totals],[Tham chiếu]]</calculatedColumnFormula>
    </tableColumn>
    <tableColumn id="27" xr3:uid="{F4421827-F4C5-411A-96EC-B157E5401B70}" name="Tháng 1" dataDxfId="1284">
      <calculatedColumnFormula>IFERROR(-D68*SUM(Table_KeHoach_SanLuong[Tháng 1]),0)</calculatedColumnFormula>
    </tableColumn>
    <tableColumn id="28" xr3:uid="{3D5D0C1B-0AF8-4F92-BBAC-01DC57CAA70C}" name="Tháng 2" dataDxfId="1283">
      <calculatedColumnFormula>-E68*SUM(Table_KeHoach_SanLuong[Tháng 1])</calculatedColumnFormula>
    </tableColumn>
    <tableColumn id="29" xr3:uid="{2184DEE7-0896-49DE-836E-27156D3DB4E3}" name="Tháng 3" dataDxfId="1282">
      <calculatedColumnFormula>-F68*SUM(Table_KeHoach_SanLuong[Tháng 1])</calculatedColumnFormula>
    </tableColumn>
    <tableColumn id="30" xr3:uid="{C24C7C88-ED1E-45EC-A3F8-182C13247E9C}" name="Tháng 4" dataDxfId="1281">
      <calculatedColumnFormula>-G68*SUM(Table_KeHoach_SanLuong[Tháng 1])</calculatedColumnFormula>
    </tableColumn>
    <tableColumn id="31" xr3:uid="{BB7AD995-EE6B-4BF7-A5F7-FCADABCEA453}" name="Tháng 5" dataDxfId="1280">
      <calculatedColumnFormula>-H68*SUM(Table_KeHoach_SanLuong[Tháng 1])</calculatedColumnFormula>
    </tableColumn>
    <tableColumn id="32" xr3:uid="{76BFFA42-73D8-439A-9CD4-3BBB1077ADC8}" name="Tháng 6" dataDxfId="1279">
      <calculatedColumnFormula>-I68*SUM(Table_KeHoach_SanLuong[Tháng 1])</calculatedColumnFormula>
    </tableColumn>
    <tableColumn id="33" xr3:uid="{32662CD6-B520-4DC0-9AD1-2C6240AFB0B2}" name="Tháng 7" dataDxfId="1278">
      <calculatedColumnFormula>-J68*SUM(Table_KeHoach_SanLuong[Tháng 1])</calculatedColumnFormula>
    </tableColumn>
    <tableColumn id="34" xr3:uid="{2E0AEA39-18D9-4BA8-AFDD-957A02179027}" name="Tháng 8" dataDxfId="1277">
      <calculatedColumnFormula>-K68*SUM(Table_KeHoach_SanLuong[Tháng 1])</calculatedColumnFormula>
    </tableColumn>
    <tableColumn id="35" xr3:uid="{D0234ED1-E665-4A9E-BB14-46DADF752A7F}" name="Tháng 9" dataDxfId="1276">
      <calculatedColumnFormula>-L68*SUM(Table_KeHoach_SanLuong[Tháng 1])</calculatedColumnFormula>
    </tableColumn>
    <tableColumn id="36" xr3:uid="{AD609898-BC6C-4B43-B083-24250902B7C3}" name="Tháng 10" dataDxfId="1275">
      <calculatedColumnFormula>-M68*SUM(Table_KeHoach_SanLuong[Tháng 1])</calculatedColumnFormula>
    </tableColumn>
    <tableColumn id="37" xr3:uid="{BAAC8AB2-3DB4-4465-A261-52A69FB1BEF0}" name="Tháng 11" dataDxfId="1274">
      <calculatedColumnFormula>-N68*SUM(Table_KeHoach_SanLuong[Tháng 1])</calculatedColumnFormula>
    </tableColumn>
    <tableColumn id="38" xr3:uid="{BC8D763A-019F-43F4-BDD8-DB95305BE6E2}" name="Tháng 12" dataDxfId="1273">
      <calculatedColumnFormula>-O68*SUM(Table_KeHoach_SanLuong[Tháng 1])</calculatedColumnFormula>
    </tableColumn>
    <tableColumn id="4" xr3:uid="{11843696-7620-496B-B09D-CF638E025668}" name="Add" dataDxfId="1272">
      <calculatedColumnFormula>IFERROR(-P68*Table_KeHoach_DoanhThu[[#Totals],[Tháng 1]],0)</calculatedColumnFormula>
    </tableColumn>
  </tableColumns>
  <tableStyleInfo name="TableStyleMedium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R6:T47" totalsRowShown="0" headerRowDxfId="1271" dataDxfId="1270">
  <autoFilter ref="R6:T47" xr:uid="{1035B389-90D7-47BF-AE83-78827CD02611}"/>
  <tableColumns count="3">
    <tableColumn id="1" xr3:uid="{D1EA0B06-F776-4AE7-AFFA-8DDC0BEBB2C7}" name="Gtri" dataDxfId="1269"/>
    <tableColumn id="2" xr3:uid="{0706F8C0-4E8F-4E17-944F-ADD88182B0AD}" name="Năm đầu"/>
    <tableColumn id="15" xr3:uid="{0A76CFCF-213F-4B57-ACE5-C49B82D60DF1}" name="Add" dataDxfId="1268"/>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V6:X47" totalsRowShown="0" headerRowDxfId="1267" dataDxfId="1266">
  <autoFilter ref="V6:X47" xr:uid="{F0D1B767-E383-406E-8FDE-2130594FDFAA}"/>
  <tableColumns count="3">
    <tableColumn id="1" xr3:uid="{E01F3758-F6DC-4D50-BA14-C5C056EB4B41}" name="Gtri" dataDxfId="1265"/>
    <tableColumn id="2" xr3:uid="{CB73AAAC-EF9D-4925-906C-58B5DD9788C4}" name="Tháng" dataDxfId="1264" dataCellStyle="Comma"/>
    <tableColumn id="15" xr3:uid="{4E548353-44A3-44DF-A1B7-3D2C4835FE97}" name="Add" dataDxfId="1263" dataCellStyle="Comma"/>
  </tableColumns>
  <tableStyleInfo name="TableStyleMedium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0D11160-D408-4F9E-8B62-E6189C384C94}" name="Table_KeHoach_TyTrongThang" displayName="Table_KeHoach_TyTrongThang" ref="B50:P51" totalsRowShown="0" headerRowDxfId="1262" dataDxfId="1261">
  <autoFilter ref="B50:P51" xr:uid="{E0D11160-D408-4F9E-8B62-E6189C384C94}"/>
  <tableColumns count="15">
    <tableColumn id="1" xr3:uid="{16C9D670-EA68-4A8B-8672-EE3107C3457C}" name="Tăng trưởng sản lượng" dataDxfId="1260"/>
    <tableColumn id="4" xr3:uid="{552A8344-0BA7-4A80-9F4F-C60A1502FBBF}" name="Tăng trưởng năm" dataDxfId="1259" dataCellStyle="Percent">
      <calculatedColumnFormula array="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calculatedColumnFormula>
    </tableColumn>
    <tableColumn id="29" xr3:uid="{9B8A7F6E-897A-44BE-BD66-B660519A701D}" name="Tháng 1" dataDxfId="125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0" xr3:uid="{8EF1BEEF-325B-4442-BB24-1F43AC12FFA3}" name="Tháng 2" dataDxfId="125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1" xr3:uid="{E04AA4CF-F4E3-4DCF-8E7A-D54722B46F67}" name="Tháng 3" dataDxfId="1256"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2" xr3:uid="{F63803E2-3B6F-4126-81EA-2C9E579D5991}" name="Tháng 4" dataDxfId="1255"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3" xr3:uid="{874CE8E0-0A71-4303-A7B7-5FB1B611EE8C}" name="Tháng 5" dataDxfId="1254"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4" xr3:uid="{7CA199D1-3DB8-43FB-8755-3CBCCABF080A}" name="Tháng 6" dataDxfId="1253"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5" xr3:uid="{9CC0E82D-F333-4227-8CA5-F1A3CF87188C}" name="Tháng 7" dataDxfId="1252"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6" xr3:uid="{59DBBAB6-3012-4CD6-8537-4389AA6F2953}" name="Tháng 8" dataDxfId="1251"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7" xr3:uid="{0A3FD45B-7275-443A-8DBC-86E07F136B40}" name="Tháng 9" dataDxfId="1250"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8" xr3:uid="{5B266711-53AD-44D7-95ED-1DC134679346}" name="Tháng 10" dataDxfId="1249"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9" xr3:uid="{B12019BE-715B-42FF-A5FC-C2FE7364C4B5}" name="Tháng 11" dataDxfId="124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40" xr3:uid="{05232CF4-48AB-496F-830A-FCD5F7BB338B}" name="Tháng 12" dataDxfId="124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 xr3:uid="{5E31E96A-638F-4B28-9985-F643B89D342A}" name="Add" dataDxfId="1246" dataCellStyle="Percent"/>
  </tableColumns>
  <tableStyleInfo name="TableStyleMedium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9:P201" totalsRowCount="1" headerRowDxfId="1245" dataDxfId="1243" headerRowBorderDxfId="1244" tableBorderDxfId="1242">
  <autoFilter ref="B199:P200" xr:uid="{808A2169-8554-4C17-96AC-814597A28FCD}"/>
  <tableColumns count="15">
    <tableColumn id="1" xr3:uid="{49D0F695-8A6B-4F93-8F8B-468B99DE390C}" name="Kế hoạch cổ tức" totalsRowLabel="      Total      " dataDxfId="1241" totalsRowDxfId="1240"/>
    <tableColumn id="2" xr3:uid="{DD60580E-24DA-42B0-B365-15B56EFBD16B}" name="Tỷ lệ lợi ích" totalsRowFunction="sum" dataDxfId="1239" totalsRowDxfId="1238" dataCellStyle="Percent" totalsRowCellStyle="Percent">
      <calculatedColumnFormula>VLOOKUP(Table_KeHoach_CoTuc[[#This Row],[Kế hoạch cổ tức]],Table_CoDong[],COUNTA(Table_CoDong[[#Headers],[Mã Cổ đông]:[Tỷ lệ chia lợi nhuận]]),0)</calculatedColumnFormula>
    </tableColumn>
    <tableColumn id="3" xr3:uid="{A86E0184-D6A9-4F55-9781-6D86B31090DF}" name="Tháng 1" totalsRowFunction="sum" dataDxfId="1237" totalsRowDxfId="1236" dataCellStyle="Comma" totalsRowCellStyle="Comma">
      <calculatedColumnFormula>Table_KeHoach_CoTuc[[#This Row],[Tỷ lệ lợi ích]]*D$46</calculatedColumnFormula>
    </tableColumn>
    <tableColumn id="4" xr3:uid="{1E3DF815-1A4A-43CB-9723-2E250B7B2039}" name="Tháng 2" totalsRowFunction="sum" dataDxfId="1235" totalsRowDxfId="1234" dataCellStyle="Comma" totalsRowCellStyle="Comma">
      <calculatedColumnFormula>Table_KeHoach_CoTuc[[#This Row],[Tỷ lệ lợi ích]]*E$46</calculatedColumnFormula>
    </tableColumn>
    <tableColumn id="5" xr3:uid="{798EBA13-5C1C-4B3B-886D-7B42854CD1DE}" name="Tháng 3" totalsRowFunction="sum" dataDxfId="1233" totalsRowDxfId="1232" dataCellStyle="Comma" totalsRowCellStyle="Comma">
      <calculatedColumnFormula>Table_KeHoach_CoTuc[[#This Row],[Tỷ lệ lợi ích]]*F$46</calculatedColumnFormula>
    </tableColumn>
    <tableColumn id="6" xr3:uid="{8830216C-BA41-42D5-876B-AE721F398DED}" name="Tháng 4" totalsRowFunction="sum" dataDxfId="1231" totalsRowDxfId="1230" dataCellStyle="Comma" totalsRowCellStyle="Comma">
      <calculatedColumnFormula>Table_KeHoach_CoTuc[[#This Row],[Tỷ lệ lợi ích]]*G$46</calculatedColumnFormula>
    </tableColumn>
    <tableColumn id="7" xr3:uid="{CFBE895E-3AF4-435F-A0A6-AD782E142082}" name="Tháng 5" totalsRowFunction="sum" dataDxfId="1229" totalsRowDxfId="1228" dataCellStyle="Comma" totalsRowCellStyle="Comma">
      <calculatedColumnFormula>Table_KeHoach_CoTuc[[#This Row],[Tỷ lệ lợi ích]]*H$46</calculatedColumnFormula>
    </tableColumn>
    <tableColumn id="8" xr3:uid="{6AF681AF-ADB8-4ED1-A741-AB1B95CE411B}" name="Tháng 6" totalsRowFunction="sum" dataDxfId="1227" totalsRowDxfId="1226" dataCellStyle="Comma" totalsRowCellStyle="Comma">
      <calculatedColumnFormula>Table_KeHoach_CoTuc[[#This Row],[Tỷ lệ lợi ích]]*I$46</calculatedColumnFormula>
    </tableColumn>
    <tableColumn id="9" xr3:uid="{2859DA0C-AB7B-4D95-A27B-C0F30E1235A6}" name="Tháng 7" totalsRowFunction="sum" dataDxfId="1225" totalsRowDxfId="1224" dataCellStyle="Comma" totalsRowCellStyle="Comma">
      <calculatedColumnFormula>Table_KeHoach_CoTuc[[#This Row],[Tỷ lệ lợi ích]]*J$46</calculatedColumnFormula>
    </tableColumn>
    <tableColumn id="10" xr3:uid="{276E9A06-AFA5-4E42-BF42-CD0D2D891F37}" name="Tháng 8" totalsRowFunction="sum" dataDxfId="1223" totalsRowDxfId="1222" dataCellStyle="Comma" totalsRowCellStyle="Comma">
      <calculatedColumnFormula>Table_KeHoach_CoTuc[[#This Row],[Tỷ lệ lợi ích]]*K$46</calculatedColumnFormula>
    </tableColumn>
    <tableColumn id="11" xr3:uid="{E6C25EAF-8AD9-4321-9B36-672D987AE47D}" name="Tháng 9" totalsRowFunction="sum" dataDxfId="1221" totalsRowDxfId="1220" dataCellStyle="Comma" totalsRowCellStyle="Comma">
      <calculatedColumnFormula>Table_KeHoach_CoTuc[[#This Row],[Tỷ lệ lợi ích]]*L$46</calculatedColumnFormula>
    </tableColumn>
    <tableColumn id="12" xr3:uid="{A4509611-8DC1-4631-AD16-64AAC808B76D}" name="Tháng 10" totalsRowFunction="sum" dataDxfId="1219" totalsRowDxfId="1218" dataCellStyle="Comma" totalsRowCellStyle="Comma">
      <calculatedColumnFormula>Table_KeHoach_CoTuc[[#This Row],[Tỷ lệ lợi ích]]*M$46</calculatedColumnFormula>
    </tableColumn>
    <tableColumn id="13" xr3:uid="{94D4291B-9242-43C1-90C3-C2A12092243B}" name="Tháng 11" totalsRowFunction="sum" dataDxfId="1217" totalsRowDxfId="1216" dataCellStyle="Comma" totalsRowCellStyle="Comma">
      <calculatedColumnFormula>Table_KeHoach_CoTuc[[#This Row],[Tỷ lệ lợi ích]]*N$46</calculatedColumnFormula>
    </tableColumn>
    <tableColumn id="14" xr3:uid="{F3EBB3AF-1773-483A-8741-1AFC969F4F19}" name="Tháng 12" totalsRowFunction="sum" dataDxfId="1215" totalsRowDxfId="1214" dataCellStyle="Comma" totalsRowCellStyle="Comma">
      <calculatedColumnFormula>Table_KeHoach_CoTuc[[#This Row],[Tỷ lệ lợi ích]]*O$46</calculatedColumnFormula>
    </tableColumn>
    <tableColumn id="15" xr3:uid="{159C58E5-FDDC-4E10-860D-44AABDEC39DA}" name="Add" dataDxfId="1213" totalsRowDxfId="1212" dataCellStyle="Comma" totalsRowCellStyle="Comma"/>
  </tableColumns>
  <tableStyleInfo name="TableStyleMedium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855090E-2521-4891-8B9A-A1744590F8D1}" name="Table_KeHoach_ThuePhi" displayName="Table_KeHoach_ThuePhi" ref="B158:P162" totalsRowCount="1" headerRowDxfId="1211" dataDxfId="1210" totalsRowDxfId="1209" headerRowCellStyle="Comma" dataCellStyle="Comma" totalsRowCellStyle="Comma">
  <autoFilter ref="B158:P161" xr:uid="{B855090E-2521-4891-8B9A-A1744590F8D1}"/>
  <tableColumns count="15">
    <tableColumn id="1" xr3:uid="{1C669D90-1C61-45F6-B2D9-662BB6E142BA}" name="Thuế phí nộp NS" totalsRowLabel="Total" dataDxfId="1208" totalsRowDxfId="1207" dataCellStyle="Comma" totalsRowCellStyle="Comma"/>
    <tableColumn id="2" xr3:uid="{0161CD46-CFD7-4FAF-9630-C9C251B16E06}" name="Thuế suất TNDN" dataDxfId="1206" totalsRowDxfId="1205" dataCellStyle="Comma" totalsRowCellStyle="Comma"/>
    <tableColumn id="3" xr3:uid="{6AD8D76E-230B-4402-B8A3-95A761F4C0C9}" name="Tháng 1" totalsRowFunction="sum" dataDxfId="1204" totalsRowDxfId="1203" dataCellStyle="Comma" totalsRowCellStyle="Comma">
      <calculatedColumnFormula>Table_KeHoach_ThuePhi[[#This Row],[Thuế suất TNDN]]*(D19-SUM(D22:D28)-D30-SUM(D156:D158))</calculatedColumnFormula>
    </tableColumn>
    <tableColumn id="4" xr3:uid="{6A00ACB8-DB84-4FAE-8F4D-AA93D4893A76}" name="Tháng 2" totalsRowFunction="sum" dataDxfId="1202" totalsRowDxfId="1201" dataCellStyle="Comma" totalsRowCellStyle="Comma">
      <calculatedColumnFormula>+SUM(E156:E158)</calculatedColumnFormula>
    </tableColumn>
    <tableColumn id="5" xr3:uid="{3A10EF93-4296-4A0A-B190-3BD658A4F93A}" name="Tháng 3" totalsRowFunction="sum" dataDxfId="1200" totalsRowDxfId="1199" dataCellStyle="Comma" totalsRowCellStyle="Comma">
      <calculatedColumnFormula>+SUM(F156:F158)</calculatedColumnFormula>
    </tableColumn>
    <tableColumn id="6" xr3:uid="{72085BF3-BF3F-45F5-AF9E-4229A7AA17A4}" name="Tháng 4" totalsRowFunction="sum" dataDxfId="1198" totalsRowDxfId="1197" dataCellStyle="Comma" totalsRowCellStyle="Comma">
      <calculatedColumnFormula>+SUM(G156:G158)</calculatedColumnFormula>
    </tableColumn>
    <tableColumn id="7" xr3:uid="{A247F561-DC85-4213-A856-4FE1C288DB94}" name="Tháng 5" totalsRowFunction="sum" dataDxfId="1196" totalsRowDxfId="1195" dataCellStyle="Comma" totalsRowCellStyle="Comma">
      <calculatedColumnFormula>+SUM(H156:H158)</calculatedColumnFormula>
    </tableColumn>
    <tableColumn id="8" xr3:uid="{1BB01988-60CF-439A-92AF-640B37CB5280}" name="Tháng 6" totalsRowFunction="sum" dataDxfId="1194" totalsRowDxfId="1193" dataCellStyle="Comma" totalsRowCellStyle="Comma">
      <calculatedColumnFormula>+SUM(I156:I158)</calculatedColumnFormula>
    </tableColumn>
    <tableColumn id="9" xr3:uid="{7F548FC9-D828-43A1-802C-65E26620DEA1}" name="Tháng 7" totalsRowFunction="sum" dataDxfId="1192" totalsRowDxfId="1191" dataCellStyle="Comma" totalsRowCellStyle="Comma">
      <calculatedColumnFormula>+SUM(J156:J158)</calculatedColumnFormula>
    </tableColumn>
    <tableColumn id="10" xr3:uid="{EC476F7D-459B-484C-B60A-1FF6C6A94E22}" name="Tháng 8" totalsRowFunction="sum" dataDxfId="1190" totalsRowDxfId="1189" dataCellStyle="Comma" totalsRowCellStyle="Comma">
      <calculatedColumnFormula>+SUM(K156:K158)</calculatedColumnFormula>
    </tableColumn>
    <tableColumn id="11" xr3:uid="{46FBED57-1C5A-4431-9FBF-61138B8C88A1}" name="Tháng 9" totalsRowFunction="sum" dataDxfId="1188" totalsRowDxfId="1187" dataCellStyle="Comma" totalsRowCellStyle="Comma">
      <calculatedColumnFormula>+SUM(L156:L158)</calculatedColumnFormula>
    </tableColumn>
    <tableColumn id="12" xr3:uid="{F1E35AD6-1604-4E78-B288-9B8DAC51A335}" name="Tháng 10" totalsRowFunction="sum" dataDxfId="1186" totalsRowDxfId="1185" dataCellStyle="Comma" totalsRowCellStyle="Comma">
      <calculatedColumnFormula>+SUM(M156:M158)</calculatedColumnFormula>
    </tableColumn>
    <tableColumn id="13" xr3:uid="{88A8B4F6-67CE-4FFB-A0A1-256A3F6C0E73}" name="Tháng 11" totalsRowFunction="sum" dataDxfId="1184" totalsRowDxfId="1183" dataCellStyle="Comma" totalsRowCellStyle="Comma">
      <calculatedColumnFormula>+SUM(N156:N158)</calculatedColumnFormula>
    </tableColumn>
    <tableColumn id="14" xr3:uid="{724ED473-D4A4-48C6-882E-83401202C328}" name="Tháng 12" totalsRowFunction="sum" dataDxfId="1182" totalsRowDxfId="1181" dataCellStyle="Comma" totalsRowCellStyle="Comma">
      <calculatedColumnFormula>+SUM(O156:O158)</calculatedColumnFormula>
    </tableColumn>
    <tableColumn id="15" xr3:uid="{B7E74E67-C7ED-4A4A-BC5F-A7AC7C76239B}" name="Add" dataDxfId="1180" totalsRowDxfId="1179" dataCellStyle="Comma" totalsRowCellStyle="Comma"/>
  </tableColumns>
  <tableStyleInfo name="TableStyleMedium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56621785-F708-4DF2-B2D6-E0D67E00FAE4}" name="Table_KeHoach_CPKhac" displayName="Table_KeHoach_CPKhac" ref="B165:P167" totalsRowCount="1" headerRowDxfId="1178" dataDxfId="1177" totalsRowDxfId="1176" headerRowCellStyle="Comma" dataCellStyle="Comma" totalsRowCellStyle="Comma">
  <autoFilter ref="B165:P166" xr:uid="{56621785-F708-4DF2-B2D6-E0D67E00FAE4}"/>
  <tableColumns count="15">
    <tableColumn id="1" xr3:uid="{EBBD635E-E884-4F0E-92F4-A021EBA8BEFA}" name="Chi phí khác" totalsRowLabel="Total" dataDxfId="1175" totalsRowDxfId="1174" dataCellStyle="Comma" totalsRowCellStyle="Comma"/>
    <tableColumn id="2" xr3:uid="{E1C9EB78-7746-4D66-86B6-0AA7C3DDADFC}" name="Column1" dataDxfId="1173" totalsRowDxfId="1172" dataCellStyle="Comma" totalsRowCellStyle="Comma"/>
    <tableColumn id="3" xr3:uid="{B60B0D41-97F3-4CAB-8E00-5F741EB664DD}" name="Tháng 1" totalsRowFunction="sum" dataDxfId="1171" totalsRowDxfId="1170" dataCellStyle="Comma" totalsRowCellStyle="Comma"/>
    <tableColumn id="4" xr3:uid="{E81EC601-D6CD-40E2-A397-68181A232ACA}" name="Tháng 2" totalsRowFunction="sum" dataDxfId="1169" totalsRowDxfId="1168" dataCellStyle="Comma" totalsRowCellStyle="Comma"/>
    <tableColumn id="5" xr3:uid="{B31C442A-2F65-4366-811E-C986673F274D}" name="Tháng 3" totalsRowFunction="sum" dataDxfId="1167" totalsRowDxfId="1166" dataCellStyle="Comma" totalsRowCellStyle="Comma"/>
    <tableColumn id="6" xr3:uid="{BEFFAF3B-48FA-4F03-BCD2-3B0B27EE59F0}" name="Tháng 4" totalsRowFunction="sum" dataDxfId="1165" totalsRowDxfId="1164" dataCellStyle="Comma" totalsRowCellStyle="Comma"/>
    <tableColumn id="7" xr3:uid="{70BA20C3-2BDA-4CD9-934F-895A8B3D7129}" name="Tháng 5" totalsRowFunction="sum" dataDxfId="1163" totalsRowDxfId="1162" dataCellStyle="Comma" totalsRowCellStyle="Comma"/>
    <tableColumn id="8" xr3:uid="{6B049C1B-B9BF-4F20-8DA2-D9A62E4B7E1F}" name="Tháng 6" totalsRowFunction="sum" dataDxfId="1161" totalsRowDxfId="1160" dataCellStyle="Comma" totalsRowCellStyle="Comma"/>
    <tableColumn id="9" xr3:uid="{D0249CD3-0B5E-418D-9726-3462DD752F39}" name="Tháng 7" totalsRowFunction="sum" dataDxfId="1159" totalsRowDxfId="1158" dataCellStyle="Comma" totalsRowCellStyle="Comma"/>
    <tableColumn id="10" xr3:uid="{719D82C2-64AC-465F-BD79-7E8D7B1E8A2A}" name="Tháng 8" totalsRowFunction="sum" dataDxfId="1157" totalsRowDxfId="1156" dataCellStyle="Comma" totalsRowCellStyle="Comma"/>
    <tableColumn id="11" xr3:uid="{EC5D42B6-FA93-4887-8B0C-8A8154886D38}" name="Tháng 9" totalsRowFunction="sum" dataDxfId="1155" totalsRowDxfId="1154" dataCellStyle="Comma" totalsRowCellStyle="Comma"/>
    <tableColumn id="12" xr3:uid="{3C2AF411-CBAB-4893-9371-442E61652437}" name="Tháng 10" totalsRowFunction="sum" dataDxfId="1153" totalsRowDxfId="1152" dataCellStyle="Comma" totalsRowCellStyle="Comma"/>
    <tableColumn id="13" xr3:uid="{3157C9D9-A809-4298-8AE6-B4B4EC04ADB8}" name="Tháng 11" totalsRowFunction="sum" dataDxfId="1151" totalsRowDxfId="1150" dataCellStyle="Comma" totalsRowCellStyle="Comma"/>
    <tableColumn id="14" xr3:uid="{65E75A25-3AEC-4465-ABFA-28A42E168216}" name="Tháng 12" totalsRowFunction="sum" dataDxfId="1149" totalsRowDxfId="1148" dataCellStyle="Comma" totalsRowCellStyle="Comma"/>
    <tableColumn id="15" xr3:uid="{8B52360E-F978-4306-A59E-F167FC66E192}" name="Add" dataDxfId="1147" totalsRowDxfId="1146" dataCellStyle="Comma" totalsRowCellStyle="Comma"/>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4CFE68EC-67C4-41E5-B83D-BBBEA4C57376}" name="Table_KeHoach_TyLeNo" displayName="Table_KeHoach_TyLeNo" ref="B170:P171" totalsRowShown="0" headerRowDxfId="1145" dataDxfId="1144" dataCellStyle="Percent">
  <autoFilter ref="B170:P171" xr:uid="{4CFE68EC-67C4-41E5-B83D-BBBEA4C57376}"/>
  <tableColumns count="15">
    <tableColumn id="1" xr3:uid="{CE9FFF87-08A1-44D4-BA88-CB5DCC271889}" name="Tỷ lệ nợ trên doanh thu" dataDxfId="1143" dataCellStyle="Percent"/>
    <tableColumn id="2" xr3:uid="{5613D3E9-1531-48B2-A565-00FEA924B0BE}" name="Tham chiếu" dataDxfId="1142" dataCellStyle="Percent">
      <calculatedColumnFormula array="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calculatedColumnFormula>
    </tableColumn>
    <tableColumn id="3" xr3:uid="{EAC5725A-03CC-404B-9705-B002ABE9EA7B}" name="Tháng 1" dataDxfId="1141" dataCellStyle="Percent"/>
    <tableColumn id="4" xr3:uid="{ED63E65D-F6D7-4A4A-9160-0D8ECF0CD2BD}" name="Tháng 2" dataDxfId="1140" dataCellStyle="Percent"/>
    <tableColumn id="5" xr3:uid="{7D151CF5-C7C6-456C-9565-C45772BC724E}" name="Tháng 3" dataDxfId="1139" dataCellStyle="Percent"/>
    <tableColumn id="6" xr3:uid="{5C9E58AD-6845-4FB4-9DBF-9ED77AE0B200}" name="Tháng 4" dataDxfId="1138" dataCellStyle="Percent"/>
    <tableColumn id="7" xr3:uid="{959B1477-DD31-434A-8492-994145BE49F5}" name="Tháng 5" dataDxfId="1137" dataCellStyle="Percent"/>
    <tableColumn id="8" xr3:uid="{A7CA6A4E-D12F-4A9E-9C5D-3A4BC4DF9BD5}" name="Tháng 6" dataDxfId="1136" dataCellStyle="Percent"/>
    <tableColumn id="9" xr3:uid="{83058071-EC16-4290-BCFE-B2E20FCF94C6}" name="Tháng 7" dataDxfId="1135" dataCellStyle="Percent"/>
    <tableColumn id="10" xr3:uid="{7DC78943-FF93-4ADF-AB00-6903F3871895}" name="Tháng 8" dataDxfId="1134" dataCellStyle="Percent"/>
    <tableColumn id="11" xr3:uid="{E8A70527-5041-4C75-816D-B9CEEC97CAFA}" name="Tháng 9" dataDxfId="1133" dataCellStyle="Percent"/>
    <tableColumn id="12" xr3:uid="{C5634CC9-1014-4371-8556-4898535E5A8B}" name="Tháng 10" dataDxfId="1132" dataCellStyle="Percent"/>
    <tableColumn id="13" xr3:uid="{8A9D1A6D-1DD9-4C24-B9F8-5D45B01042B8}" name="Tháng 11" dataDxfId="1131" dataCellStyle="Percent"/>
    <tableColumn id="14" xr3:uid="{3ED3D8B7-A502-4FC2-9834-66E32DC3616F}" name="Tháng 12" dataDxfId="1130" dataCellStyle="Percent"/>
    <tableColumn id="15" xr3:uid="{B1448B73-FDB2-4959-A66F-6572ABB5EF79}" name="Add" dataDxfId="1129" dataCellStyle="Percent"/>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23A49D-9A60-4A25-85FF-03356EF94647}" name="Table_KeHoach_TSCD" displayName="Table_KeHoach_TSCD" ref="B174:P176" totalsRowCount="1" headerRowDxfId="1128" dataDxfId="1126" totalsRowDxfId="1124" headerRowBorderDxfId="1127" tableBorderDxfId="1125" headerRowCellStyle="Comma" dataCellStyle="Comma" totalsRowCellStyle="Comma">
  <autoFilter ref="B174:P175" xr:uid="{5E23A49D-9A60-4A25-85FF-03356EF94647}"/>
  <tableColumns count="15">
    <tableColumn id="1" xr3:uid="{5B556787-DDB8-4C7B-9FFB-D58306E173B3}" name="Dòng tiền đầu tư và thanh lý TSCĐ" totalsRowLabel=" Total " dataDxfId="1123" totalsRowDxfId="1122" dataCellStyle="Comma" totalsRowCellStyle="Comma"/>
    <tableColumn id="2" xr3:uid="{8FAA540A-C631-4BB6-94CB-76FCAA6BD399}" name="Column1" totalsRowFunction="sum" dataDxfId="1121" totalsRowDxfId="1120" dataCellStyle="Comma" totalsRowCellStyle="Comma"/>
    <tableColumn id="3" xr3:uid="{AA4C5021-8FB4-4C01-97DC-42C1AD2A0D5C}" name="Tháng 1" totalsRowFunction="sum" dataDxfId="1119" totalsRowDxfId="1118" dataCellStyle="Comma" totalsRowCellStyle="Comma"/>
    <tableColumn id="4" xr3:uid="{E0C84BD6-6CB1-48E9-AE7F-A28345427F91}" name="Tháng 2" totalsRowFunction="sum" dataDxfId="1117" totalsRowDxfId="1116" dataCellStyle="Comma" totalsRowCellStyle="Comma"/>
    <tableColumn id="5" xr3:uid="{67C699D4-0087-475B-AD6C-D853697542CB}" name="Tháng 3" totalsRowFunction="sum" dataDxfId="1115" totalsRowDxfId="1114" dataCellStyle="Comma" totalsRowCellStyle="Comma"/>
    <tableColumn id="6" xr3:uid="{FFC573B0-FBDD-48D5-8D49-ABE5E41F8709}" name="Tháng 4" totalsRowFunction="sum" dataDxfId="1113" totalsRowDxfId="1112" dataCellStyle="Comma" totalsRowCellStyle="Comma"/>
    <tableColumn id="7" xr3:uid="{B1997128-E7B8-45DB-9B00-D7B4F8C7C9DF}" name="Tháng 5" totalsRowFunction="sum" dataDxfId="1111" totalsRowDxfId="1110" dataCellStyle="Comma" totalsRowCellStyle="Comma"/>
    <tableColumn id="8" xr3:uid="{E05A7C11-53B1-4081-8751-AD8CD8D581E3}" name="Tháng 6" totalsRowFunction="sum" dataDxfId="1109" totalsRowDxfId="1108" dataCellStyle="Comma" totalsRowCellStyle="Comma"/>
    <tableColumn id="9" xr3:uid="{77FDB6D4-4EAC-46F1-942B-B6F6A6CD8141}" name="Tháng 7" totalsRowFunction="sum" dataDxfId="1107" totalsRowDxfId="1106" dataCellStyle="Comma" totalsRowCellStyle="Comma"/>
    <tableColumn id="10" xr3:uid="{B700B5FD-7134-43E5-83D7-48B525FB322C}" name="Tháng 8" totalsRowFunction="sum" dataDxfId="1105" totalsRowDxfId="1104" dataCellStyle="Comma" totalsRowCellStyle="Comma"/>
    <tableColumn id="11" xr3:uid="{1DE0F7BD-53A4-4D47-859C-71C704BF4E4D}" name="Tháng 9" totalsRowFunction="sum" dataDxfId="1103" totalsRowDxfId="1102" dataCellStyle="Comma" totalsRowCellStyle="Comma"/>
    <tableColumn id="12" xr3:uid="{1CB5442F-B1FE-4CB0-8986-4DF6BF82319A}" name="Tháng 10" totalsRowFunction="sum" dataDxfId="1101" totalsRowDxfId="1100" dataCellStyle="Comma" totalsRowCellStyle="Comma"/>
    <tableColumn id="13" xr3:uid="{6CD740B1-E47D-4B7E-ACEA-D4E55EED948C}" name="Tháng 11" totalsRowFunction="sum" dataDxfId="1099" totalsRowDxfId="1098" dataCellStyle="Comma" totalsRowCellStyle="Comma"/>
    <tableColumn id="14" xr3:uid="{38C80FDE-BE48-4A49-A3BD-3E3FCF44B99A}" name="Tháng 12" totalsRowFunction="sum" dataDxfId="1097" totalsRowDxfId="1096" dataCellStyle="Comma" totalsRowCellStyle="Comma"/>
    <tableColumn id="15" xr3:uid="{6F209FDF-2121-4623-9551-694DB366F57D}" name="Add" dataDxfId="1095" totalsRowDxfId="1094" dataCellStyle="Comma" totalsRowCellStyle="Comma"/>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A70E9AC5-05D6-49AF-BD9C-A9F0136F6AD1}" name="Table_KeHoach_DTTC" displayName="Table_KeHoach_DTTC" ref="B179:P181" totalsRowCount="1" headerRowDxfId="1093" dataDxfId="1091" totalsRowDxfId="1089" headerRowBorderDxfId="1092" tableBorderDxfId="1090" headerRowCellStyle="Comma" dataCellStyle="Comma" totalsRowCellStyle="Comma">
  <autoFilter ref="B179:P180" xr:uid="{A70E9AC5-05D6-49AF-BD9C-A9F0136F6AD1}"/>
  <tableColumns count="15">
    <tableColumn id="1" xr3:uid="{743663A6-A21D-4113-BF54-97494116D48C}" name="Dòng tiền đầu tư tài chính" totalsRowLabel="  Total  " dataDxfId="1088" totalsRowDxfId="1087" dataCellStyle="Comma"/>
    <tableColumn id="2" xr3:uid="{62AD1AA6-0EE5-445D-8E1C-99705DEC2942}" name="Column1" totalsRowFunction="sum" dataDxfId="1086" totalsRowDxfId="1085" dataCellStyle="Comma" totalsRowCellStyle="Comma"/>
    <tableColumn id="3" xr3:uid="{C808BAF5-EF47-4838-9623-9A5EA586BDC5}" name="Tháng 1" totalsRowFunction="sum" dataDxfId="1084" totalsRowDxfId="1083" dataCellStyle="Comma" totalsRowCellStyle="Comma"/>
    <tableColumn id="4" xr3:uid="{70307539-BB05-4D17-849C-6C4B59F40976}" name="Tháng 2" totalsRowFunction="sum" dataDxfId="1082" totalsRowDxfId="1081" dataCellStyle="Comma" totalsRowCellStyle="Comma"/>
    <tableColumn id="5" xr3:uid="{5D90E049-283D-4337-B3F3-7A1E7D577F75}" name="Tháng 3" totalsRowFunction="sum" dataDxfId="1080" totalsRowDxfId="1079" dataCellStyle="Comma" totalsRowCellStyle="Comma"/>
    <tableColumn id="6" xr3:uid="{B630AAD6-0B1F-4C57-BB61-4D73C03B5234}" name="Tháng 4" totalsRowFunction="sum" dataDxfId="1078" totalsRowDxfId="1077" dataCellStyle="Comma" totalsRowCellStyle="Comma"/>
    <tableColumn id="7" xr3:uid="{E1B1713E-4A69-4419-8205-454C038A2136}" name="Tháng 5" totalsRowFunction="sum" dataDxfId="1076" totalsRowDxfId="1075" dataCellStyle="Comma" totalsRowCellStyle="Comma"/>
    <tableColumn id="8" xr3:uid="{55B1D6C7-1C98-45A6-BD7A-A7E8BFFF6DDA}" name="Tháng 6" totalsRowFunction="sum" dataDxfId="1074" totalsRowDxfId="1073" dataCellStyle="Comma" totalsRowCellStyle="Comma"/>
    <tableColumn id="9" xr3:uid="{8809DDCC-5294-4F94-A14C-97B84DE49AB3}" name="Tháng 7" totalsRowFunction="sum" dataDxfId="1072" totalsRowDxfId="1071" dataCellStyle="Comma" totalsRowCellStyle="Comma"/>
    <tableColumn id="10" xr3:uid="{BAAD5B0C-CB4B-45DA-AE98-00CAE9531AE8}" name="Tháng 8" totalsRowFunction="sum" dataDxfId="1070" totalsRowDxfId="1069" dataCellStyle="Comma" totalsRowCellStyle="Comma"/>
    <tableColumn id="11" xr3:uid="{2CC29A1B-324D-4088-9B12-94448C63CAEB}" name="Tháng 9" totalsRowFunction="sum" dataDxfId="1068" totalsRowDxfId="1067" dataCellStyle="Comma" totalsRowCellStyle="Comma"/>
    <tableColumn id="12" xr3:uid="{4E1DF616-5058-468F-854F-B28D9C44F5B6}" name="Tháng 10" totalsRowFunction="sum" dataDxfId="1066" totalsRowDxfId="1065" dataCellStyle="Comma" totalsRowCellStyle="Comma"/>
    <tableColumn id="13" xr3:uid="{FE68F131-2E0A-42F1-8CFC-51446D0DE1F2}" name="Tháng 11" totalsRowFunction="sum" dataDxfId="1064" totalsRowDxfId="1063" dataCellStyle="Comma" totalsRowCellStyle="Comma"/>
    <tableColumn id="14" xr3:uid="{02CB477F-9BCC-4707-96DA-B333C50B5189}" name="Tháng 12" totalsRowFunction="sum" dataDxfId="1062" totalsRowDxfId="1061" dataCellStyle="Comma" totalsRowCellStyle="Comma"/>
    <tableColumn id="15" xr3:uid="{5ECADABE-5DDF-469F-BFB4-7F3205555EBA}" name="Add" dataDxfId="1060" totalsRowDxfId="1059" dataCellStyle="Comma" totalsRowCellStyle="Comma"/>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4A24C82-9F7E-4739-84DB-BDB117A867BD}" name="Table_KeHoach_LaiDTTC" displayName="Table_KeHoach_LaiDTTC" ref="B184:P186" totalsRowCount="1" headerRowDxfId="1058" dataDxfId="1056" totalsRowDxfId="1054" headerRowBorderDxfId="1057" tableBorderDxfId="1055" headerRowCellStyle="Comma" dataCellStyle="Comma" totalsRowCellStyle="Comma">
  <autoFilter ref="B184:P185" xr:uid="{84A24C82-9F7E-4739-84DB-BDB117A867BD}"/>
  <tableColumns count="15">
    <tableColumn id="1" xr3:uid="{C7090383-FD23-475A-9482-F0E936D13205}" name="Dòng tiền thu hồi từ đầu tư tài chính" totalsRowLabel="   Total   " dataDxfId="1053" totalsRowDxfId="1052" dataCellStyle="Comma"/>
    <tableColumn id="2" xr3:uid="{CEFDBDE7-9DB8-4CC2-816D-98D5C21CA755}" name="Column1" totalsRowFunction="sum" dataDxfId="1051" totalsRowDxfId="1050" dataCellStyle="Comma" totalsRowCellStyle="Comma"/>
    <tableColumn id="3" xr3:uid="{7C515523-07A3-4E4C-990C-5EC8505C6207}" name="Tháng 1" totalsRowFunction="sum" dataDxfId="1049" totalsRowDxfId="1048" dataCellStyle="Comma" totalsRowCellStyle="Comma">
      <calculatedColumnFormula array="1">-IFERROR(
SUM(_xlfn._xlws.FILTER(Table_DauTu_LichThu[Tổng phải thu],
(Table_DauTu_LichThu[Năm]=DiemHoaVon_NamKeHoach)*
(Table_DauTu_LichThu[Tháng]=D1)*
(Table_DauTu_LichThu[Tài sản đầu tư]=Table_KeHoach_LaiDTTC[[#This Row],[Dòng tiền thu hồi từ đầu tư tài chính]])
)),0)</calculatedColumnFormula>
    </tableColumn>
    <tableColumn id="4" xr3:uid="{8C949A29-6FAA-4220-A702-4AB42300041D}" name="Tháng 2" totalsRowFunction="sum" dataDxfId="1047" totalsRowDxfId="1046" dataCellStyle="Comma" totalsRowCellStyle="Comma">
      <calculatedColumnFormula array="1">-IFERROR(
SUM(_xlfn._xlws.FILTER(Table_DauTu_LichThu[Thu nhập tính thuế],
(Table_DauTu_LichThu[Tháng]=DiemHoaVon_NamKeHoach)*
(Table_DauTu_LichThu[Tài sản đầu tư]=E1)*
(Table_DauTu_LichThu[Nhận gốc]=Table_KeHoach_LaiDTTC[[#This Row],[Column1]])
)),0)</calculatedColumnFormula>
    </tableColumn>
    <tableColumn id="5" xr3:uid="{0A1EA79B-7CFD-4FF5-80CC-DFB3C6885D1A}" name="Tháng 3" totalsRowFunction="sum" dataDxfId="1045" totalsRowDxfId="1044" dataCellStyle="Comma" totalsRowCellStyle="Comma">
      <calculatedColumnFormula array="1">-IFERROR(
SUM(_xlfn._xlws.FILTER(Table_DauTu_LichThu[Add],
(Table_DauTu_LichThu[Tài sản đầu tư]=DiemHoaVon_NamKeHoach)*
(Table_DauTu_LichThu[Nhận gốc]=F1)*
(Table_DauTu_LichThu[Nhận lãi]=Table_KeHoach_LaiDTTC[[#This Row],[Tháng 1]])
)),0)</calculatedColumnFormula>
    </tableColumn>
    <tableColumn id="6" xr3:uid="{BAEE1E4E-B2B9-49A6-A264-B293DF9AC556}" name="Tháng 4" totalsRowFunction="sum" dataDxfId="1043" totalsRowDxfId="1042" dataCellStyle="Comma" totalsRowCellStyle="Comma">
      <calculatedColumnFormula array="1">-IFERROR(
SUM(_xlfn._xlws.FILTER(Table_DauTu_LichThu[Còn lại],
(Table_DauTu_LichThu[Nhận gốc]=DiemHoaVon_NamKeHoach)*
(Table_DauTu_LichThu[Nhận lãi]=G1)*
(Table_DauTu_LichThu[Tổng phải thu]=Table_KeHoach_LaiDTTC[[#This Row],[Tháng 2]])
)),0)</calculatedColumnFormula>
    </tableColumn>
    <tableColumn id="7" xr3:uid="{F2A10A5D-B5CC-4BBF-A31C-75337F8BF98D}" name="Tháng 5" totalsRowFunction="sum" dataDxfId="1041" totalsRowDxfId="1040" dataCellStyle="Comma" totalsRowCellStyle="Comma">
      <calculatedColumnFormula array="1">-IFERROR(
SUM(_xlfn._xlws.FILTER(Table_DauTu_LichThu[Kỳ],
(Table_DauTu_LichThu[Nhận lãi]=DiemHoaVon_NamKeHoach)*
(Table_DauTu_LichThu[Tổng phải thu]=H1)*
(Table_DauTu_LichThu[Thu nhập tính thuế]=Table_KeHoach_LaiDTTC[[#This Row],[Tháng 3]])
)),0)</calculatedColumnFormula>
    </tableColumn>
    <tableColumn id="8" xr3:uid="{8116C09C-ABF0-49DF-9E89-BF50C7E7EDCF}" name="Tháng 6" totalsRowFunction="sum" dataDxfId="1039" totalsRowDxfId="1038" dataCellStyle="Comma" totalsRowCellStyle="Comma">
      <calculatedColumnFormula array="1">-IFERROR(
SUM(_xlfn._xlws.FILTER(Table_DauTu_LichThu[Năm],
(Table_DauTu_LichThu[Tổng phải thu]=DiemHoaVon_NamKeHoach)*
(Table_DauTu_LichThu[Thu nhập tính thuế]=I1)*
(Table_DauTu_LichThu[Add]=Table_KeHoach_LaiDTTC[[#This Row],[Tháng 4]])
)),0)</calculatedColumnFormula>
    </tableColumn>
    <tableColumn id="9" xr3:uid="{3611FFA2-11B7-4940-A159-2AB66DBDD03C}" name="Tháng 7" totalsRowFunction="sum" dataDxfId="1037" totalsRowDxfId="1036" dataCellStyle="Comma" totalsRowCellStyle="Comma">
      <calculatedColumnFormula array="1">-IFERROR(
SUM(_xlfn._xlws.FILTER(Table_DauTu_LichThu[Tháng],
(Table_DauTu_LichThu[Thu nhập tính thuế]=DiemHoaVon_NamKeHoach)*
(Table_DauTu_LichThu[Add]=J1)*
(Table_DauTu_LichThu[Còn lại]=Table_KeHoach_LaiDTTC[[#This Row],[Tháng 5]])
)),0)</calculatedColumnFormula>
    </tableColumn>
    <tableColumn id="10" xr3:uid="{8DB8AEF1-474A-4114-8F78-387A8FAAE4C2}" name="Tháng 8" totalsRowFunction="sum" dataDxfId="1035" totalsRowDxfId="1034" dataCellStyle="Comma" totalsRowCellStyle="Comma">
      <calculatedColumnFormula array="1">-IFERROR(
SUM(_xlfn._xlws.FILTER(Table_DauTu_LichThu[Tài sản đầu tư],
(Table_DauTu_LichThu[Add]=DiemHoaVon_NamKeHoach)*
(Table_DauTu_LichThu[Còn lại]=K1)*
(Table_DauTu_LichThu[Kỳ]=Table_KeHoach_LaiDTTC[[#This Row],[Tháng 6]])
)),0)</calculatedColumnFormula>
    </tableColumn>
    <tableColumn id="11" xr3:uid="{C66C53EC-8ADE-4585-AD27-52ACF2F8EB2B}" name="Tháng 9" totalsRowFunction="sum" dataDxfId="1033" totalsRowDxfId="1032" dataCellStyle="Comma" totalsRowCellStyle="Comma">
      <calculatedColumnFormula array="1">-IFERROR(
SUM(_xlfn._xlws.FILTER(Table_DauTu_LichThu[Nhận gốc],
(Table_DauTu_LichThu[Còn lại]=DiemHoaVon_NamKeHoach)*
(Table_DauTu_LichThu[Kỳ]=L1)*
(Table_DauTu_LichThu[Năm]=Table_KeHoach_LaiDTTC[[#This Row],[Tháng 7]])
)),0)</calculatedColumnFormula>
    </tableColumn>
    <tableColumn id="12" xr3:uid="{BC7ABE3F-5EEC-4936-AD2C-CCF07FAE6EAA}" name="Tháng 10" totalsRowFunction="sum" dataDxfId="1031" totalsRowDxfId="1030" dataCellStyle="Comma" totalsRowCellStyle="Comma">
      <calculatedColumnFormula array="1">-IFERROR(
SUM(_xlfn._xlws.FILTER(Table_DauTu_LichThu[Nhận lãi],
(Table_DauTu_LichThu[Kỳ]=DiemHoaVon_NamKeHoach)*
(Table_DauTu_LichThu[Năm]=M1)*
(Table_DauTu_LichThu[Tháng]=Table_KeHoach_LaiDTTC[[#This Row],[Tháng 8]])
)),0)</calculatedColumnFormula>
    </tableColumn>
    <tableColumn id="13" xr3:uid="{5E4E94E5-1BC5-499E-9847-897B886A8970}" name="Tháng 11" totalsRowFunction="sum" dataDxfId="1029" totalsRowDxfId="1028" dataCellStyle="Comma" totalsRowCellStyle="Comma">
      <calculatedColumnFormula array="1">-IFERROR(
SUM(_xlfn._xlws.FILTER(Table_DauTu_LichThu[Tổng phải thu],
(Table_DauTu_LichThu[Năm]=DiemHoaVon_NamKeHoach)*
(Table_DauTu_LichThu[Tháng]=N1)*
(Table_DauTu_LichThu[Tài sản đầu tư]=Table_KeHoach_LaiDTTC[[#This Row],[Tháng 9]])
)),0)</calculatedColumnFormula>
    </tableColumn>
    <tableColumn id="14" xr3:uid="{77F6C102-0C39-420E-BDEB-A9B093F20875}" name="Tháng 12" totalsRowFunction="sum" dataDxfId="1027" totalsRowDxfId="1026" dataCellStyle="Comma" totalsRowCellStyle="Comma">
      <calculatedColumnFormula array="1">-IFERROR(
SUM(_xlfn._xlws.FILTER(Table_DauTu_LichThu[Thu nhập tính thuế],
(Table_DauTu_LichThu[Tháng]=DiemHoaVon_NamKeHoach)*
(Table_DauTu_LichThu[Tài sản đầu tư]=O1)*
(Table_DauTu_LichThu[Nhận gốc]=Table_KeHoach_LaiDTTC[[#This Row],[Tháng 10]])
)),0)</calculatedColumnFormula>
    </tableColumn>
    <tableColumn id="15" xr3:uid="{F1601770-867F-4AC3-8E96-696AAFCDD60F}" name="Add" dataDxfId="1025" totalsRowDxfId="1024" dataCellStyle="Comma" totalsRowCellStyle="Comma"/>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1E4EF85A-6F69-4A26-8060-A0A991E9D6CC}" name="Table_KeHoach_VonVay" displayName="Table_KeHoach_VonVay" ref="B189:P191" totalsRowCount="1" headerRowDxfId="1023" dataDxfId="1021" totalsRowDxfId="1019" headerRowBorderDxfId="1022" tableBorderDxfId="1020" headerRowCellStyle="Comma" dataCellStyle="Comma" totalsRowCellStyle="Comma">
  <autoFilter ref="B189:P190" xr:uid="{1E4EF85A-6F69-4A26-8060-A0A991E9D6CC}"/>
  <tableColumns count="15">
    <tableColumn id="1" xr3:uid="{11253BC2-803C-444B-922F-A7B3738F272C}" name="Dòng tiền huy động vốn vay" totalsRowLabel="    Total    " dataDxfId="1018" totalsRowDxfId="1017" dataCellStyle="Comma"/>
    <tableColumn id="2" xr3:uid="{8CB821AA-2E57-456A-AFC8-F7DDCCA34AC5}" name="Column1" totalsRowFunction="sum" dataDxfId="1016" totalsRowDxfId="1015" dataCellStyle="Comma" totalsRowCellStyle="Comma"/>
    <tableColumn id="3" xr3:uid="{09E24272-E397-4AF4-9AD7-5C98C26065BD}" name="Tháng 1" totalsRowFunction="sum" dataDxfId="1014" totalsRowDxfId="1013" dataCellStyle="Comma" totalsRowCellStyle="Comma"/>
    <tableColumn id="4" xr3:uid="{C6224BD4-A19F-4785-BA4F-787BB17B97E7}" name="Tháng 2" totalsRowFunction="sum" dataDxfId="1012" totalsRowDxfId="1011" dataCellStyle="Comma" totalsRowCellStyle="Comma"/>
    <tableColumn id="5" xr3:uid="{C2AD3AC1-5E4C-44B2-8729-621B9DCBB14E}" name="Tháng 3" totalsRowFunction="sum" dataDxfId="1010" totalsRowDxfId="1009" dataCellStyle="Comma" totalsRowCellStyle="Comma"/>
    <tableColumn id="6" xr3:uid="{ABA179EF-4E32-4FC8-BF4B-F179F244ECF4}" name="Tháng 4" totalsRowFunction="sum" dataDxfId="1008" totalsRowDxfId="1007" dataCellStyle="Comma" totalsRowCellStyle="Comma"/>
    <tableColumn id="7" xr3:uid="{EB80581B-6F8D-4E5E-8BCC-45DC652686D4}" name="Tháng 5" totalsRowFunction="sum" dataDxfId="1006" totalsRowDxfId="1005" dataCellStyle="Comma" totalsRowCellStyle="Comma"/>
    <tableColumn id="8" xr3:uid="{76878FB7-AF80-4E1C-A799-93037B9E41CA}" name="Tháng 6" totalsRowFunction="sum" dataDxfId="1004" totalsRowDxfId="1003" dataCellStyle="Comma" totalsRowCellStyle="Comma"/>
    <tableColumn id="9" xr3:uid="{22C171CC-F8CF-4784-AB1C-C0D94F2DB149}" name="Tháng 7" totalsRowFunction="sum" dataDxfId="1002" totalsRowDxfId="1001" dataCellStyle="Comma" totalsRowCellStyle="Comma"/>
    <tableColumn id="10" xr3:uid="{AEDD0847-93D7-4000-89EB-623D8D637F3C}" name="Tháng 8" totalsRowFunction="sum" dataDxfId="1000" totalsRowDxfId="999" dataCellStyle="Comma" totalsRowCellStyle="Comma"/>
    <tableColumn id="11" xr3:uid="{EFDF075F-7E46-4BD5-84BB-B71EA9EDB8E5}" name="Tháng 9" totalsRowFunction="sum" dataDxfId="998" totalsRowDxfId="997" dataCellStyle="Comma" totalsRowCellStyle="Comma"/>
    <tableColumn id="12" xr3:uid="{3AB540CD-0B32-4404-A892-1DF3CF4F89B3}" name="Tháng 10" totalsRowFunction="sum" dataDxfId="996" totalsRowDxfId="995" dataCellStyle="Comma" totalsRowCellStyle="Comma"/>
    <tableColumn id="13" xr3:uid="{D1332407-7F53-4A39-85B4-B3F14CC8F656}" name="Tháng 11" totalsRowFunction="sum" dataDxfId="994" totalsRowDxfId="993" dataCellStyle="Comma" totalsRowCellStyle="Comma"/>
    <tableColumn id="14" xr3:uid="{27BDE574-689F-4D3A-AF8A-70ABDC9798C2}" name="Tháng 12" totalsRowFunction="sum" dataDxfId="992" totalsRowDxfId="991" dataCellStyle="Comma" totalsRowCellStyle="Comma"/>
    <tableColumn id="15" xr3:uid="{085514C4-5822-4FE8-A2D4-FEC37C1777F5}" name="Add" dataDxfId="990" totalsRowDxfId="989" dataCellStyle="Comma" totalsRowCellStyle="Comma"/>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41A43669-4E8E-45D3-9748-3A619F74015C}" name="Table_KeHoach_VonGop" displayName="Table_KeHoach_VonGop" ref="B194:P196" totalsRowCount="1" headerRowDxfId="988" dataDxfId="986" totalsRowDxfId="984" headerRowBorderDxfId="987" tableBorderDxfId="985" headerRowCellStyle="Comma" dataCellStyle="Comma" totalsRowCellStyle="Comma">
  <autoFilter ref="B194:P195" xr:uid="{41A43669-4E8E-45D3-9748-3A619F74015C}"/>
  <tableColumns count="15">
    <tableColumn id="1" xr3:uid="{139F00D9-97E8-4BAB-9580-B633FDDD1E49}" name="Dòng tiền huy động vốn góp" totalsRowLabel="     Total     " dataDxfId="983" totalsRowDxfId="982" dataCellStyle="Comma"/>
    <tableColumn id="2" xr3:uid="{1B2B24CF-5CCF-43DC-B5F2-8C9782605628}" name="Column1" totalsRowFunction="sum" dataDxfId="981" totalsRowDxfId="980" dataCellStyle="Comma" totalsRowCellStyle="Comma"/>
    <tableColumn id="3" xr3:uid="{1222BB6C-C294-40BE-8480-CEE37E968787}" name="Tháng 1" totalsRowFunction="sum" dataDxfId="979" totalsRowDxfId="978" dataCellStyle="Comma" totalsRowCellStyle="Comma"/>
    <tableColumn id="4" xr3:uid="{E8469CCE-067A-4323-949F-A005F90923B8}" name="Tháng 2" totalsRowFunction="sum" dataDxfId="977" totalsRowDxfId="976" dataCellStyle="Comma" totalsRowCellStyle="Comma"/>
    <tableColumn id="5" xr3:uid="{0EEFEF49-A17D-4F17-A6F0-A7088834F4BA}" name="Tháng 3" totalsRowFunction="sum" dataDxfId="975" totalsRowDxfId="974" dataCellStyle="Comma" totalsRowCellStyle="Comma"/>
    <tableColumn id="6" xr3:uid="{77458E7B-2227-41D5-835C-7043D5ACBEBB}" name="Tháng 4" totalsRowFunction="sum" dataDxfId="973" totalsRowDxfId="972" dataCellStyle="Comma" totalsRowCellStyle="Comma"/>
    <tableColumn id="7" xr3:uid="{405F399C-F1E8-4E6A-B533-C1592B1FB994}" name="Tháng 5" totalsRowFunction="sum" dataDxfId="971" totalsRowDxfId="970" dataCellStyle="Comma" totalsRowCellStyle="Comma"/>
    <tableColumn id="8" xr3:uid="{96940340-C61C-4FB3-8F89-A237A1B65B92}" name="Tháng 6" totalsRowFunction="sum" dataDxfId="969" totalsRowDxfId="968" dataCellStyle="Comma" totalsRowCellStyle="Comma"/>
    <tableColumn id="9" xr3:uid="{4AE55D5F-8945-4F95-910F-CBEA7120D8D6}" name="Tháng 7" totalsRowFunction="sum" dataDxfId="967" totalsRowDxfId="966" dataCellStyle="Comma" totalsRowCellStyle="Comma"/>
    <tableColumn id="10" xr3:uid="{4DAA2BAD-5B47-4A15-B52A-956CF3A3BC52}" name="Tháng 8" totalsRowFunction="sum" dataDxfId="965" totalsRowDxfId="964" dataCellStyle="Comma" totalsRowCellStyle="Comma"/>
    <tableColumn id="11" xr3:uid="{4C13CABA-AAE3-4890-966F-93A51F892B26}" name="Tháng 9" totalsRowFunction="sum" dataDxfId="963" totalsRowDxfId="962" dataCellStyle="Comma" totalsRowCellStyle="Comma"/>
    <tableColumn id="12" xr3:uid="{513DF229-DD74-4B4F-9D1A-7D527DDE5EC0}" name="Tháng 10" totalsRowFunction="sum" dataDxfId="961" totalsRowDxfId="960" dataCellStyle="Comma" totalsRowCellStyle="Comma"/>
    <tableColumn id="13" xr3:uid="{F6103B17-7D4C-4025-81D0-9435B52E4CF9}" name="Tháng 11" totalsRowFunction="sum" dataDxfId="959" totalsRowDxfId="958" dataCellStyle="Comma" totalsRowCellStyle="Comma"/>
    <tableColumn id="14" xr3:uid="{88839EEE-D2B7-42B9-B0FB-C13A6E408F17}" name="Tháng 12" totalsRowFunction="sum" dataDxfId="957" totalsRowDxfId="956" dataCellStyle="Comma" totalsRowCellStyle="Comma"/>
    <tableColumn id="15" xr3:uid="{D039174F-D925-4273-A95D-33FFA7567785}" name="Add" dataDxfId="955" totalsRowDxfId="954" dataCellStyle="Comma" totalsRowCellStyle="Comma"/>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0143071-339A-48CD-A490-A851FAF2712D}" name="Table_BaoCaoQuanTri_TuDong" displayName="Table_BaoCaoQuanTri_TuDong" ref="B3:P56" totalsRowShown="0" headerRowDxfId="950" dataDxfId="949">
  <autoFilter ref="B3:P56" xr:uid="{C0143071-339A-48CD-A490-A851FAF2712D}"/>
  <tableColumns count="15">
    <tableColumn id="1" xr3:uid="{DF4C9779-7683-486B-B98C-5697DC43931D}" name="Gtri" dataDxfId="948"/>
    <tableColumn id="4" xr3:uid="{001B0236-26E8-497E-AB55-F8CE3CB6070C}" name="Năm / Đầu năm" dataDxfId="947"/>
    <tableColumn id="2" xr3:uid="{65AEA264-1FDA-48EB-A06F-79E365F8ED55}" name="Tháng 1" dataDxfId="946"/>
    <tableColumn id="3" xr3:uid="{690B5C42-F889-47C2-A394-8413364DEC47}" name="Tháng 2" dataDxfId="945"/>
    <tableColumn id="5" xr3:uid="{71422BDD-D8F9-4CE5-B6B2-03A81C0AB67E}" name="Tháng 3" dataDxfId="944"/>
    <tableColumn id="6" xr3:uid="{5E05F71F-519A-4797-8A4A-68DBD0482622}" name="Tháng 4" dataDxfId="943"/>
    <tableColumn id="7" xr3:uid="{FC76974D-1C96-4895-95E7-828D08EF89B1}" name="Tháng 5" dataDxfId="942"/>
    <tableColumn id="8" xr3:uid="{7B4F54B0-9D91-4C8E-8BCD-90F130CC5258}" name="Tháng 6" dataDxfId="941"/>
    <tableColumn id="9" xr3:uid="{ACF24D8F-5415-4A73-B9FA-8E0FB79C9F3A}" name="Tháng 7" dataDxfId="940"/>
    <tableColumn id="10" xr3:uid="{DFB50755-A898-43AB-931F-E231A2250AD8}" name="Tháng 8" dataDxfId="939"/>
    <tableColumn id="11" xr3:uid="{2BC8D648-592D-4D7A-A745-F7D0D68FAC1F}" name="Tháng 9" dataDxfId="938"/>
    <tableColumn id="12" xr3:uid="{C1E9546B-C094-46C8-9E84-C3457F724243}" name="Tháng 10" dataDxfId="937"/>
    <tableColumn id="13" xr3:uid="{0013CBEC-D74E-4D55-B10D-4546C0695E28}" name="Tháng 11" dataDxfId="936"/>
    <tableColumn id="14" xr3:uid="{E58E8A29-CC2D-452E-BAAD-72B22CDBFFA1}" name="Tháng 12" dataDxfId="935"/>
    <tableColumn id="15" xr3:uid="{E4B75C35-EBB1-45CB-BAF4-0DC0327E617A}" name="Thêm" dataDxfId="934"/>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R3:S56" totalsRowShown="0" headerRowDxfId="933" dataDxfId="932">
  <autoFilter ref="R3:S56" xr:uid="{4033F4AE-F76A-434F-A095-873E3D10BAFF}"/>
  <tableColumns count="2">
    <tableColumn id="1" xr3:uid="{D95CFDE2-9C59-48C2-B9D7-6DB4827F56D8}" name="Gtri" dataDxfId="931"/>
    <tableColumn id="15" xr3:uid="{E8806F52-A9C9-4358-A5AE-69E247A0D097}" name="Add" dataDxfId="930">
      <calculatedColumnFormula>INDEX($B$2:$P$56,MATCH(Table_BaoCaoQuanTri_Nam[[#This Row],[Gtri]],$B$2:$B$56,0),MATCH($S$1,$B$2:$P$2,0))</calculatedColumnFormula>
    </tableColumn>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U3:V56" totalsRowShown="0" headerRowDxfId="929" dataDxfId="928">
  <autoFilter ref="U3:V56" xr:uid="{0ABFD336-6D7B-4C18-89EB-5F2AB490AF2B}"/>
  <tableColumns count="2">
    <tableColumn id="1" xr3:uid="{A08BE357-095F-44AF-93CE-B5A20A0B7914}" name="Gtri" dataDxfId="927"/>
    <tableColumn id="15" xr3:uid="{B4B0CC08-88FB-4BC6-A5E7-D2273CFF53ED}" name="Add" dataDxfId="926">
      <calculatedColumnFormula>INDEX($B$2:$P$56,MATCH(Table_BaoCaoQuanTri_Thang[[#This Row],[Gtri]],$B$2:$B$56,0),MATCH($V$1,$B$2:$P$2,0))</calculatedColumnFormula>
    </tableColumn>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289EE0-606E-4F55-AD29-7A8B5C5511A3}" name="Table_BCTC" displayName="Table_BCTC" ref="B3:F170" totalsRowShown="0" headerRowDxfId="924" dataDxfId="923">
  <autoFilter ref="B3:F170" xr:uid="{BCF922F8-232A-4346-874D-056C89B5CDBD}"/>
  <tableColumns count="5">
    <tableColumn id="2" xr3:uid="{A1A35B50-DB47-4F40-AECC-91753CFB1D8C}" name="Code" dataDxfId="922"/>
    <tableColumn id="1" xr3:uid="{1BE2295A-9C65-4460-B238-7B8D0920CFE2}" name="Gtri" dataDxfId="921"/>
    <tableColumn id="5" xr3:uid="{39FE1FDD-460F-4F3E-9584-91C8C448D18B}" name="Đầu kỳ" dataDxfId="920"/>
    <tableColumn id="3" xr3:uid="{3F62B03F-B592-42B6-A6D5-0D2D0EDFD493}" name="Năm / Đầu kỳ" dataDxfId="919"/>
    <tableColumn id="4" xr3:uid="{83CBA81E-27C2-402F-BF35-52C0A2ECC2D6}" name="Tháng / Cuối kỳ" dataDxfId="918"/>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H3:K170" totalsRowShown="0" headerRowDxfId="917" dataDxfId="916">
  <autoFilter ref="H3:K170" xr:uid="{4A8E04D0-8A9C-45D5-B534-7D81FE1B2481}"/>
  <tableColumns count="4">
    <tableColumn id="2" xr3:uid="{018F9535-ADC0-4DB7-9DD5-C3DA56177B97}" name="Code" dataDxfId="915"/>
    <tableColumn id="1" xr3:uid="{D484DA8D-5931-4608-A960-BD7786D3605C}" name="Gtri" dataDxfId="914"/>
    <tableColumn id="3" xr3:uid="{06DE52A7-4A79-4A8F-AD26-1825B43C59F4}" name="Năm đầu" dataDxfId="913" dataCellStyle="Percent"/>
    <tableColumn id="4" xr3:uid="{414AE415-B87A-404C-BF34-0A23A079DB98}" name="Add" dataDxfId="912">
      <calculatedColumnFormula>Table_BCTC[[#This Row],[Năm / Đầu kỳ]]</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M3:P170" totalsRowShown="0" headerRowDxfId="911" dataDxfId="910">
  <autoFilter ref="M3:P170" xr:uid="{E6260BD5-4943-40D8-881C-33F7E49DA75B}"/>
  <tableColumns count="4">
    <tableColumn id="2" xr3:uid="{284E2913-84A8-416A-AB3C-4C7B54653B33}" name="Code" dataDxfId="909"/>
    <tableColumn id="1" xr3:uid="{2910C0CD-E9ED-4C8D-8957-B10873FCA9E0}" name="Gtri" dataDxfId="908"/>
    <tableColumn id="3" xr3:uid="{2C522951-11DF-4D76-82A0-82E2BE204C87}" name="Tháng đầu" dataDxfId="907" dataCellStyle="Percent"/>
    <tableColumn id="4" xr3:uid="{67F80F2E-2D99-4197-91AB-01983605F037}" name="Add" dataDxfId="906">
      <calculatedColumnFormula>Table_BCTC[[#This Row],[Tháng / Cuối kỳ]]</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U22:X23" totalsRowShown="0" headerRowDxfId="901" dataDxfId="900">
  <autoFilter ref="U22:X23" xr:uid="{816E18EB-DD5B-4530-8FB2-641A17DF6321}"/>
  <tableColumns count="4">
    <tableColumn id="1" xr3:uid="{6665C849-493D-497D-BB00-131408145B34}" name="Ngày lên đơn" dataDxfId="899"/>
    <tableColumn id="2" xr3:uid="{417CEACE-3018-4C1D-AB51-9B2FB2C2DAC3}" name="Giá trị nợ" dataDxfId="898" dataCellStyle="Comma">
      <calculatedColumnFormula array="1"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calculatedColumnFormula>
    </tableColumn>
    <tableColumn id="3" xr3:uid="{7AE36EE8-E8C4-4713-A391-0E09E8C1F55C}" name="Tuổi nợ" dataDxfId="897" dataCellStyle="Comma">
      <calculatedColumnFormula>IF(Table_PhaiThu_TuoiNoKH[[#This Row],[Giá trị nợ]] =0, 0, NoXau_NgayTheoDoi-Table_PhaiThu_TuoiNoKH[[#This Row],[Ngày lên đơn]])</calculatedColumnFormula>
    </tableColumn>
    <tableColumn id="4" xr3:uid="{5C272BD0-06B4-441B-8B16-4582ED1537D3}" name="Add" dataDxfId="896"/>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M22:Q23" totalsRowShown="0" headerRowDxfId="895" dataDxfId="894">
  <autoFilter ref="M22:Q23" xr:uid="{7A27FC43-910A-457B-805C-D46DCCD5E66C}"/>
  <tableColumns count="5">
    <tableColumn id="6" xr3:uid="{0EE4CA27-15CF-4AE5-9AFD-0DBACDB7AC4D}" name="Tuổi nợ min" dataDxfId="893" dataCellStyle="Comma"/>
    <tableColumn id="1" xr3:uid="{5EBDDF4C-7F69-4DEA-92AA-912BB746F731}" name="Tuổi nợ max" dataDxfId="892" dataCellStyle="Comma"/>
    <tableColumn id="2" xr3:uid="{28C4EA9F-A79D-442E-A06D-4A07A80FFC40}" name="Tỷ lệ dự phòng" dataDxfId="891" dataCellStyle="Percent"/>
    <tableColumn id="3" xr3:uid="{21C05676-D8D6-4426-91D8-FCF3582641C4}" name="Giá trị dự phòng" dataDxfId="890" dataCellStyle="Comma">
      <calculatedColumnFormula array="1"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 id="4" xr3:uid="{1EF85055-AB80-4053-B4D5-08458CB28112}" name="Add" dataDxfId="889"/>
  </tableColumns>
  <tableStyleInfo name="TableStyleMedium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G22:AL28" totalsRowShown="0" headerRowDxfId="888" dataDxfId="887">
  <autoFilter ref="AG22:AL28" xr:uid="{F34E1FD4-2D19-4D23-B4A7-1AA3B8DAD6B1}"/>
  <tableColumns count="6">
    <tableColumn id="1" xr3:uid="{7037269D-0955-488E-AB4D-E864778EA0EF}" name="Kỳ" dataDxfId="886">
      <calculatedColumnFormula>IFERROR(
IF(ISBLANK(Table_DuPhong[[#This Row],[Tháng]]),
DATE(Table_DuPhong[[#This Row],[Năm]],12,1),
DATE(Table_DuPhong[[#This Row],[Năm]],Table_DuPhong[[#This Row],[Tháng]],1)),0)</calculatedColumnFormula>
    </tableColumn>
    <tableColumn id="8" xr3:uid="{0FB441F7-BC43-4903-A829-33BA43736A2E}" name="Năm" dataDxfId="885"/>
    <tableColumn id="7" xr3:uid="{04E52C42-4304-461D-BACD-99F768E3B4D2}" name="Tháng" dataDxfId="884"/>
    <tableColumn id="2" xr3:uid="{4D0A059D-BE97-475F-969C-DF6CEB206B2D}" name="Mã đối tác" dataDxfId="883"/>
    <tableColumn id="3" xr3:uid="{464D14DA-2C8B-4736-B46F-63E7EAFD2FA0}" name="Dự phòng lũy kế" dataDxfId="882" dataCellStyle="Comma"/>
    <tableColumn id="4" xr3:uid="{0EEF9F15-57BF-4AC3-8869-6E69E24C3520}" name="Add" dataDxfId="881"/>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AE860EF-9B6B-4E31-A045-5AEAAE5ACE87}" name="Table_PhaiThu_TuoiNoNCC" displayName="Table_PhaiThu_TuoiNoNCC" ref="AB22:AE23" totalsRowShown="0" headerRowDxfId="880" dataDxfId="879">
  <autoFilter ref="AB22:AE23" xr:uid="{6AE860EF-9B6B-4E31-A045-5AEAAE5ACE87}"/>
  <tableColumns count="4">
    <tableColumn id="1" xr3:uid="{8498CEDF-05BB-4CFA-908A-0AC4EF92CDFE}" name="Ngày thanh toán" dataDxfId="878"/>
    <tableColumn id="2" xr3:uid="{E5AF40C1-CCF7-4911-BA9D-DFE882B7A6D4}" name="Giá trị nợ" dataDxfId="877" dataCellStyle="Comma">
      <calculatedColumnFormula array="1"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calculatedColumnFormula>
    </tableColumn>
    <tableColumn id="3" xr3:uid="{3A5930FF-0EFF-4A44-A8C1-012FD7030028}" name="Tuổi nợ" dataDxfId="876" dataCellStyle="Comma">
      <calculatedColumnFormula array="1">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calculatedColumnFormula>
    </tableColumn>
    <tableColumn id="4" xr3:uid="{D911ED8C-1E7E-42DE-B22A-AB372693E83B}" name="Add" dataDxfId="875"/>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C23:H26" totalsRowShown="0" headerRowDxfId="872" dataDxfId="871">
  <autoFilter ref="C23:H26" xr:uid="{E6260BD5-4943-40D8-881C-33F7E49DA75B}"/>
  <tableColumns count="6">
    <tableColumn id="2" xr3:uid="{275F30D4-F07E-452A-9E6B-C838301D871F}" name="Đối tác" dataDxfId="870"/>
    <tableColumn id="1" xr3:uid="{F4F0303E-DEDD-4D3F-982F-6F2FE19DDB1D}" name="Dư đầu kỳ" dataDxfId="869" dataCellStyle="Comma"/>
    <tableColumn id="3" xr3:uid="{6328C6BD-75ED-4081-94E9-F09738494942}" name="03-2025" dataDxfId="868"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calculatedColumnFormula>
    </tableColumn>
    <tableColumn id="5" xr3:uid="{41ADD969-C239-4B56-B937-22060DFA7A8F}" name="04-2025" dataDxfId="867"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calculatedColumnFormula>
    </tableColumn>
    <tableColumn id="6" xr3:uid="{3D7B80C1-1C51-4C9A-94DD-6564006F5ACC}" name="05-2025" dataDxfId="866"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calculatedColumnFormula>
    </tableColumn>
    <tableColumn id="4" xr3:uid="{0A50280D-49FC-46F1-A675-3E18B9BC8AF5}" name="Add" dataDxfId="865"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calculatedColumnFormula>
    </tableColumn>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B27:H30" totalsRowShown="0" headerRowDxfId="861" dataDxfId="860">
  <autoFilter ref="B27:H30" xr:uid="{E6260BD5-4943-40D8-881C-33F7E49DA75B}"/>
  <tableColumns count="7">
    <tableColumn id="30" xr3:uid="{BA2D4C76-CA0F-4869-9A62-DC14CDEF420F}" name="Nhóm đối tác" dataDxfId="859"/>
    <tableColumn id="2" xr3:uid="{78EF47C2-46B0-40DE-9ADA-C3D3AA9A9C12}" name="Đối tác" dataDxfId="858" dataCellStyle="Comma"/>
    <tableColumn id="1" xr3:uid="{2B1D3624-701D-49A3-B369-2F23DA73BB73}" name="Dư đầu kỳ" dataDxfId="857" dataCellStyle="Comma"/>
    <tableColumn id="3" xr3:uid="{E43A4A10-5077-4F2B-8F36-351808E97105}" name="03-2025" dataDxfId="856"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calculatedColumnFormula>
    </tableColumn>
    <tableColumn id="5" xr3:uid="{8DB6F504-4383-42B2-8F75-6EA4604EDA18}" name="04-2025" dataDxfId="855"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calculatedColumnFormula>
    </tableColumn>
    <tableColumn id="6" xr3:uid="{5578FD46-8DCF-464C-AFBE-27855460568B}" name="05-2025" dataDxfId="854"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calculatedColumnFormula>
    </tableColumn>
    <tableColumn id="4" xr3:uid="{4D48D0D6-80B3-4431-B238-02E726D63F5E}" name="Add" dataDxfId="853"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calculatedColumnFormula>
    </tableColumn>
  </tableColumns>
  <tableStyleInfo name="TableStyleMedium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F23:Q26" totalsRowShown="0" headerRowDxfId="850" dataDxfId="849">
  <autoFilter ref="F23:Q26" xr:uid="{41302B2E-E512-424D-BCE6-0E1D488E9735}"/>
  <tableColumns count="12">
    <tableColumn id="1" xr3:uid="{F59CB08C-5328-43EF-A2C6-5040207B19D1}" name="Mã hàng" dataDxfId="848"/>
    <tableColumn id="7" xr3:uid="{8DD841B9-0227-476F-9C70-64D13EAECD70}" name="Tồn tối thiểu" dataDxfId="847" dataCellStyle="Comma">
      <calculatedColumnFormula>Table_DiemDatHang[[#This Row],[Tiêu thụ / ngày]]*(1+Table_DiemDatHang[[#This Row],[Tăng trưởng tiêu thụ]])*NgayLuuKho_Min</calculatedColumnFormula>
    </tableColumn>
    <tableColumn id="9" xr3:uid="{85EAFD39-40B5-4921-A48B-58722366EEE3}" name="Tồn tối đa" dataDxfId="846" dataCellStyle="Comma">
      <calculatedColumnFormula>Table_DiemDatHang[[#This Row],[Tiêu thụ / ngày]]*(1+Table_DiemDatHang[[#This Row],[Tăng trưởng tiêu thụ]])*NgayLuuKho_Max</calculatedColumnFormula>
    </tableColumn>
    <tableColumn id="2" xr3:uid="{A6F0E9AD-D7D3-4CB4-893A-CEDB0F6554DF}" name="Tồn đầu ngày" dataDxfId="845" dataCellStyle="Comma">
      <calculatedColumnFormula>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calculatedColumnFormula>
    </tableColumn>
    <tableColumn id="4" xr3:uid="{5EB1768A-369D-49A7-B8D9-BF746C752B73}" name="Tiêu thụ / ngày" dataDxfId="844" dataCellStyle="Comma">
      <calculatedColumnFormula>(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calculatedColumnFormula>
    </tableColumn>
    <tableColumn id="10" xr3:uid="{75F0B5FB-82D7-408A-BF22-A572A20DC0CA}" name="Tăng trưởng tiêu thụ" dataDxfId="843" dataCellStyle="Percent"/>
    <tableColumn id="5" xr3:uid="{6EB410F5-2A26-47F7-8343-417C2322AD8A}" name="Ngày tồn kho" dataDxfId="842" dataCellStyle="Comma">
      <calculatedColumnFormula xml:space="preserve">
IFERROR(
ROUNDUP(I24/(J24*(1+K24)),0),0)</calculatedColumnFormula>
    </tableColumn>
    <tableColumn id="6" xr3:uid="{8696BBB3-62B4-475B-AE47-68ED60378C95}" name="Ngày giao / sản xuất" dataDxfId="841" dataCellStyle="Comma">
      <calculatedColumnFormula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calculatedColumnFormula>
    </tableColumn>
    <tableColumn id="8" xr3:uid="{40693F00-600F-4B0A-A5CA-0712AE16FF7B}" name="Hạn đặt hàng" dataDxfId="840">
      <calculatedColumnFormula>DatHang_NgayTheoDoi+L24-M24-NgayLuuKho_Min</calculatedColumnFormula>
    </tableColumn>
    <tableColumn id="11" xr3:uid="{D57B6699-100A-4922-9CAE-78E9714A49FC}" name="SL cần đặt" dataDxfId="839" dataCellStyle="Comma">
      <calculatedColumnFormula>Table_DiemDatHang[[#This Row],[Tiêu thụ / ngày]]*(1+Table_DiemDatHang[[#This Row],[Tăng trưởng tiêu thụ]])*MAX(0,NgayLuuKho_Max-(Table_DiemDatHang[[#This Row],[Ngày tồn kho]]-Table_DiemDatHang[[#This Row],[Ngày giao / sản xuất]]))</calculatedColumnFormula>
    </tableColumn>
    <tableColumn id="3" xr3:uid="{498A1813-39E1-4F11-AED7-53FBA735CA1F}" name="Giá trị cần đặt" dataDxfId="838" dataCellStyle="Comma">
      <calculatedColumnFormula array="1">IFERROR(
SUM(_xlfn._xlws.FILTER(Table_NguonHang[Giá trị],
(Table_NguonHang[Đối tượng] = Table_DiemDatHang[[#This Row],[Mã hàng]])))
/SUM(_xlfn._xlws.FILTER(Table_NguonHang[Lượng đặt],
(Table_NguonHang[Đối tượng] = Table_DiemDatHang[[#This Row],[Mã hàng]]))),
0)*O24</calculatedColumnFormula>
    </tableColumn>
    <tableColumn id="12" xr3:uid="{FFE52754-4105-487A-907E-714C181CB836}" name="Add" dataDxfId="837"/>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308743C-B8BB-4E3D-9258-E86DB16343BA}" name="Table_HieuQuaSX" displayName="Table_HieuQuaSX" ref="AP21:AV24" totalsRowShown="0" headerRowDxfId="807" dataDxfId="806">
  <autoFilter ref="AP21:AV24" xr:uid="{2308743C-B8BB-4E3D-9258-E86DB16343BA}"/>
  <tableColumns count="7">
    <tableColumn id="3" xr3:uid="{E248A5C9-13F8-44F2-9D11-11A8E16781D1}" name="Kỳ" dataDxfId="805">
      <calculatedColumnFormula>IFERROR(DATE(Table_HieuQuaSX[[#This Row],[Năm]],Table_HieuQuaSX[[#This Row],[Tháng]],1),0)</calculatedColumnFormula>
    </tableColumn>
    <tableColumn id="1" xr3:uid="{859B4E31-3F18-4E23-BBE8-2A42AF6D43DC}" name="Năm" dataDxfId="804"/>
    <tableColumn id="2" xr3:uid="{C4B7F1AC-25FF-4D27-AF90-2F33C5F3CCAD}" name="Tháng" dataDxfId="803"/>
    <tableColumn id="4" xr3:uid="{0C124BC5-96B7-41A1-8833-30554276E502}" name="Giá vốn mục tiêu" dataDxfId="802" dataCellStyle="Comma"/>
    <tableColumn id="5" xr3:uid="{03CDDCA1-4C20-43D5-992C-F0F60DC9373B}" name="Giá vốn thực tế" dataDxfId="801" dataCellStyle="Comma">
      <calculatedColumnFormula array="1">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calculatedColumnFormula>
    </tableColumn>
    <tableColumn id="6" xr3:uid="{2A8BBE22-2F1B-4EAC-B681-BB12D2E2A9B3}" name="Hiệu quả" dataDxfId="800" dataCellStyle="Percent">
      <calculatedColumnFormula>1-(Table_HieuQuaSX[[#This Row],[Giá vốn thực tế]]/Table_HieuQuaSX[[#This Row],[Giá vốn mục tiêu]])</calculatedColumnFormula>
    </tableColumn>
    <tableColumn id="7" xr3:uid="{53DCF830-F199-44E4-BAA1-FFEF270EA53D}" name="Add" dataDxfId="799"/>
  </tableColumns>
  <tableStyleInfo name="TableStyleMedium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AG21:AN25" totalsRowShown="0" headerRowDxfId="798" dataDxfId="797">
  <autoFilter ref="AG21:AN25" xr:uid="{2CB9985B-580F-4533-8553-105C1F83175C}"/>
  <tableColumns count="8">
    <tableColumn id="1" xr3:uid="{2AC39E01-0898-4986-A633-EB40316BE2AF}" name="Nguyên liệu" dataDxfId="796"/>
    <tableColumn id="13" xr3:uid="{9910BF70-4DB1-4086-981D-5AB13EF1F52C}" name="Tiện ích sản xuất" dataDxfId="795"/>
    <tableColumn id="11" xr3:uid="{F30C72E6-2854-4319-A09B-68CBE4DDE414}" name="Đơn vị" dataDxfId="794">
      <calculatedColumnFormula>IFERROR(VLOOKUP(Table_HieuQuaSX_KHTieuThu[[#This Row],[Nguyên liệu]],Table_NguyenLieu[[Mã Nguyên liệu]:[Đơn vị]],Sheet_NguyenLieu!$F$1,0),0)</calculatedColumnFormula>
    </tableColumn>
    <tableColumn id="6" xr3:uid="{C03BFF9B-EE62-4A6A-8850-16FC59C96C3E}" name="Đơn giá" dataDxfId="793" dataCellStyle="Comma">
      <calculatedColumnFormula array="1">IFERROR(
SUM(_xlfn._xlws.FILTER(Table_NguonHang[Giá trị],
(Table_NguonHang[Đối tượng] = Table_HieuQuaSX_KHTieuThu[[#This Row],[Nguyên liệu]])))
/SUM(_xlfn._xlws.FILTER(Table_NguonHang[Lượng đặt],
(Table_NguonHang[Đối tượng] = Table_HieuQuaSX_KHTieuThu[[#This Row],[Nguyên liệu]]))),
0)</calculatedColumnFormula>
    </tableColumn>
    <tableColumn id="2" xr3:uid="{C971767B-245C-40D4-A639-13F69220431A}" name="Tồn kho hiện tại" dataDxfId="792" dataCellStyle="Comma">
      <calculatedColumnFormula>+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calculatedColumnFormula>
    </tableColumn>
    <tableColumn id="8" xr3:uid="{06B82FDF-DFE7-431D-9D0E-F5CE45945D73}" name="Số lượng cần đặt" dataDxfId="791" dataCellStyle="Comma">
      <calculatedColumnFormula array="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790" dataCellStyle="Comma">
      <calculatedColumnFormula>Table_HieuQuaSX_KHTieuThu[[#This Row],[Số lượng cần đặt]]*Table_HieuQuaSX_KHTieuThu[[#This Row],[Đơn giá]]</calculatedColumnFormula>
    </tableColumn>
    <tableColumn id="4" xr3:uid="{486BE4A2-0D73-4F0E-BBAB-F35FE74826DA}" name="Add" dataDxfId="789"/>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E2B89D3B-48CA-4CE8-A8B9-44C82BC42579}" name="Table_HieuQuaSX_DinhMuc" displayName="Table_HieuQuaSX_DinhMuc" ref="R21:AE27" totalsRowShown="0" headerRowDxfId="788" dataDxfId="787">
  <autoFilter ref="R21:AE27" xr:uid="{E2B89D3B-48CA-4CE8-A8B9-44C82BC42579}"/>
  <tableColumns count="14">
    <tableColumn id="14" xr3:uid="{2BE1E6BF-9521-43CB-A9C8-20DEF9B19E09}" name="SKU" dataDxfId="786" dataCellStyle="Comma"/>
    <tableColumn id="15" xr3:uid="{D336907F-FD0C-40A6-AEC4-64703C405B5C}" name="Đơn vị SKU" dataDxfId="785" dataCellStyle="Comma">
      <calculatedColumnFormula>IFERROR(VLOOKUP(Table_HieuQuaSX_DinhMuc[[#This Row],[SKU]],Table_SKU[[Mã SKU]:[Add]],COUNTA(Table_SKU[[#Headers],[Mã SKU]:[Đơn vị]]),0),0)</calculatedColumnFormula>
    </tableColumn>
    <tableColumn id="16" xr3:uid="{F184B79C-9AB1-4021-97B3-5B8D87C42CC1}" name="Sản lượng kế hoạch" dataDxfId="784" dataCellStyle="Comma"/>
    <tableColumn id="1" xr3:uid="{DBB8C871-CA1D-4B5F-822B-137896894C81}" name="Nguyên liệu" dataDxfId="783"/>
    <tableColumn id="13" xr3:uid="{8E08A0A8-5379-4B24-BB29-632FA5EEA474}" name="Tiện ích sản xuất" dataDxfId="782"/>
    <tableColumn id="2" xr3:uid="{5BEB72BC-83F1-4CD1-A81D-AB90EEBA3DEC}" name="Đầu vào" dataDxfId="781">
      <calculatedColumnFormula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calculatedColumnFormula>
    </tableColumn>
    <tableColumn id="11" xr3:uid="{8EED713B-3839-49A0-942E-04573C773DEA}" name="Đơn vị" dataDxfId="780">
      <calculatedColumnFormula>IFERROR(VLOOKUP(Table_HieuQuaSX_DinhMuc[[#This Row],[Nguyên liệu]],Table_NguyenLieu[[Mã Nguyên liệu]:[Đơn vị]],Sheet_NguyenLieu!$F$1,0),0)</calculatedColumnFormula>
    </tableColumn>
    <tableColumn id="3" xr3:uid="{18E190CD-C7BB-4A38-AC85-E6E3C74D1019}" name="Định mức" dataDxfId="779" dataCellStyle="Comma"/>
    <tableColumn id="7" xr3:uid="{A64953C4-7213-447C-B77A-05048D52D936}" name="Hao hụt" dataDxfId="778" dataCellStyle="Percent"/>
    <tableColumn id="5" xr3:uid="{541D0A47-BA27-4827-AD18-65CEA35851AA}" name="Số lượng tiêu thụ" dataDxfId="777" dataCellStyle="Comma">
      <calculatedColumnFormula>IFERROR(
Table_HieuQuaSX_DinhMuc[[#This Row],[Định mức]]*Table_HieuQuaSX_DinhMuc[[#This Row],[Sản lượng kế hoạch]]/(1-Table_HieuQuaSX_DinhMuc[[#This Row],[Hao hụt]]),0)</calculatedColumnFormula>
    </tableColumn>
    <tableColumn id="6" xr3:uid="{34883678-154A-4B68-BFB3-04615E3DC802}" name="Đơn giá" dataDxfId="776" dataCellStyle="Comma">
      <calculatedColumnFormula>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calculatedColumnFormula>
    </tableColumn>
    <tableColumn id="9" xr3:uid="{90383EB2-60CD-4B85-B0C5-3C4A1845E306}" name="Giá trị tiêu thụ" dataDxfId="775" dataCellStyle="Comma">
      <calculatedColumnFormula>Table_HieuQuaSX_DinhMuc[[#This Row],[Đơn giá]]*Table_HieuQuaSX_DinhMuc[[#This Row],[Số lượng tiêu thụ]]</calculatedColumnFormula>
    </tableColumn>
    <tableColumn id="10" xr3:uid="{0D15E8B2-E0F0-42F3-8809-FCA7C3B33CC5}" name="Giá vốn bình quân" dataDxfId="774" dataCellStyle="Comma">
      <calculatedColumnFormula>Table_HieuQuaSX_DinhMuc[[#This Row],[Giá trị tiêu thụ]]/Table_HieuQuaSX_DinhMuc[[#This Row],[Sản lượng kế hoạch]]</calculatedColumnFormula>
    </tableColumn>
    <tableColumn id="4" xr3:uid="{F1B938A7-A9E3-4831-ABAF-92F02F4B25BA}" name="Add" dataDxfId="773"/>
  </tableColumns>
  <tableStyleInfo name="TableStyleMedium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221693EC-C290-40DB-A5B6-97CFC8B84CF1}" name="Table_NguonHang" displayName="Table_NguonHang" ref="AH9:AP13" totalsRowShown="0" headerRowDxfId="743" dataDxfId="742">
  <autoFilter ref="AH9:AP13" xr:uid="{221693EC-C290-40DB-A5B6-97CFC8B84CF1}"/>
  <tableColumns count="9">
    <tableColumn id="1" xr3:uid="{39596401-F3EE-44DD-9F93-88D8FBF11AE6}" name="SKU" dataDxfId="741"/>
    <tableColumn id="2" xr3:uid="{08A96AA3-9424-424E-8E5A-6C2FBD23F84F}" name="Nguyên liệu" dataDxfId="740"/>
    <tableColumn id="3" xr3:uid="{80A74394-04C5-496D-BBCE-D081AD6746BB}" name="Đối tượng" dataDxfId="739">
      <calculatedColumnFormula>IF(ISBLANK(Table_NguonHang[[#This Row],[SKU]]),Table_NguonHang[[#This Row],[Nguyên liệu]],Table_NguonHang[[#This Row],[SKU]])</calculatedColumnFormula>
    </tableColumn>
    <tableColumn id="4" xr3:uid="{D93A7B29-7074-4B67-8110-B7D139B24D37}" name="Nhà cung cấp" dataDxfId="738"/>
    <tableColumn id="5" xr3:uid="{F9C6EB4F-FDEF-4323-AF8B-16C502A21F73}" name="Giá trung bình" dataDxfId="737" dataCellStyle="Comma">
      <calculatedColumnFormula array="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calculatedColumnFormula>
    </tableColumn>
    <tableColumn id="6" xr3:uid="{B7367694-BE31-4E47-AB15-921CB0806209}" name="Cần đặt" dataDxfId="736" dataCellStyle="Comma">
      <calculatedColumnFormula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calculatedColumnFormula>
    </tableColumn>
    <tableColumn id="7" xr3:uid="{45E3E351-9030-4BBE-BE91-610260FB0C62}" name="Lượng đặt" dataDxfId="735" dataCellStyle="Comma"/>
    <tableColumn id="8" xr3:uid="{07AAE5C6-ABA8-4AAD-B7E9-439B79F9FC8B}" name="Giá trị" dataDxfId="734" dataCellStyle="Comma">
      <calculatedColumnFormula>Table_NguonHang[[#This Row],[Lượng đặt]]*Table_NguonHang[[#This Row],[Giá trung bình]]</calculatedColumnFormula>
    </tableColumn>
    <tableColumn id="9" xr3:uid="{01A3A42B-BEAF-49E6-BC91-99564681CCAE}" name="Add" dataDxfId="733"/>
  </tableColumns>
  <tableStyleInfo name="TableStyleMedium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M21:Q22" totalsRowShown="0" headerRowDxfId="729" dataDxfId="728">
  <autoFilter ref="M21:Q22" xr:uid="{4CE940BA-FBC4-478A-A5EC-B0AA10F408B4}"/>
  <tableColumns count="5">
    <tableColumn id="1" xr3:uid="{EE31E204-1CA2-48CE-87B1-0A010AF8FA7D}" name="Ngày tồn min" dataDxfId="727" dataCellStyle="Comma"/>
    <tableColumn id="5" xr3:uid="{79A1BFE7-E35A-42B8-84F6-E720BBF328FD}" name="Ngày tồn max" dataDxfId="726" dataCellStyle="Comma"/>
    <tableColumn id="2" xr3:uid="{1F2DF910-0F9C-41EC-BA58-D72770AD58F0}" name="Tỷ lệ dự phòng" dataDxfId="725" totalsRowDxfId="724"/>
    <tableColumn id="4" xr3:uid="{7AADE14C-25F1-4A5C-85EC-95984C62BB87}" name="Giá trị dự phòng" dataDxfId="723" dataCellStyle="Comma">
      <calculatedColumnFormula array="1"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calculatedColumnFormula>
    </tableColumn>
    <tableColumn id="3" xr3:uid="{26CFBF1B-8924-4DF8-9D84-DC5D79387387}" name="Add" dataDxfId="722"/>
  </tableColumns>
  <tableStyleInfo name="TableStyleMedium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U21:X22" totalsRowShown="0" headerRowDxfId="721" dataDxfId="720">
  <autoFilter ref="U21:X22" xr:uid="{F55A8AE4-219A-496F-ADCF-E36D3FB29D4A}"/>
  <tableColumns count="4">
    <tableColumn id="1" xr3:uid="{CBBB4261-387A-4FEE-8E2B-D325524B4494}" name="Ngày nhập" dataDxfId="719"/>
    <tableColumn id="10" xr3:uid="{5EAB9BC7-C5DF-42E4-A540-C723ED7B3495}" name="Giá trị tồn" dataDxfId="718" dataCellStyle="Comma">
      <calculatedColumnFormula array="1"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calculatedColumnFormula>
    </tableColumn>
    <tableColumn id="4" xr3:uid="{C7FE3BB4-4495-41A1-97A2-2099F0776183}" name="Ngày tồn" dataDxfId="717" dataCellStyle="Comma">
      <calculatedColumnFormula>IF(Table_TonKho_TuoiKho[[#This Row],[Giá trị tồn]] = 0,0,
TonKho_NgayTheoDoi -Table_TonKho_TuoiKho[[#This Row],[Ngày nhập]])</calculatedColumnFormula>
    </tableColumn>
    <tableColumn id="2" xr3:uid="{3A59231C-AA89-4256-8BB3-1A785E9D46E7}" name="Add" dataDxfId="716"/>
  </tableColumns>
  <tableStyleInfo name="TableStyleMedium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U21:BS36" totalsRowShown="0" headerRowDxfId="712" dataDxfId="711">
  <autoFilter ref="AU21:BS36" xr:uid="{5023EBA5-753D-43FE-9F71-91D3FB478261}"/>
  <tableColumns count="25">
    <tableColumn id="2" xr3:uid="{8E5CBC54-8A31-4EF5-A0C3-074000F41621}" name="Kỳ" dataDxfId="710">
      <calculatedColumnFormula>IFERROR(
IF(ISBLANK(AW22),
DATE(AV22,12,1),
DATE(AV22,AW22,1)),0)</calculatedColumnFormula>
    </tableColumn>
    <tableColumn id="1" xr3:uid="{F61A9320-5B75-4010-9773-8E8C089A7753}" name="Năm" dataDxfId="709"/>
    <tableColumn id="19" xr3:uid="{C1F54C3B-79A5-42C9-BA85-70CE48310B4A}" name="Tháng" dataDxfId="708"/>
    <tableColumn id="3" xr3:uid="{6152064A-A7DE-4879-87FC-7DDEA1ED6238}" name="SKU" dataDxfId="707"/>
    <tableColumn id="4" xr3:uid="{587CFBAD-E5B3-49F9-B0D7-F94A8D5566B7}" name="Nguyên liệu" dataDxfId="706"/>
    <tableColumn id="16" xr3:uid="{28BCF377-2E5C-4763-8053-BC6F362C9F57}" name="Chức năng" dataDxfId="705">
      <calculatedColumnFormula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calculatedColumnFormula>
    </tableColumn>
    <tableColumn id="23" xr3:uid="{A73209F2-44C1-448E-95FD-8B18FDE6A2C3}" name="Đối tượng" dataDxfId="704">
      <calculatedColumnFormula>IF(ISBLANK(Table_TonKho[[#This Row],[SKU]]),Table_TonKho[[#This Row],[Nguyên liệu]],Table_TonKho[[#This Row],[SKU]])</calculatedColumnFormula>
    </tableColumn>
    <tableColumn id="21" xr3:uid="{907E3A8A-3948-43C3-8505-3E5A43B517C3}" name="Kho" dataDxfId="703"/>
    <tableColumn id="5" xr3:uid="{AEB31195-8B0D-4F17-9B9C-5045B59C9FFB}" name="SL Đầu kỳ" dataDxfId="702" dataCellStyle="Comma">
      <calculatedColumnFormula array="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calculatedColumnFormula>
    </tableColumn>
    <tableColumn id="6" xr3:uid="{4B4D8AE2-22E0-4F95-8654-CDCB8993EA69}" name="SL nhập" dataDxfId="701" dataCellStyle="Comma">
      <calculatedColumnFormula array="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calculatedColumnFormula>
    </tableColumn>
    <tableColumn id="7" xr3:uid="{BCC42489-DF07-4C9F-8C55-E3C315D9098E}" name="SL xuất" dataDxfId="700" dataCellStyle="Comma">
      <calculatedColumnFormula array="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699" dataCellStyle="Comma">
      <calculatedColumnFormula array="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698" dataCellStyle="Comma"/>
    <tableColumn id="11" xr3:uid="{C54C790E-E836-41A0-8B9E-814E17353CCE}" name="Chênh lệch" dataDxfId="697" dataCellStyle="Comma">
      <calculatedColumnFormula>Table_TonKho[[#This Row],[KQ kiểm kê]]-Table_TonKho[[#This Row],[SL Cuối kỳ]]</calculatedColumnFormula>
    </tableColumn>
    <tableColumn id="12" xr3:uid="{D248C8E0-953C-40B3-863D-B83F98AE7609}" name="Sản xuất" dataDxfId="696" dataCellStyle="Comma">
      <calculatedColumnFormula array="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calculatedColumnFormula>
    </tableColumn>
    <tableColumn id="13" xr3:uid="{39742343-B8A8-4951-B7F5-D188673A49D6}" name="Tiêu thụ" dataDxfId="695"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calculatedColumnFormula>
    </tableColumn>
    <tableColumn id="14" xr3:uid="{361250BB-0E5D-40CC-8B95-248715E710F5}" name="Giá trị xuất" dataDxfId="694" dataCellStyle="Comma">
      <calculatedColumnFormula array="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15" xr3:uid="{572ABAAC-FBDD-467F-BF1F-894B4F13B37B}" name="Chi phí ghi nhận" dataDxfId="693"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calculatedColumnFormula>
    </tableColumn>
    <tableColumn id="24" xr3:uid="{23BE34BB-D727-416A-8750-ADCBFF35E90D}" name="Tồn kho cuối kỳ" dataDxfId="692" dataCellStyle="Comma">
      <calculatedColumnFormula array="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calculatedColumnFormula>
    </tableColumn>
    <tableColumn id="25" xr3:uid="{19A5AEFA-3F0B-471C-A2D2-D84471A9FF97}" name="Giá vốn cuối kỳ" dataDxfId="691" dataCellStyle="Comma">
      <calculatedColumnFormula>Table_TonKho[[#This Row],[Giá trị cuối kỳ]]-Table_TonKho[[#This Row],[Tồn kho cuối kỳ]]</calculatedColumnFormula>
    </tableColumn>
    <tableColumn id="9" xr3:uid="{AAAAF956-7C36-4185-92F7-6BBF3AA466B6}" name="Giá trị cuối kỳ" dataDxfId="690" dataCellStyle="Comma">
      <calculatedColumnFormula array="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calculatedColumnFormula>
    </tableColumn>
    <tableColumn id="20" xr3:uid="{E6F8D140-9EB4-448E-AB0E-8F01BC1949DB}" name="VAT hàng xuất" dataDxfId="689" dataCellStyle="Comma">
      <calculatedColumnFormula array="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22" xr3:uid="{F1B5FCB8-85D8-4645-9684-5891EA52EC5F}" name="VAT khấu trừ" dataDxfId="688"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calculatedColumnFormula>
    </tableColumn>
    <tableColumn id="18" xr3:uid="{0C133A06-79F7-4E85-B78C-A38176E76C82}" name="Dự phòng lũy kế" dataDxfId="687" dataCellStyle="Comma"/>
    <tableColumn id="17" xr3:uid="{CEDA79FF-A7D1-45F5-B4A8-1E5FC6FAA3B4}" name="Add" dataDxfId="686"/>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4:AD5" totalsRowShown="0" headerRowDxfId="683" dataDxfId="682">
  <autoFilter ref="B4:AD5" xr:uid="{294AD96D-0920-41EA-B450-443D36503C0F}"/>
  <tableColumns count="29">
    <tableColumn id="1" xr3:uid="{E9F33EAA-342C-4943-A26C-AE8DFC8ABFAC}" name="STT" dataDxfId="681">
      <calculatedColumnFormula array="1" xml:space="preserve">
IFERROR(
COUNTA(_xlfn._xlws.FILTER(Table_ChiPhiNV[Nhân viên],
(Table_ChiPhiNV[Năm] = E5) *
(Table_ChiPhiNV[Tháng] = F5)*
(Table_ChiPhiNV[Nhân viên] = I5)
)),0)+1</calculatedColumnFormula>
    </tableColumn>
    <tableColumn id="2" xr3:uid="{3D9D9932-4B75-46AE-BB8A-27D9A32A02A1}" name="Mã chi phí" dataDxfId="680">
      <calculatedColumnFormula>CONCATENATE(
"CP-",I5,"-",
MOD(E5,100)*100+F5,
"-",B5)</calculatedColumnFormula>
    </tableColumn>
    <tableColumn id="4" xr3:uid="{E21D6851-EFFE-4BD5-A67A-650AEF0F3499}" name="Kỳ" dataDxfId="679">
      <calculatedColumnFormula>IFERROR(
IF(ISBLANK(F5),
DATE(E5,12,1),
DATE(E5,F5,1)),0)</calculatedColumnFormula>
    </tableColumn>
    <tableColumn id="3" xr3:uid="{B7B57384-659E-4D19-BF64-F183B8616345}" name="Năm" dataDxfId="678"/>
    <tableColumn id="10" xr3:uid="{EBBF7EAF-37D3-4CAE-8B21-0F2C1D936CAA}" name="Tháng" dataDxfId="677"/>
    <tableColumn id="25" xr3:uid="{682E1FD0-1227-42AD-B9E8-CE41169B9C33}" name="Phân bổ từ" dataDxfId="676"/>
    <tableColumn id="26" xr3:uid="{FA2C2B50-0419-4CF2-83BB-ECF7732F0BEA}" name="Phân bổ đến" dataDxfId="675"/>
    <tableColumn id="6" xr3:uid="{883A56C4-ABE3-4EA9-B271-FCF4C1EB2798}" name="Nhân viên" dataDxfId="674"/>
    <tableColumn id="30" xr3:uid="{0CA733D2-44FB-44A3-8F2C-8530D5AA32ED}" name="Chức năng" dataDxfId="673">
      <calculatedColumnFormula xml:space="preserve">
IFERROR(
VLOOKUP(I5,Table_NhanVien[],COUNTA(Table_NhanVien[[#Headers],[Mã NV]:[Chức năng]]),0),0)</calculatedColumnFormula>
    </tableColumn>
    <tableColumn id="29" xr3:uid="{7A67EBDD-67E8-4B0C-BE6D-713068461E5A}" name="Phụ thuộc" dataDxfId="672" dataCellStyle="Comma">
      <calculatedColumnFormula xml:space="preserve">
IFERROR(
VLOOKUP(I5,Table_NhanVien[],COUNTA(Table_NhanVien[[#Headers],[Mã NV]:[Người phụ thuộc]]),0),0)</calculatedColumnFormula>
    </tableColumn>
    <tableColumn id="5" xr3:uid="{66C17047-5F6E-4666-AEBB-B34FD6C909B8}" name="Lương hợp đồng" dataDxfId="671" dataCellStyle="Comma">
      <calculatedColumnFormula xml:space="preserve">
IFERROR(
VLOOKUP(I5,Table_NhanVien[],COUNTA(Table_NhanVien[[#Headers],[Mã NV]:[Lương gross]]),0),0)</calculatedColumnFormula>
    </tableColumn>
    <tableColumn id="23" xr3:uid="{5F4EFB16-5BDF-4E82-B0A3-7BDF86E9029B}" name="Ngày nghỉ phép" dataDxfId="670" dataCellStyle="Comma"/>
    <tableColumn id="17" xr3:uid="{5C955F70-195E-4C91-8FFB-AF0A099E25DB}" name="Lương thực tế" dataDxfId="669" dataCellStyle="Comma">
      <calculatedColumnFormula>ChamCong_LuongTT</calculatedColumnFormula>
    </tableColumn>
    <tableColumn id="11" xr3:uid="{0662C0F6-4BCA-4F1B-BD32-D9826F17C148}" name="Hoa hồng" dataDxfId="668" dataCellStyle="Comma">
      <calculatedColumnFormula array="1">IFERROR(SUM(
_xlfn._xlws.FILTER(Table_Main[Hoa hồng],
(Table_Main[NV Bán hàng] =I5)*
(Table_Main[Ngày lên đơn] &gt;= D5)*
(Table_Main[Ngày lên đơn] &lt; DATE(E5,F5+1, 1))
)),0)</calculatedColumnFormula>
    </tableColumn>
    <tableColumn id="21" xr3:uid="{AB911A08-3ECF-410A-AAAE-F26C3DB7ECA6}" name="Thưởng KPI tháng" dataDxfId="667" dataCellStyle="Comma">
      <calculatedColumnFormula array="1" xml:space="preserve">
IF(NOT(ISBLANK(F5)),
+IFERROR(
SUM(_xlfn._xlws.FILTER(Table_KPI[Thưởng KPI],
(NOT(ISBLANK(Table_KPI[Tháng]))) *
(Table_KPI[Nhân viên] = I5)*
(Table_KPI[Kỳ] &gt;= D5) *
(Table_KPI[Kỳ] &lt; DATE(E5,F5+1, 1))
)),0),0)</calculatedColumnFormula>
    </tableColumn>
    <tableColumn id="22" xr3:uid="{2169593A-95E2-4E65-AA5C-A007A3F81CDB}" name="Thường KPI năm" dataDxfId="666" dataCellStyle="Comma"/>
    <tableColumn id="28" xr3:uid="{05E8E7AE-85A8-4FAE-941E-29BB80B34E7B}" name="Chịu thuế phân bổ khác" dataDxfId="665" dataCellStyle="Comma"/>
    <tableColumn id="18" xr3:uid="{B8C8DBEA-F276-4269-A6D5-5EF91FC55932}" name="Chịu thuế chưa phân bổ khác" dataDxfId="664" dataCellStyle="Comma"/>
    <tableColumn id="20" xr3:uid="{6548F218-B73E-4D30-9F6C-CAF8F7FC6FE4}" name="Trợ cấp miễn thuế" dataDxfId="663" dataCellStyle="Comma"/>
    <tableColumn id="27" xr3:uid="{FE6BE8E4-408E-478B-8686-7CFD9B7616A6}" name="Miễn thuế tăng ca" dataDxfId="662" dataCellStyle="Comma">
      <calculatedColumnFormula>ChamCong_MienThueOT</calculatedColumnFormula>
    </tableColumn>
    <tableColumn id="13" xr3:uid="{74C225D2-0889-440E-9F64-0CA711A9BCAE}" name="Thu nhập chịu thuế" dataDxfId="661" dataCellStyle="Comma">
      <calculatedColumnFormula xml:space="preserve">
IF(ISBLANK(F5),0,
+N5+O5+P5+Q5+R5+S5-Table_ChiPhiNV[[#This Row],[Miễn thuế tăng ca]]-ChiPhiNV_GiamTruBanThan-ChiPhiNV_GiamTruPhuThuoc*K5)</calculatedColumnFormula>
    </tableColumn>
    <tableColumn id="14" xr3:uid="{F490DC5D-E949-4E78-BD3E-8D3A7D1B4F2A}" name="Thuế TNCN" dataDxfId="660" dataCellStyle="Comma">
      <calculatedColumnFormula array="1"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calculatedColumnFormula>
    </tableColumn>
    <tableColumn id="16" xr3:uid="{58C9362E-8BCE-4C96-9B91-18880BB5ABFC}" name="Chi phí bảo hiểm" dataDxfId="659" dataCellStyle="Comma">
      <calculatedColumnFormula>IF(ISBLANK(F5),0,
IF(
L5 &lt;BHXH_LuongMax,
L5 * BHXH_TyLeDN,
BHXH_LuongMax * BHXH_TyLeDN
)
+IF(
L5 &lt; BHYT_LuongMax,
L5 * BHYT_TyLeDN,
BHYT_LuongMax * BHYT_TyLeDN
)
+IF(L5 &lt;BHTN_LuongMax,
L5 * BHTN_TyLeDN,
BHTN_LuongMax * BHTN_TyLeDN
)
)</calculatedColumnFormula>
    </tableColumn>
    <tableColumn id="19" xr3:uid="{EDB56C31-7C6C-4F84-88BF-4DE03FF89940}" name="Bảo hiểm nộp hộ" dataDxfId="658" dataCellStyle="Comma">
      <calculatedColumnFormula>IF(ISBLANK(F5),0,
IF(
L5 &lt; BHXH_LuongMax,
L5 * BHXH_TyLeNV,
BHXH_LuongMax *BHXH_TyLeNV
)
+IF(
L5 &lt; BHYT_LuongMax,
L5 * BHYT_TyLeNV,
BHYT_LuongMax * BHYT_TyLeNV
)
+IF(
L5 &lt; BHTN_LuongMax,
L5 * BHTN_TyLeNV,
BHTN_LuongMax * BHTN_TyLeNV
)
)</calculatedColumnFormula>
    </tableColumn>
    <tableColumn id="15" xr3:uid="{8E6C5EC2-DD9F-465B-8C48-4D9C734C1AE5}" name="Lương net" dataDxfId="657" dataCellStyle="Comma">
      <calculatedColumnFormula xml:space="preserve">
IF(ISBLANK(F5),0,
IF(N5+O5+P5+Q5+R5+S5+T5-W5&lt;0,0,
N5+O5+P5+Q5+R5+S5+T5-W5))</calculatedColumnFormula>
    </tableColumn>
    <tableColumn id="9" xr3:uid="{BBEECC58-D2D0-4267-A2F0-4240BF383B1E}" name="Tổng chi phí" dataDxfId="656" dataCellStyle="Comma">
      <calculatedColumnFormula xml:space="preserve">
IF(ISBLANK(F5),N5,N5+O5+P5+R5+X5+T5)</calculatedColumnFormula>
    </tableColumn>
    <tableColumn id="8" xr3:uid="{87DA2217-E67B-4F03-9454-D224C4C8F075}" name="Chi phí tính thuế" dataDxfId="655" dataCellStyle="Comma">
      <calculatedColumnFormula>AA5</calculatedColumnFormula>
    </tableColumn>
    <tableColumn id="12" xr3:uid="{6E5262A3-A886-40FD-98DA-0BED7B55A34C}" name="Add" dataDxfId="654"/>
    <tableColumn id="7" xr3:uid="{7F39433B-DC39-4976-A414-56C28A84159C}" name="Còn lại" dataDxfId="653">
      <calculatedColumnFormula array="1"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calculatedColumnFormula>
    </tableColumn>
  </tableColumns>
  <tableStyleInfo name="TableStyleMedium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51" dataDxfId="650">
  <autoFilter ref="E4:H9" xr:uid="{550F5245-E1EE-48BB-BA97-D53103E2B2FC}"/>
  <tableColumns count="4">
    <tableColumn id="1" xr3:uid="{62F57CB7-BD30-4CE3-AD5A-9EF6C021EAA8}" name="Giá trị" dataDxfId="649"/>
    <tableColumn id="2" xr3:uid="{801C3C2D-2DDD-4915-AC1A-DCD2A6F5566F}" name="BHXH" dataDxfId="648"/>
    <tableColumn id="3" xr3:uid="{59E7F34B-C57D-4E9B-9404-7B7D4142484B}" name="BHYT" dataDxfId="647"/>
    <tableColumn id="4" xr3:uid="{457FBBE8-3A9F-42FF-BDBA-AF1891425452}" name="BHTN" dataDxfId="646"/>
  </tableColumns>
  <tableStyleInfo name="TableStyleMedium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645" dataDxfId="644">
  <autoFilter ref="B4:C8" xr:uid="{B138438F-4B40-44C6-8281-F50AC510196F}"/>
  <tableColumns count="2">
    <tableColumn id="1" xr3:uid="{292AA1A7-C753-482E-94E9-088666BFB0BF}" name="Vùng" dataDxfId="643"/>
    <tableColumn id="2" xr3:uid="{F3B5F18E-1A2D-431F-9B40-2E7779B7ABA8}" name="Lương tối thiểu" dataDxfId="642" dataCellStyle="Comma"/>
  </tableColumns>
  <tableStyleInfo name="TableStyleMedium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641" dataDxfId="640">
  <autoFilter ref="O4:T11" xr:uid="{078AA6C2-B37A-44C8-9A66-799E81312864}"/>
  <tableColumns count="6">
    <tableColumn id="3" xr3:uid="{F5508474-EC5D-439A-8E93-CDD6AB2B131F}" name="Thuế suất" dataDxfId="639"/>
    <tableColumn id="1" xr3:uid="{CA2D4145-A7E0-4FFF-8284-433A4132CF97}" name="Thu nhập tối thiểu" dataDxfId="638"/>
    <tableColumn id="2" xr3:uid="{A6D996EA-5AE9-433A-91F2-46B352BEEA31}" name="Thu nhập tối đa" dataDxfId="637"/>
    <tableColumn id="4" xr3:uid="{3EFB4C5C-8B20-467E-A5AA-DBFF74729D36}" name="Thuế tối đa" dataDxfId="63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63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634"/>
  </tableColumns>
  <tableStyleInfo name="TableStyleMedium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633" dataDxfId="632">
  <autoFilter ref="J4:M13" xr:uid="{1B309752-0D63-4923-9376-1BD4C4E71FD9}"/>
  <tableColumns count="4">
    <tableColumn id="1" xr3:uid="{76ABAB96-134A-4B93-A7C2-97BD4320930C}" name="Ngày" dataDxfId="631"/>
    <tableColumn id="2" xr3:uid="{91F3741B-8C80-45EB-8295-286C033070FC}" name="Giờ min" dataDxfId="630"/>
    <tableColumn id="3" xr3:uid="{AEE0EA62-A316-445B-862E-FFF5B2C4B89E}" name="Giờ max" dataDxfId="629"/>
    <tableColumn id="4" xr3:uid="{437B4F63-EC96-4774-89E5-C76DD82E5D5A}" name="Tỷ lệ" dataDxfId="628"/>
  </tableColumns>
  <tableStyleInfo name="TableStyleMedium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AA11" totalsRowShown="0" headerRowDxfId="627" dataDxfId="626">
  <autoFilter ref="V8:AA11" xr:uid="{4D4ED97C-84DF-4E9E-B6CD-EA405CFD15E8}"/>
  <tableColumns count="6">
    <tableColumn id="1" xr3:uid="{06930772-A5E6-4FEA-8CAF-FE3FD3978895}" name="Ca" dataDxfId="625"/>
    <tableColumn id="2" xr3:uid="{753A739A-0E94-45D1-B3C8-EB2EDABEA806}" name="Bắt đầu" dataDxfId="624"/>
    <tableColumn id="3" xr3:uid="{A837C844-A844-4A2E-8FF0-7675770C0856}" name="Kết thúc" dataDxfId="623"/>
    <tableColumn id="4" xr3:uid="{BEB9C2FA-DC05-4867-95F3-10ACCF9B98CC}" name="Bắt đầu nghỉ" dataDxfId="622"/>
    <tableColumn id="5" xr3:uid="{630AB563-C317-4C5E-B4AF-C417FEE7FA7F}" name="Kết thúc nghỉ" dataDxfId="621"/>
    <tableColumn id="6" xr3:uid="{7BBB4EEE-79BC-4D0D-ACCA-6287A8DB0DA4}" name="Add" dataDxfId="620"/>
  </tableColumns>
  <tableStyleInfo name="TableStyleMedium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N9" totalsRowShown="0" headerRowDxfId="619" dataDxfId="618">
  <autoFilter ref="BI8:BN9" xr:uid="{C03752B9-6441-44CC-9F83-B8ADA8647E1D}"/>
  <tableColumns count="6">
    <tableColumn id="1" xr3:uid="{0D3E401B-B875-45CB-BEBE-89FD7B825B13}" name="Loại" dataDxfId="617"/>
    <tableColumn id="2" xr3:uid="{8D0AAFE9-FD63-4F86-9B4D-E77AD4DDF4B8}" name="Mã Nhân viên" dataDxfId="616"/>
    <tableColumn id="3" xr3:uid="{F930BECB-6125-493C-922B-048549C0882C}" name="Thời điểm" dataDxfId="615"/>
    <tableColumn id="4" xr3:uid="{36B04F39-A935-4B83-B2DC-05AE3893B680}" name="Ngày" dataDxfId="614">
      <calculatedColumnFormula>INT(Table_ChiPhiNV_ChamCong[[#This Row],[Thời điểm]])</calculatedColumnFormula>
    </tableColumn>
    <tableColumn id="5" xr3:uid="{3D1FC5E7-A715-479D-BAF5-DEFA48B735AA}" name="Giờ" dataDxfId="613">
      <calculatedColumnFormula>Table_ChiPhiNV_ChamCong[[#This Row],[Thời điểm]]-Table_ChiPhiNV_ChamCong[[#This Row],[Ngày]]</calculatedColumnFormula>
    </tableColumn>
    <tableColumn id="6" xr3:uid="{F6734E0D-32C8-45CD-8BFE-6B18CF211B0F}" name="Add" dataDxfId="612"/>
  </tableColumns>
  <tableStyleInfo name="TableStyleMedium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I4:R5" totalsRowShown="0" headerRowDxfId="610" dataDxfId="609">
  <autoFilter ref="I4:R5" xr:uid="{25B92B70-A65A-4BB4-AFAF-17CD34038C01}"/>
  <tableColumns count="10">
    <tableColumn id="4" xr3:uid="{831F5562-6DF2-4C26-AF42-9E500D5C2BBA}" name="Kỳ" dataDxfId="608">
      <calculatedColumnFormula>IFERROR(
IF(ISBLANK(Table_KPI[[#This Row],[Tháng]]),
DATE(Table_KPI[[#This Row],[Năm]],12,1),
DATE(Table_KPI[[#This Row],[Năm]],Table_KPI[[#This Row],[Tháng]],1)),0)</calculatedColumnFormula>
    </tableColumn>
    <tableColumn id="3" xr3:uid="{2808BE42-D5DC-4AC5-9DF6-CB1FFC344678}" name="Năm" dataDxfId="607"/>
    <tableColumn id="9" xr3:uid="{6FBBBEE4-1479-4737-A4B7-428567D70F40}" name="Tháng" dataDxfId="606"/>
    <tableColumn id="1" xr3:uid="{BC1162C5-DCE7-4D84-9630-A787E918F57C}" name="Nhân viên" dataDxfId="605"/>
    <tableColumn id="2" xr3:uid="{5ABB2918-90ED-4247-B51E-231B14F7DE9E}" name="Kênh" dataDxfId="604"/>
    <tableColumn id="5" xr3:uid="{DED0AA08-5E3A-499C-9E4F-A67A626A20AE}" name="Doanh thu KPI" dataDxfId="603" dataCellStyle="Comma"/>
    <tableColumn id="6" xr3:uid="{E4446FF1-0070-4E03-B157-8F9425FA327E}" name="Doanh thu thực tế" dataDxfId="602" dataCellStyle="Comma">
      <calculatedColumnFormula array="1">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calculatedColumnFormula>
    </tableColumn>
    <tableColumn id="7" xr3:uid="{9D97A11E-383B-4963-941A-F78165ACA0CB}" name="Tỷ lệ KPI" dataDxfId="601">
      <calculatedColumnFormula>IFERROR(Table_KPI[[#This Row],[Doanh thu thực tế]]/Table_KPI[[#This Row],[Doanh thu KPI]],0)</calculatedColumnFormula>
    </tableColumn>
    <tableColumn id="8" xr3:uid="{7159B510-A5A6-4011-8850-B711CAF79CD1}" name="Thưởng KPI" dataDxfId="600" dataCellStyle="Comma">
      <calculatedColumnFormula array="1"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 id="10" xr3:uid="{1E732D91-40A0-4BCC-A74A-5E998E8F3505}" name="Add" dataDxfId="599"/>
  </tableColumns>
  <tableStyleInfo name="TableStyleMedium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B4:G5" totalsRowShown="0" headerRowDxfId="598" dataDxfId="597">
  <autoFilter ref="B4:G5" xr:uid="{2A700966-B946-4558-BE22-99AF6B5C1F14}"/>
  <tableColumns count="6">
    <tableColumn id="1" xr3:uid="{372298CB-1FC0-44F9-9A44-07D557C3001F}" name="Đối tượng áp dụng" dataDxfId="596"/>
    <tableColumn id="2" xr3:uid="{3EF02C4B-8043-4158-84AE-E39B6E150981}" name="Loại KPI" dataDxfId="595"/>
    <tableColumn id="3" xr3:uid="{5F10DCD2-E481-44D2-91BF-149730CD7F5A}" name="Tỷ lệ KPI min" dataDxfId="594" dataCellStyle="Percent"/>
    <tableColumn id="6" xr3:uid="{5E21FD03-D69C-4215-925E-44A1D4F69061}" name="Tỷ lệ KPI max" dataDxfId="593" dataCellStyle="Percent"/>
    <tableColumn id="4" xr3:uid="{98E3AD66-020E-40A9-A6A3-48CA0E959609}" name="Mức thưởng" dataDxfId="592" dataCellStyle="Comma"/>
    <tableColumn id="5" xr3:uid="{A0E8F173-903B-4296-8701-508E9E5EE235}" name="Add" dataDxfId="591"/>
  </tableColumns>
  <tableStyleInfo name="TableStyleMedium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I20:Q53" totalsRowShown="0" headerRowDxfId="589" dataDxfId="588">
  <autoFilter ref="I20:Q53" xr:uid="{6905FFE6-DD04-489C-AD09-289D17B2B7B7}"/>
  <tableColumns count="9">
    <tableColumn id="1" xr3:uid="{CF77CA6B-7F51-408D-A6D8-2230BBD9B50E}" name="Kỳ" dataDxfId="587">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86"/>
    <tableColumn id="3" xr3:uid="{286D597C-B3D6-4957-9F67-8DE9ED9415FC}" name="Tháng" dataDxfId="585"/>
    <tableColumn id="5" xr3:uid="{10132119-7E6F-4E94-A296-34C544489582}" name="Khấu hao" dataDxfId="584">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583"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582"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581"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 id="7" xr3:uid="{0D773EF6-9454-477D-BB1F-7508C29A78FD}" name="Giá trị tính thuế" dataDxfId="580">
      <calculatedColumnFormula>L21</calculatedColumnFormula>
    </tableColumn>
    <tableColumn id="8" xr3:uid="{39E39F52-CC76-47A9-BFB7-8ACE3E440D52}" name="Add" dataDxfId="579"/>
  </tableColumns>
  <tableStyleInfo name="TableStyleMedium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76B63EA-291E-48DC-AA08-50BF5281E5B9}" name="Table_NopNS" displayName="Table_NopNS" ref="B12:K13" totalsRowShown="0" headerRowDxfId="575" dataDxfId="574">
  <autoFilter ref="B12:K13" xr:uid="{C76B63EA-291E-48DC-AA08-50BF5281E5B9}"/>
  <sortState xmlns:xlrd2="http://schemas.microsoft.com/office/spreadsheetml/2017/richdata2" ref="B13:K13">
    <sortCondition ref="B12:B13"/>
  </sortState>
  <tableColumns count="10">
    <tableColumn id="1" xr3:uid="{CD6E6134-920A-4C8D-9AA1-99D5524D7BBC}" name="Kỳ" dataDxfId="573">
      <calculatedColumnFormula>IFERROR(
DATE(C13,D13,1),0)</calculatedColumnFormula>
    </tableColumn>
    <tableColumn id="3" xr3:uid="{95E30154-133D-4F61-AFB8-DA2570DCB075}" name="Năm" dataDxfId="572"/>
    <tableColumn id="2" xr3:uid="{74B1B8EC-1809-4D5C-80AC-93D30ED042E5}" name="Tháng" dataDxfId="571"/>
    <tableColumn id="12" xr3:uid="{2C39D079-FCEC-4397-85CA-F1F4F3BFEB0B}" name="Ngân sách" dataDxfId="570"/>
    <tableColumn id="14" xr3:uid="{FC515957-0AB2-428C-A6E5-6339BC653791}" name="Giá trị phải nộp" dataDxfId="569" dataCellStyle="Comma">
      <calculatedColumnFormula array="1"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calculatedColumnFormula>
    </tableColumn>
    <tableColumn id="18" xr3:uid="{C64AF375-6844-44BE-860D-04FCFE697700}" name="Giá trị tính thuế" dataDxfId="568" dataCellStyle="Comma">
      <calculatedColumnFormula array="1"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calculatedColumnFormula>
    </tableColumn>
    <tableColumn id="19" xr3:uid="{6E981378-5EB8-4DB3-B477-54B8AD66E778}" name="Giá trị khấu trừ" dataDxfId="567" dataCellStyle="Comma">
      <calculatedColumnFormula array="1">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calculatedColumnFormula>
    </tableColumn>
    <tableColumn id="21" xr3:uid="{8901728D-12C0-46C1-99F9-6BC387EE8D49}" name="Thuế suất TNDN" dataDxfId="566" dataCellStyle="Percent"/>
    <tableColumn id="20" xr3:uid="{6C3B8DCD-C3D5-4964-8C3A-A9FCCC4F0237}" name="Còn lại" dataDxfId="565" dataCellStyle="Comma">
      <calculatedColumnFormula array="1"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calculatedColumnFormula>
    </tableColumn>
    <tableColumn id="7" xr3:uid="{98B344EB-715E-41D6-A585-4A104EAF4063}" name="Add" dataDxfId="564"/>
  </tableColumns>
  <tableStyleInfo name="TableStyleMedium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BBFAFDA-0432-4F25-AB1A-114DABFC5F95}" name="Table_NopNS_NganSach" displayName="Table_NopNS_NganSach" ref="E3:F10" totalsRowShown="0" headerRowDxfId="563" dataDxfId="561" headerRowBorderDxfId="562" tableBorderDxfId="560" totalsRowBorderDxfId="559">
  <autoFilter ref="E3:F10" xr:uid="{3BBFAFDA-0432-4F25-AB1A-114DABFC5F95}"/>
  <tableColumns count="2">
    <tableColumn id="1" xr3:uid="{73ABBD31-51F1-4BCF-81D6-AA74F4BF2253}" name="Loại thuế" dataDxfId="558"/>
    <tableColumn id="2" xr3:uid="{198674E0-3320-4801-A417-78B0B34847D8}" name="Tên Đối tác" dataDxfId="557"/>
  </tableColumns>
  <tableStyleInfo name="TableStyleMedium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J21:AA34" totalsRowShown="0" headerRowDxfId="554" dataDxfId="553">
  <autoFilter ref="J21:AA34" xr:uid="{35766FBF-6C41-4A6D-80F2-CCD99F5DBD5E}"/>
  <tableColumns count="18">
    <tableColumn id="2" xr3:uid="{17A4BF9C-4541-424B-9FBE-87CC97661C47}" name="Kỳ" dataDxfId="552">
      <calculatedColumnFormula>IFERROR(
IF(ISBLANK(L22),
DATE(K22,12,1),
DATE(K22,L22,1)),0)</calculatedColumnFormula>
    </tableColumn>
    <tableColumn id="1" xr3:uid="{4FF45AAE-99CE-4510-B5FD-1ECE78FEA668}" name="Năm" dataDxfId="551"/>
    <tableColumn id="4" xr3:uid="{26A6D510-F423-4836-8842-BCDCAEEE6893}" name="Tháng" dataDxfId="550"/>
    <tableColumn id="3" xr3:uid="{D3A150E2-FCBA-4979-AE2B-2367E3717F18}" name="Khoản vay" dataDxfId="549"/>
    <tableColumn id="18" xr3:uid="{94BE6EC4-3CA8-4A2C-8B70-45E17B7622DE}" name="Tần suất" dataDxfId="548">
      <calculatedColumnFormula xml:space="preserve">
IFERROR(
VLOOKUP(
Table_VayNo_LichTra[[#This Row],[Khoản vay]],
Table_VayNo[],
COUNTA(Table_VayNo[[#Headers],[Mã khoản vay]:[Tần suất trả nợ]]),
0),
0)</calculatedColumnFormula>
    </tableColumn>
    <tableColumn id="11" xr3:uid="{6FA375AB-7A2B-49FC-B595-BFA9656988D2}" name="Ngày vay" dataDxfId="547">
      <calculatedColumnFormula xml:space="preserve">
IFERROR(
VLOOKUP(
Table_VayNo_LichTra[[#This Row],[Khoản vay]],
Table_VayNo[],
COUNTA(Table_VayNo[[#Headers],[Mã khoản vay]:[Ngày vay]]),
0),
0)</calculatedColumnFormula>
    </tableColumn>
    <tableColumn id="17" xr3:uid="{3E26B1F4-2C90-40AC-B37A-F9E0BDCBD5A7}" name="Ngày bắt đầu" dataDxfId="546">
      <calculatedColumnFormula xml:space="preserve">
IFERROR(
VLOOKUP(
Table_VayNo_LichTra[[#This Row],[Khoản vay]],
Table_VayNo[],
COUNTA(Table_VayNo[[#Headers],[Mã khoản vay]:[Bắt đầu trả gốc]]),
0),
0)</calculatedColumnFormula>
    </tableColumn>
    <tableColumn id="12" xr3:uid="{97AC5F82-E53E-4B86-BC63-72B9184FFDBE}" name="Ngày kết thúc" dataDxfId="54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54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54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54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54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14" xr3:uid="{949175E8-7C1D-4CCE-BAB5-DB6AC72C7EE6}" name="Phân bổ lãi tháng" dataDxfId="540" dataCellStyle="Comma">
      <calculatedColumnFormula>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calculatedColumnFormula>
    </tableColumn>
    <tableColumn id="5" xr3:uid="{70DEDC54-78CF-4C6D-8D8E-55C3D3263F6D}" name="Tổng phải trả" dataDxfId="539" dataCellStyle="Comma">
      <calculatedColumnFormula>Table_VayNo_LichTra[[#This Row],[Lãi vay]]+Table_VayNo_LichTra[[#This Row],[Trả gốc trong kỳ]]</calculatedColumnFormula>
    </tableColumn>
    <tableColumn id="13" xr3:uid="{11492E98-D9E5-4318-A11A-0C84DD7E8ABF}" name="Chi phí tính thuế" dataDxfId="538" dataCellStyle="Comma">
      <calculatedColumnFormula>Table_VayNo_LichTra[[#This Row],[Phân bổ lãi tháng]]</calculatedColumnFormula>
    </tableColumn>
    <tableColumn id="15" xr3:uid="{A05B5372-9400-46BA-AAE0-076C26EBAFF5}" name="Ngày phải trả" dataDxfId="537"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calculatedColumnFormula>
    </tableColumn>
    <tableColumn id="9" xr3:uid="{86613D8D-DBC2-4722-8640-AC9144B17375}" name="Còn lại" dataDxfId="536" dataCellStyle="Comma">
      <calculatedColumnFormula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calculatedColumnFormula>
    </tableColumn>
    <tableColumn id="10" xr3:uid="{9CCD0616-9918-4211-B3FE-819A2C3B0AD1}" name="Add" dataDxfId="535"/>
  </tableColumns>
  <tableStyleInfo name="TableStyleMedium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B4C3F0F-29ED-4A15-ABC6-87376D62CBA0}" name="Table_DauTu_LichThu" displayName="Table_DauTu_LichThu" ref="B3:K4" totalsRowShown="0" headerRowDxfId="533" dataDxfId="532">
  <autoFilter ref="B3:K4" xr:uid="{35766FBF-6C41-4A6D-80F2-CCD99F5DBD5E}"/>
  <tableColumns count="10">
    <tableColumn id="2" xr3:uid="{70E94E7A-B01C-448C-A615-62344294FB2D}" name="Kỳ" dataDxfId="531">
      <calculatedColumnFormula>IFERROR(
IF(ISBLANK(D4),
DATE(C4,12,1),
DATE(C4,D4,1)),0)</calculatedColumnFormula>
    </tableColumn>
    <tableColumn id="1" xr3:uid="{39F651A3-9FD0-406A-96D9-9086E6DDE484}" name="Năm" dataDxfId="530"/>
    <tableColumn id="3" xr3:uid="{99F8DDB3-C203-4609-B4DC-DE56F45F1D2F}" name="Tháng" dataDxfId="529"/>
    <tableColumn id="6" xr3:uid="{FCBFACE5-6421-49AF-A9B4-E954F44052F5}" name="Tài sản đầu tư" dataDxfId="528"/>
    <tableColumn id="7" xr3:uid="{657CEDEC-B0BB-424F-B241-083CF95D7F51}" name="Nhận gốc" dataDxfId="527" dataCellStyle="Comma">
      <calculatedColumnFormula array="1">IFERROR(
SUM(_xlfn._xlws.FILTER(Table_DauTu[Giá trị đầu tư],
(Table_DauTu[Mã khoản đầu tư]=Table_DauTu_LichThu[[#This Row],[Tài sản đầu tư]])*
(Table_DauTu[Kỳ đáo hạn]=Table_DauTu_LichThu[[#This Row],[Kỳ]])
)),0)</calculatedColumnFormula>
    </tableColumn>
    <tableColumn id="8" xr3:uid="{0F4953F6-2BA3-4A64-87A6-1F924448235C}" name="Nhận lãi" dataDxfId="526" dataCellStyle="Comma">
      <calculatedColumnFormula array="1">IFERROR(
SUM(_xlfn._xlws.FILTER(Table_DauTu[Lãi hàng tháng],
(Table_DauTu[Mã khoản đầu tư]=Table_DauTu_LichThu[[#This Row],[Tài sản đầu tư]])*
(Table_DauTu[Kỳ đầu tư] &lt; Table_DauTu_LichThu[[#This Row],[Kỳ]]) *
(Table_DauTu[Kỳ đáo hạn] &gt;= Table_DauTu_LichThu[[#This Row],[Kỳ]])
)),0)</calculatedColumnFormula>
    </tableColumn>
    <tableColumn id="5" xr3:uid="{782CA152-3021-452D-A00A-B3151BD3F168}" name="Tổng phải thu" dataDxfId="525" dataCellStyle="Comma">
      <calculatedColumnFormula>+Table_DauTu_LichThu[[#This Row],[Nhận lãi]]+Table_DauTu_LichThu[[#This Row],[Nhận gốc]]</calculatedColumnFormula>
    </tableColumn>
    <tableColumn id="9" xr3:uid="{372DC5B0-C810-4F4A-83AA-30839D495F1E}" name="Thu nhập tính thuế" dataDxfId="524" dataCellStyle="Comma">
      <calculatedColumnFormula>+Table_DauTu_LichThu[[#This Row],[Nhận lãi]]</calculatedColumnFormula>
    </tableColumn>
    <tableColumn id="4" xr3:uid="{9FB0F2B4-B742-40FD-9EAA-E9A9009CBB3F}" name="Add" dataDxfId="523"/>
    <tableColumn id="10" xr3:uid="{9F1C8EFB-12FE-496F-A867-198262ECD2FA}" name="Còn lại" dataDxfId="522">
      <calculatedColumnFormula array="1">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calculatedColumnFormula>
    </tableColumn>
  </tableColumns>
  <tableStyleInfo name="TableStyleMedium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4:AU81" totalsRowShown="0" headerRowDxfId="516" dataDxfId="515">
  <autoFilter ref="B4:AU81" xr:uid="{7EE1FBC0-CA11-44D8-84E1-E68C320835D5}"/>
  <sortState xmlns:xlrd2="http://schemas.microsoft.com/office/spreadsheetml/2017/richdata2" ref="B5:AU81">
    <sortCondition descending="1" ref="K4:K81"/>
  </sortState>
  <tableColumns count="46">
    <tableColumn id="19" xr3:uid="{24D5294F-794C-47D4-B19B-4784BEEF58CD}" name="Mã SKU" dataDxfId="514"/>
    <tableColumn id="1" xr3:uid="{18961AB9-4F59-4CDA-9625-CBEB24FFC7F7}" name="Mã Nguyên liệu" dataDxfId="513"/>
    <tableColumn id="3" xr3:uid="{053A4FB5-02D1-4874-AA7F-F73A691AE0B6}" name="Đối tượng" dataDxfId="512" dataCellStyle="Comma">
      <calculatedColumnFormula>IF(ISBLANK(Table_Main[[#This Row],[Mã SKU]]),Table_Main[[#This Row],[Mã Nguyên liệu]],Table_Main[[#This Row],[Mã SKU]])</calculatedColumnFormula>
    </tableColumn>
    <tableColumn id="22" xr3:uid="{28EC1C91-1B42-49B4-B9A1-38D6FCBF4C1A}" name="Tồn kho đầu ngày" dataDxfId="511"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3" xr3:uid="{D00CB506-527B-4A36-938D-50A3946E0B9A}" name="Tồn kho cuối ngày" dataDxfId="510"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4" xr3:uid="{F2E55237-6A71-497D-A46E-1CC4617425ED}" name="Giá trị tồn đầu ngày" dataDxfId="509"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5" xr3:uid="{EB8B09FF-044D-4A37-AB94-78A2696A9D48}" name="Giá trị tồn cuối ngày" dataDxfId="508"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7" xr3:uid="{C9F6F960-6795-40B3-A6E0-025C3B76A184}" name="Giá trị bình quân đầu ngày" dataDxfId="507" dataCellStyle="Comma">
      <calculatedColumnFormula>IFERROR(Table_Main[[#This Row],[Giá trị tồn đầu ngày]]/Table_Main[[#This Row],[Tồn kho đầu ngày]],0)</calculatedColumnFormula>
    </tableColumn>
    <tableColumn id="28" xr3:uid="{1D7F2A09-B40C-47EF-BBF4-3D173B4856DD}" name="Giá trị bình quân cuối ngày" dataDxfId="506" dataCellStyle="Comma">
      <calculatedColumnFormula>IFERROR(Table_Main[[#This Row],[Giá trị tồn cuối ngày]]/Table_Main[[#This Row],[Tồn kho cuối ngày]],0)</calculatedColumnFormula>
    </tableColumn>
    <tableColumn id="38" xr3:uid="{9BB57A10-EF8B-4168-9D57-6AB152E3EAE6}" name="Ngày xuất nhập" dataDxfId="505"/>
    <tableColumn id="2" xr3:uid="{10DA1A7A-0C4B-4307-86AF-52B679F6F5C3}" name="Ngày lên đơn" dataDxfId="504">
      <calculatedColumnFormula xml:space="preserve">
IFERROR(
IFERROR(
VLOOKUP(Table_Main[[#This Row],[Đơn Mua]],Table_DonMua[[Mã Đơn mua]:[Add]],COUNTA(Table_DonMua[[#Headers],[Mã Đơn mua]:[Ngày lập]]),0),
VLOOKUP(Table_Main[[#This Row],[Đơn bán]],Table_DonBan[[Mã Đơn bán]:[Add]], COUNTA(Table_DonBan[[#Headers],[Mã Đơn bán]:[Ngày lập]]),0)),0)</calculatedColumnFormula>
    </tableColumn>
    <tableColumn id="35" xr3:uid="{F856226F-3062-425F-9FB3-172CC796AE58}" name="Tháng lên đơn" dataDxfId="503">
      <calculatedColumnFormula>IFERROR(MONTH(Table_Main[[#This Row],[Ngày lên đơn]]),0)</calculatedColumnFormula>
    </tableColumn>
    <tableColumn id="10" xr3:uid="{B7676641-15AA-4C16-947A-6248C8B67BD4}" name="Ngày ship mua" dataDxfId="502">
      <calculatedColumnFormula>IF(Table_Main[[#This Row],[Ngày lên đơn]]=0,"",Table_Main[[#This Row],[Ngày xuất nhập]]-Table_Main[[#This Row],[Ngày lên đơn]])</calculatedColumnFormula>
    </tableColumn>
    <tableColumn id="6" xr3:uid="{38735BED-DFF8-4F08-BB6C-BDA9A4923D2C}" name="Loại" dataDxfId="501"/>
    <tableColumn id="11" xr3:uid="{EB6998ED-BA0B-44B1-845A-BF43DC68BE22}" name="Kho" dataDxfId="500"/>
    <tableColumn id="5" xr3:uid="{EAB2F578-A8BB-4FAB-A929-B66E906EBF6E}" name="Số lượng" dataDxfId="499" dataCellStyle="Comma"/>
    <tableColumn id="21" xr3:uid="{7F71F8EC-8777-467E-9161-9B28AC8A46D4}" name="Đơn Mua" dataDxfId="498"/>
    <tableColumn id="9" xr3:uid="{E8C99E10-20DB-401A-8813-3D36BB052B76}" name="Nhà cung cấp" dataDxfId="497">
      <calculatedColumnFormula>IFERROR(VLOOKUP(Table_Main[[#This Row],[Đơn Mua]],Table_DonMua[[Mã Đơn mua]:[Add]],COUNTA(Table_DonMua[[#Headers],[Mã Đơn mua]:[Mã Đối tác]]),0),0)</calculatedColumnFormula>
    </tableColumn>
    <tableColumn id="29" xr3:uid="{80A773D5-6191-467C-8839-401F9EB003EF}" name="Giá nhập" dataDxfId="496" dataCellStyle="Comma"/>
    <tableColumn id="20" xr3:uid="{09E96BB3-B616-4831-B3CE-D5733239938A}" name="Giá trị hàng nhập" dataDxfId="495" dataCellStyle="Comma">
      <calculatedColumnFormula xml:space="preserve">
IF(NOT(ISBLANK(Table_Main[[#This Row],[Đơn Mua]])),Table_Main[[#This Row],[Số lượng]]*Table_Main[[#This Row],[Giá nhập]],Table_Main[[#This Row],[Số lượng]]*Table_Main[[#This Row],[Giá trị bình quân đầu ngày]])</calculatedColumnFormula>
    </tableColumn>
    <tableColumn id="41" xr3:uid="{9AF633E5-DDF7-4CA1-AFF3-ED047E9E2E39}" name="Tỷ suất VAT khấu trừ" dataDxfId="494">
      <calculatedColumnFormula>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calculatedColumnFormula>
    </tableColumn>
    <tableColumn id="26" xr3:uid="{94618551-33D1-4CDC-8D65-774AD8D26986}" name="VAT khấu trừ" dataDxfId="493" dataCellStyle="Comma">
      <calculatedColumnFormula>IF(Table_Main[[#This Row],[Đơn Mua]]="", 0,IFERROR(Table_Main[[#This Row],[Tỷ suất VAT khấu trừ]]*(Table_Main[[#This Row],[Giá trị hàng nhập]]/(1+Table_Main[[#This Row],[Tỷ suất VAT khấu trừ]])),0))</calculatedColumnFormula>
    </tableColumn>
    <tableColumn id="15" xr3:uid="{FFAB80BA-3D9B-4E0F-B218-469DB473D525}" name="Đơn bán" dataDxfId="492"/>
    <tableColumn id="50" xr3:uid="{7B00697E-F170-4DCC-9865-BA4F05A89039}" name="Khách hàng" dataDxfId="491">
      <calculatedColumnFormula>IFERROR(VLOOKUP(Table_Main[[#This Row],[Đơn bán]],Table_DonBan[[Mã Đơn bán]:[Add]],COUNTA(Table_DonBan[[#Headers],[Mã Đơn bán]:[Mã Khách]]),0),0)</calculatedColumnFormula>
    </tableColumn>
    <tableColumn id="4" xr3:uid="{11B0C473-5911-4971-926A-B6CE6070C5F5}" name="Giá bán niêm yết" dataDxfId="490" dataCellStyle="Comma">
      <calculatedColumnFormula>IF(ISBLANK(Table_Main[[#This Row],[Đơn bán]]),0,
VLOOKUP(Table_Main[[#This Row],[Mã SKU]],Table_SKU[[Mã SKU]:[Giá bán]],COUNTA(Table_SKU[[#Headers],[Mã SKU]:[Giá bán]]),0))</calculatedColumnFormula>
    </tableColumn>
    <tableColumn id="32" xr3:uid="{A51814CD-EB9E-4E26-A126-425A663147EE}" name="Thành tiền niêm yết" dataDxfId="489" dataCellStyle="Comma">
      <calculatedColumnFormula>IF(ISBLANK(Table_Main[[#This Row],[Đơn bán]]),0,
IF(Table_Main[[#This Row],[Loại]] = "Xuất",Table_Main[[#This Row],[Giá bán niêm yết]]*Table_Main[[#This Row],[Số lượng]],-Table_Main[[#This Row],[Giá bán niêm yết]]*Table_Main[[#This Row],[Số lượng]]))</calculatedColumnFormula>
    </tableColumn>
    <tableColumn id="16" xr3:uid="{4463A2F6-03AA-4925-A3FD-419A1B30C27F}" name="Chương trình" dataDxfId="488"/>
    <tableColumn id="17" xr3:uid="{9A8AEB02-9AFD-4EF8-9D1D-F40A983CEADC}" name="Tỷ lệ CK" dataDxfId="487">
      <calculatedColumnFormula>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calculatedColumnFormula>
    </tableColumn>
    <tableColumn id="39" xr3:uid="{772E6260-51FD-4774-8389-F0834D3A7459}" name="Giá trị CK" dataDxfId="486" dataCellStyle="Comma">
      <calculatedColumnFormula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calculatedColumnFormula>
    </tableColumn>
    <tableColumn id="43" xr3:uid="{03C49133-C06E-4684-AB98-A93FFB2C0631}" name="Giá trị bán trước VAT" dataDxfId="485" dataCellStyle="Comma">
      <calculatedColumnFormula>IF(ISBLANK(Table_Main[[#This Row],[Đơn bán]]),0,
IF(Table_Main[[#This Row],[Loại]] = "Xuất",Table_Main[[#This Row],[Giá bán niêm yết]]*Table_Main[[#This Row],[Số lượng]]-Table_Main[[#This Row],[Giá trị CK]],-Table_Main[[#This Row],[Giá bán niêm yết]]*Table_Main[[#This Row],[Số lượng]]+Table_Main[[#This Row],[Giá trị CK]]))</calculatedColumnFormula>
    </tableColumn>
    <tableColumn id="18" xr3:uid="{337136D8-748B-4A8F-9751-905B9FDD86E3}" name="VAT" dataDxfId="484" dataCellStyle="Comma">
      <calculatedColumnFormula xml:space="preserve">
IF(Table_Main[[#This Row],[Đơn bán]]="", 0,
IFERROR(
VLOOKUP(Table_Main[[#This Row],[Mã SKU]],Table_SKU[[Mã SKU]:[Tỷ suất VAT]],COUNTA(Table_SKU[[#Headers],[Mã SKU]:[Tỷ suất VAT]]),0),0)*Table_Main[[#This Row],[Giá trị bán trước VAT]])</calculatedColumnFormula>
    </tableColumn>
    <tableColumn id="45" xr3:uid="{408BECD2-0311-4DC1-99AD-0CA1E44D1094}" name="NV Bán hàng" dataDxfId="483">
      <calculatedColumnFormula>IFERROR(VLOOKUP(Table_Main[[#This Row],[Đơn bán]],Table_DonBan[[Mã Đơn bán]:[Add]],COUNTA(Table_DonBan[[#Headers],[Mã Đơn bán]:[Mã NV]]),0),0)</calculatedColumnFormula>
    </tableColumn>
    <tableColumn id="31" xr3:uid="{ADF1050F-6890-4850-B0E7-F61B55C14631}" name="Tỷ lệ hoa hồng" dataDxfId="482">
      <calculatedColumnFormula>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calculatedColumnFormula>
    </tableColumn>
    <tableColumn id="40" xr3:uid="{2453B3B8-1DDB-4135-87FF-C65BDC9C2C8A}" name="Hoa hồng" dataDxfId="481" dataCellStyle="Comma">
      <calculatedColumnFormula>IFERROR(Table_Main[[#This Row],[Giá trị bán trước VAT]]*Table_Main[[#This Row],[Tỷ lệ hoa hồng]],"")</calculatedColumnFormula>
    </tableColumn>
    <tableColumn id="33" xr3:uid="{734B6FF8-8B1D-4B8F-8584-0A27FBBAE093}" name="Kênh" dataDxfId="480" dataCellStyle="Comma">
      <calculatedColumnFormula>IFERROR(VLOOKUP(Table_Main[[#This Row],[Đơn bán]],Table_DonBan[[Mã Đơn bán]:[Add]],COUNTA(Table_DonBan[[#Headers],[Mã Đơn bán]:[Kênh]]),0),0)</calculatedColumnFormula>
    </tableColumn>
    <tableColumn id="34" xr3:uid="{0FAB8388-F8C2-44D5-9DF6-9F2B2BC31397}" name="Tỷ lệ CK kênh" dataDxfId="479" dataCellStyle="Percent">
      <calculatedColumnFormula>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calculatedColumnFormula>
    </tableColumn>
    <tableColumn id="36" xr3:uid="{71A1D9C7-16A4-452F-9C83-DBD025B80680}" name="CK kênh" dataDxfId="478" dataCellStyle="Comma">
      <calculatedColumnFormula>IFERROR(Table_Main[[#This Row],[Giá trị bán trước VAT]]*Table_Main[[#This Row],[Tỷ lệ CK kênh]],"")</calculatedColumnFormula>
    </tableColumn>
    <tableColumn id="8" xr3:uid="{3A189888-CEF8-494F-B6EE-A0DA166B7135}" name="Vận đơn bán" dataDxfId="477"/>
    <tableColumn id="12" xr3:uid="{215B916C-8D38-4F8A-8D8C-FF98A1A9D845}" name="Add" dataDxfId="476"/>
    <tableColumn id="37" xr3:uid="{6B139724-15D7-4CB1-98CA-006B024CFB89}" name="Tổng hợp ĐK" dataDxfId="475" dataCellStyle="Comma">
      <calculatedColumnFormula>Table_Main[[#This Row],[ĐK - Phân loại]]*Table_Main[[#This Row],[ĐK - Thời gian]]*Table_Main[[#This Row],[ĐK - Giá trị]]*Table_Main[[#This Row],[ĐK - Số lượng]]*Table_Main[[#This Row],[ĐK - Sinh nhật]]*Table_Main[[#This Row],[ĐK - Ngày mua cuối]]</calculatedColumnFormula>
    </tableColumn>
    <tableColumn id="42" xr3:uid="{07588027-DB52-4555-A8DF-2E0E2E27B6F7}" name="ĐK - Phân loại" dataDxfId="474" dataCellStyle="Comma">
      <calculatedColumnFormula xml:space="preserve">
IF(ISBLANK(Table_Main[[#This Row],[Chương trình]]),1,
IF(VLOOKUP(Table_Main[[#This Row],[Chương trình]],Table_ChuongTrinh[[Mã Chương trình]:[Đối tượng CK]],Sheet_ChuongTrinh!$C$1,0) = "Sản phẩm",1,0))</calculatedColumnFormula>
    </tableColumn>
    <tableColumn id="44" xr3:uid="{58C56D5A-C3B1-4237-8CEC-FB42673011D0}" name="ĐK - Thời gian" dataDxfId="473" dataCellStyle="Comma">
      <calculatedColumnFormula>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calculatedColumnFormula>
    </tableColumn>
    <tableColumn id="46" xr3:uid="{3A895688-A80F-4F80-8BC7-C2538289C840}" name="ĐK - Giá trị" dataDxfId="472" dataCellStyle="Comma">
      <calculatedColumnFormula>IF(ISBLANK(Table_Main[[#This Row],[Chương trình]]),
1,
IF(ISBLANK(VLOOKUP(Table_Main[[#This Row],[Chương trình]],Table_ChuongTrinh[],Sheet_ChuongTrinh!$J$1,0)),
1,
IF(Table_Main[[#This Row],[Giá trị bán trước VAT]]&gt;= VLOOKUP(Table_Main[[#This Row],[Chương trình]],Table_ChuongTrinh[],Sheet_ChuongTrinh!$J$1,0),
1,
0)))</calculatedColumnFormula>
    </tableColumn>
    <tableColumn id="47" xr3:uid="{9D04A365-F150-4707-923C-28DD1E3C11EF}" name="ĐK - Số lượng" dataDxfId="471" dataCellStyle="Comma">
      <calculatedColumnFormula>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calculatedColumnFormula>
    </tableColumn>
    <tableColumn id="48" xr3:uid="{8C3D623C-12B6-4486-B7A0-84FF0A22CFAB}" name="ĐK - Sinh nhật" dataDxfId="470" dataCellStyle="Comma">
      <calculatedColumnFormula>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calculatedColumnFormula>
    </tableColumn>
    <tableColumn id="49" xr3:uid="{DAE11BDC-B378-4CA9-97EF-6C0728B8FB36}" name="ĐK - Ngày mua cuối" dataDxfId="469" dataCellStyle="Comma">
      <calculatedColumnFormula>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calculatedColumnFormula>
    </tableColumn>
  </tableColumns>
  <tableStyleInfo name="TableStyleMedium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FA2DBA8-E903-4446-8602-897560E05180}" name="Table_FormDonMua_SKU" displayName="Table_FormDonMua_SKU" ref="B17:J28" totalsRowShown="0" headerRowDxfId="464" dataDxfId="463">
  <autoFilter ref="B17:J28" xr:uid="{DBED1CC1-1C45-4818-9CB7-4038B855E9D6}"/>
  <tableColumns count="9">
    <tableColumn id="1" xr3:uid="{2C9952DD-CC28-41B9-B415-AE854E2F0A08}" name="STT" dataDxfId="462">
      <calculatedColumnFormula>IF(Table_FormDonMua_SKU[[#This Row],[Mã hàng]]&lt;&gt;"",COUNTIF($C$18:C28,"&lt;&gt;"""),"")</calculatedColumnFormula>
    </tableColumn>
    <tableColumn id="2" xr3:uid="{D37AF75D-5956-4C86-97BC-D52584A55EFC}" name="Mã hàng" dataDxfId="461"/>
    <tableColumn id="5" xr3:uid="{7B65724E-8B05-48D2-B0E4-F9815819CD7A}" name="Mã nguyên liệu" dataDxfId="460"/>
    <tableColumn id="3" xr3:uid="{C40437C2-C418-46F2-9E3E-92F84A5A713B}" name="Mô tả" dataDxfId="459">
      <calculatedColumnFormula>IFERROR(
IFERROR(
VLOOKUP(Table_FormDonMua_SKU[[#This Row],[Mã nguyên liệu]],Table_NguyenLieu[[Mã Nguyên liệu]:[Tên Nguyên liệu]],Sheet_NguyenLieu!$D$1,0),
VLOOKUP(Table_FormDonMua_SKU[[#This Row],[Mã hàng]],Table_SKU[[Mã SKU]:[Mô tả]],Sheet_SKU!$H$1,0)),
"")</calculatedColumnFormula>
    </tableColumn>
    <tableColumn id="7" xr3:uid="{D02C5DD9-4DD8-4190-92BB-FBDC5E60EA9C}" name="Số lượng" dataDxfId="458" dataCellStyle="Comma"/>
    <tableColumn id="4" xr3:uid="{0E4BAE6A-1764-4E24-BD1E-96756661821D}" name="Giá sau VAT" dataDxfId="457" dataCellStyle="Comma"/>
    <tableColumn id="6" xr3:uid="{A66CD959-22C8-4FB4-B7C5-03F718F22576}" name="Thành tiền" dataDxfId="456" dataCellStyle="Comma">
      <calculatedColumnFormula>IF(ISBLANK(Table_FormDonMua_SKU[[#This Row],[Mã hàng]]),
IF(ISBLANK(Table_FormDonMua_SKU[[#This Row],[Mã nguyên liệu]]),"",
Table_FormDonMua_SKU[[#This Row],[Giá sau VAT]]*Table_FormDonMua_SKU[[#This Row],[Số lượng]]),
Table_FormDonMua_SKU[[#This Row],[Giá sau VAT]]*Table_FormDonMua_SKU[[#This Row],[Số lượng]])</calculatedColumnFormula>
    </tableColumn>
    <tableColumn id="8" xr3:uid="{11AF26C0-BFB9-4186-9E70-871574E1F969}" name="Tỷ suất VAT" dataDxfId="455" dataCellStyle="Percent">
      <calculatedColumnFormula>IFERROR(
IFERROR(
VLOOKUP(Table_FormDonMua_SKU[[#This Row],[Mã hàng]],Table_SKU[[Mã SKU]:[Tỷ suất VAT]],Sheet_SKU!$K$1,0),
VLOOKUP(Table_FormDonMua_SKU[[#This Row],[Mã nguyên liệu]],Table_NguyenLieu[[Mã Nguyên liệu]:[Tỷ suất VAT]],Sheet_NguyenLieu!$G$1,0)),
"")</calculatedColumnFormula>
    </tableColumn>
    <tableColumn id="9" xr3:uid="{F99D472D-1428-49FC-959A-733B2DECAE0E}" name="VAT khấu trừ" dataDxfId="454" dataCellStyle="Comma">
      <calculatedColumnFormula>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B870FEF-3DBE-475F-A1FE-1FC523A25296}" name="Table_DonMua" displayName="Table_DonMua" ref="L45:Y65" totalsRowShown="0" headerRowDxfId="453" dataDxfId="451" headerRowBorderDxfId="452" tableBorderDxfId="450" totalsRowBorderDxfId="449">
  <autoFilter ref="L45:Y65" xr:uid="{0B870FEF-3DBE-475F-A1FE-1FC523A25296}"/>
  <tableColumns count="14">
    <tableColumn id="11" xr3:uid="{638AD539-B0BB-462E-89A8-EDC9D4FB5873}" name="TT" dataDxfId="448"/>
    <tableColumn id="1" xr3:uid="{59B0103D-19F0-4461-8A87-082563C765CF}" name="Mã Đơn mua" dataDxfId="447">
      <calculatedColumnFormula>CONCATENATE("NHAP-",Table_DonMua[[#This Row],[Mã Đối tác]],"-",MOD(YEAR(Table_DonMua[[#This Row],[Ngày lập]]),100)*10000+MONTH(Table_DonMua[[#This Row],[Ngày lập]])*100+DAY(Table_DonMua[[#This Row],[Ngày lập]]),"-",Table_DonMua[[#This Row],[TT]])</calculatedColumnFormula>
    </tableColumn>
    <tableColumn id="2" xr3:uid="{62C5B49D-C605-4F84-A376-7F0685941C09}" name="Ngày lập" dataDxfId="446"/>
    <tableColumn id="3" xr3:uid="{DF34DFD7-60AA-4D3C-90E1-58592244383C}" name="Mã Đối tác" dataDxfId="445">
      <calculatedColumnFormula>CONCATENATE("NCC",RANDBETWEEN(1,3))</calculatedColumnFormula>
    </tableColumn>
    <tableColumn id="12" xr3:uid="{30051F39-7D49-4015-88E4-C41155678CF6}" name="Kho Nhập" dataDxfId="444"/>
    <tableColumn id="4" xr3:uid="{D3D7C82A-8B68-4033-A222-8D32886EC3D8}" name="Tiền hàng" dataDxfId="443" dataCellStyle="Comma">
      <calculatedColumnFormula>IFERROR(
SUM(_xlfn._xlws.FILTER(Table_Main[Giá trị hàng nhập],
(Table_Main[Đơn Mua] = Table_DonMua[[#This Row],[Mã Đơn mua]])
)),0)</calculatedColumnFormula>
    </tableColumn>
    <tableColumn id="10" xr3:uid="{A125D517-A42E-4AD5-B6E8-419DB469C039}" name="VAT hàng" dataDxfId="442" dataCellStyle="Comma">
      <calculatedColumnFormula>IFERROR(
SUM(_xlfn._xlws.FILTER(Table_Main[VAT khấu trừ],
(Table_Main[Đơn Mua] = Table_DonMua[[#This Row],[Mã Đơn mua]])
)),0)</calculatedColumnFormula>
    </tableColumn>
    <tableColumn id="6" xr3:uid="{500A5879-C4E7-41EE-A473-0F20C072C4F6}" name="Phụ phí" dataDxfId="441" dataCellStyle="Comma"/>
    <tableColumn id="8" xr3:uid="{E50DCE10-D55E-44FE-BCD0-3ACCBF858D00}" name="Khuyến mãi" dataDxfId="440" dataCellStyle="Comma"/>
    <tableColumn id="13" xr3:uid="{5BDC3693-4285-4D79-8F8C-5239E26D4E9F}" name="Tổng VAT khấu trừ" dataDxfId="439" dataCellStyle="Comma">
      <calculatedColumnFormula xml:space="preserve">
IFERROR(Table_DonMua[[#This Row],[VAT hàng]]+Table_DonMua[[#This Row],[VAT hàng]]/Table_DonMua[[#This Row],[Tiền hàng]]*(Table_DonMua[[#This Row],[Phụ phí]]-Table_DonMua[[#This Row],[Khuyến mãi]]),0)</calculatedColumnFormula>
    </tableColumn>
    <tableColumn id="14" xr3:uid="{B94715B5-C4E7-4CF8-8597-000EF491E8F2}" name="Chi phí tính thuế" dataDxfId="438" dataCellStyle="Comma">
      <calculatedColumnFormula>Table_DonMua[[#This Row],[Phải trả]]-Table_DonMua[[#This Row],[Tổng VAT khấu trừ]]</calculatedColumnFormula>
    </tableColumn>
    <tableColumn id="7" xr3:uid="{E695AD01-ABAB-4962-AF8F-5078D8B81069}" name="Phải trả" dataDxfId="437" dataCellStyle="Comma">
      <calculatedColumnFormula xml:space="preserve">
IF(Table_DonMua[[#This Row],[Mã Đơn mua]]="TONKHODAU",0,
+Table_DonMua[[#This Row],[Tiền hàng]]+Table_DonMua[[#This Row],[Phụ phí]]-Table_DonMua[[#This Row],[Khuyến mãi]])</calculatedColumnFormula>
    </tableColumn>
    <tableColumn id="9" xr3:uid="{9ABE0FCC-DB41-4B1D-8729-7DE31DF4BDBB}" name="Add" dataDxfId="436"/>
    <tableColumn id="5" xr3:uid="{677875BF-7A28-4E7A-AD2F-414D47E8A43D}" name="Còn lại" dataDxfId="435">
      <calculatedColumnFormula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calculatedColumnFormula>
    </tableColumn>
  </tableColumns>
  <tableStyleInfo name="TableStyleMedium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DFFF3AF-1BD6-4E7A-A786-349A6DD59AF8}" name="Table_FormDonBan" displayName="Table_FormDonBan" ref="B16:R28" totalsRowShown="0" headerRowDxfId="426" dataDxfId="425">
  <autoFilter ref="B16:R28" xr:uid="{0E4A18C3-08C8-4F92-A15E-37D3A3D28DD6}"/>
  <tableColumns count="17">
    <tableColumn id="1" xr3:uid="{F6D4F9CD-363C-42CB-B719-A498CAD3DD5F}" name="STT" dataDxfId="424">
      <calculatedColumnFormula>IF(Table_FormDonBan[[#This Row],[SKU]]&lt;&gt;"",COUNTIF(C$17:C17,"&lt;&gt;"""),"")</calculatedColumnFormula>
    </tableColumn>
    <tableColumn id="2" xr3:uid="{47A3EA58-2E28-4A2A-ABC9-FEADAF8B2D21}" name="SKU" dataDxfId="423"/>
    <tableColumn id="3" xr3:uid="{1DD58239-71F7-47D5-92BC-62B23F25A556}" name="Mô tả" dataDxfId="422">
      <calculatedColumnFormula xml:space="preserve">
IFERROR(VLOOKUP(Table_FormDonBan[[#This Row],[SKU]],Table_SKU[[Mã SKU]:[Mô tả]],Sheet_SKU!$H$1,0),"")</calculatedColumnFormula>
    </tableColumn>
    <tableColumn id="7" xr3:uid="{B15309D8-3F8D-4BDA-9B4B-4C9A71025C9D}" name="Số lượng" dataDxfId="421" dataCellStyle="Comma"/>
    <tableColumn id="4" xr3:uid="{89C72E61-4108-4130-89AF-544FAA165211}" name="Giá trước VAT" dataDxfId="420" dataCellStyle="Comma">
      <calculatedColumnFormula>IFERROR(VLOOKUP(Table_FormDonBan[[#This Row],[SKU]],Table_SKU[[Mã SKU]:[Giá bán]],Sheet_SKU!$J$1,0),"")</calculatedColumnFormula>
    </tableColumn>
    <tableColumn id="5" xr3:uid="{DBDB65F6-9AFF-401B-B416-34A8BFED3E76}" name="Chương trình" dataDxfId="419"/>
    <tableColumn id="18" xr3:uid="{704CD4AA-DD20-44B9-B44A-798544982186}" name="Tổng hợp ĐK" dataDxfId="418">
      <calculatedColumnFormula>Table_FormDonBan[[#This Row],[ĐK - Phân loại]]*Table_FormDonBan[[#This Row],[ĐK - Thời gian]]*Table_FormDonBan[[#This Row],[ĐK - Giá trị]]*Table_FormDonBan[[#This Row],[ĐK - Số lượng]]*Table_FormDonBan[[#This Row],[ĐK - Sinh nhật]]*Table_FormDonBan[[#This Row],[ĐK - Ngày mua cuối]]</calculatedColumnFormula>
    </tableColumn>
    <tableColumn id="19" xr3:uid="{0AA34490-12B7-45CA-89CA-0F1EB3024588}" name="ĐK - Phân loại" dataDxfId="417">
      <calculatedColumnFormula xml:space="preserve">
IF(ISBLANK(Table_FormDonBan[[#This Row],[Chương trình]]),1,
IF(VLOOKUP(Table_FormDonBan[[#This Row],[Chương trình]],Table_ChuongTrinh[[Mã Chương trình]:[Đối tượng CK]],Sheet_ChuongTrinh!$C$1,0) = "Sản phẩm",1,0))</calculatedColumnFormula>
    </tableColumn>
    <tableColumn id="20" xr3:uid="{22487B3D-4F35-4567-A25C-1FB3E604B8D1}" name="ĐK - Thời gian" dataDxfId="416">
      <calculatedColumnFormula>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calculatedColumnFormula>
    </tableColumn>
    <tableColumn id="21" xr3:uid="{5D207F01-7F8C-4BF4-B602-1BA113CA0ABA}" name="ĐK - Giá trị" dataDxfId="415">
      <calculatedColumnFormula>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calculatedColumnFormula>
    </tableColumn>
    <tableColumn id="22" xr3:uid="{BD91D9C0-6DF4-4A9E-8E1D-BAE9D98A4414}" name="ĐK - Số lượng" dataDxfId="414">
      <calculatedColumnFormula>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calculatedColumnFormula>
    </tableColumn>
    <tableColumn id="10" xr3:uid="{0CB8F387-B411-4EDE-A13B-E2FF675FEDE0}" name="ĐK - Sinh nhật" dataDxfId="413" dataCellStyle="Comma">
      <calculatedColumnFormula>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calculatedColumnFormula>
    </tableColumn>
    <tableColumn id="11" xr3:uid="{A99ED342-84E6-4EB2-9B25-A1AD3635E145}" name="ĐK - Ngày mua cuối" dataDxfId="412" dataCellStyle="Comma">
      <calculatedColumnFormula array="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calculatedColumnFormula>
    </tableColumn>
    <tableColumn id="8" xr3:uid="{2AEAF491-86C4-43BF-9A47-5309F99FE420}" name="Khuyến mãi" dataDxfId="411" dataCellStyle="Comma">
      <calculatedColumnFormula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calculatedColumnFormula>
    </tableColumn>
    <tableColumn id="17" xr3:uid="{0D4ED9FD-A5CD-473D-9864-7FC4C253BE03}" name="Thành tiền" dataDxfId="410" dataCellStyle="Comma">
      <calculatedColumnFormula>IF(ISBLANK(Table_FormDonBan[[#This Row],[SKU]]),"",
(Table_FormDonBan[[#This Row],[Số lượng]]*Table_FormDonBan[[#This Row],[Giá trước VAT]]-Table_FormDonBan[[#This Row],[Khuyến mãi]]))</calculatedColumnFormula>
    </tableColumn>
    <tableColumn id="6" xr3:uid="{5C121ED4-6C2A-4279-9693-A305A7B3A0BA}" name="Tỷ suất VAT" dataDxfId="409" dataCellStyle="Percent">
      <calculatedColumnFormula>IFERROR(
VLOOKUP(Table_FormDonBan[[#This Row],[SKU]],Table_SKU[[Mã SKU]:[Tỷ suất VAT]],Sheet_SKU!$K$1,0),"")</calculatedColumnFormula>
    </tableColumn>
    <tableColumn id="9" xr3:uid="{9AEFA9BF-3D85-4AA5-B427-A3AF13390970}" name="VAT" dataDxfId="408" dataCellStyle="Comma">
      <calculatedColumnFormula>IF(
ISBLANK(Table_FormDonBan[[#This Row],[SKU]]),"",Table_FormDonBan[[#This Row],[Thành tiền]]*Table_FormDonBan[[#This Row],[Tỷ suất VAT]])</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T47:AW71" totalsRowShown="0" headerRowDxfId="407">
  <autoFilter ref="T47:AW71" xr:uid="{4166925E-1F0B-42C7-A01A-835B42134064}"/>
  <tableColumns count="30">
    <tableColumn id="11" xr3:uid="{16A40DA8-3662-4F98-9040-ECD4BB05C953}" name="TT" dataDxfId="406"/>
    <tableColumn id="1" xr3:uid="{2527FACB-581B-447F-8E83-3B67509B0CD9}" name="Mã Đơn bán" dataDxfId="405">
      <calculatedColumnFormula>CONCATENATE("BAN-",Table_DonBan[[#This Row],[Mã Khách]],"-",MOD(YEAR(Table_DonBan[[#This Row],[Ngày lập]]),100)*10000+MONTH(Table_DonBan[[#This Row],[Ngày lập]])*100+DAY(Table_DonBan[[#This Row],[Ngày lập]]),"-",Table_DonBan[[#This Row],[TT]])</calculatedColumnFormula>
    </tableColumn>
    <tableColumn id="2" xr3:uid="{E5AA3C4E-F90F-4FED-99CD-D14026B1048E}" name="Ngày lập" dataDxfId="404"/>
    <tableColumn id="3" xr3:uid="{6CC99533-F213-42B8-9FC6-28AA1681FB82}" name="Mã Khách" dataDxfId="403"/>
    <tableColumn id="15" xr3:uid="{1F7A1852-3D39-4901-A0D5-DAD713C5C5F9}" name="Mã NV" dataDxfId="402"/>
    <tableColumn id="16" xr3:uid="{818A9779-FBC2-448F-820D-00D6B112FFD2}" name="Kênh" dataDxfId="401"/>
    <tableColumn id="14" xr3:uid="{5A12C553-7096-4EA2-B631-2E452214EBF1}" name="Tiền hàng" dataDxfId="400" dataCellStyle="Comma">
      <calculatedColumnFormula>IFERROR(SUM(_xlfn._xlws.FILTER(Table_Main[Giá trị bán trước VAT],
(Table_Main[Đơn bán]=Table_DonBan[[#This Row],[Mã Đơn bán]]),
)),0)</calculatedColumnFormula>
    </tableColumn>
    <tableColumn id="20" xr3:uid="{A788A97E-360E-4E42-AB5A-040674F085C3}" name="VAT hàng" dataDxfId="399" dataCellStyle="Comma">
      <calculatedColumnFormula>IFERROR(SUM(_xlfn._xlws.FILTER(Table_Main[VAT],
(Table_Main[Đơn bán]=Table_DonBan[[#This Row],[Mã Đơn bán]]),
)),0)</calculatedColumnFormula>
    </tableColumn>
    <tableColumn id="23" xr3:uid="{D45B265F-A18C-463C-AC41-949E390656FD}" name="Điểm khả dụng" dataDxfId="398"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397" dataCellStyle="Comma"/>
    <tableColumn id="12" xr3:uid="{B79F9811-FAAE-4953-9855-495F7E366925}" name="Chương trình" dataDxfId="396"/>
    <tableColumn id="19" xr3:uid="{054694A7-08F5-45EC-BD7C-F7F901758015}" name="Tỷ lệ CK" dataDxfId="395">
      <calculatedColumnFormula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calculatedColumnFormula>
    </tableColumn>
    <tableColumn id="13" xr3:uid="{6ACB5963-7252-4FAB-B066-5F02A7D5A0AC}" name="Giá trị CK" dataDxfId="394" dataCellStyle="Comma">
      <calculatedColumnFormula>(Z48/ABS(Z48))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calculatedColumnFormula>
    </tableColumn>
    <tableColumn id="4" xr3:uid="{7ED63616-6E51-4141-8D7C-8DFD0707FC7C}" name="Tổng VAT" dataDxfId="393" dataCellStyle="Comma">
      <calculatedColumnFormula>IFERROR(Table_DonBan[[#This Row],[VAT hàng]]-Table_DonBan[[#This Row],[VAT hàng]]*Table_DonBan[[#This Row],[Giá trị CK]]/Table_DonBan[[#This Row],[Tiền hàng]],0)</calculatedColumnFormula>
    </tableColumn>
    <tableColumn id="24" xr3:uid="{4E3C5E00-2D00-4F19-A2BF-C42B840493B9}" name="Doanh thu ròng" dataDxfId="392" dataCellStyle="Comma">
      <calculatedColumnFormula>+Table_DonBan[[#This Row],[Tiền hàng]]-Table_DonBan[[#This Row],[Giá trị CK]]</calculatedColumnFormula>
    </tableColumn>
    <tableColumn id="8" xr3:uid="{DE2AB38C-7AC8-4171-9826-E4D8C517C9C4}" name="Tính thuế" dataDxfId="391" dataCellStyle="Comma">
      <calculatedColumnFormula>Table_DonBan[[#This Row],[Doanh thu ròng]]</calculatedColumnFormula>
    </tableColumn>
    <tableColumn id="7" xr3:uid="{70C7A5C8-F567-42CE-9CD1-192E338B2F99}" name="Phải thu" dataDxfId="390" dataCellStyle="Comma">
      <calculatedColumnFormula>Table_DonBan[[#This Row],[Tiền hàng]]+Table_DonBan[[#This Row],[Tổng VAT]]-Table_DonBan[[#This Row],[Giá trị CK]]</calculatedColumnFormula>
    </tableColumn>
    <tableColumn id="28" xr3:uid="{AE6838DA-AC35-4783-B4DB-89253B85A232}" name="Doanh thu tính điểm" dataDxfId="389" dataCellStyle="Comma">
      <calculatedColumnFormula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29" xr3:uid="{95DF127A-2A41-457B-9989-090B44BF034D}" name="Tỷ lệ tính điểm" dataDxfId="388" dataCellStyle="Percent">
      <calculatedColumnFormula>+IFERROR(
MAX(_xlfn._xlws.FILTER(Table_KHThanThiet_ChinhSach[Tỷ lệ điểm thưởng],
(Table_KHThanThiet_ChinhSach[Doanh thu tối thiểu]&lt;=Table_DonBan[[#This Row],[Doanh thu tính điểm]])
)),0)</calculatedColumnFormula>
    </tableColumn>
    <tableColumn id="30" xr3:uid="{9415B289-22A0-4E06-8194-75848A2A6E66}" name="Điểm tích lũy" dataDxfId="387" dataCellStyle="Comma">
      <calculatedColumnFormula xml:space="preserve">
Table_DonBan[[#This Row],[Tỷ lệ tính điểm]]*Table_DonBan[[#This Row],[Doanh thu ròng]]</calculatedColumnFormula>
    </tableColumn>
    <tableColumn id="6" xr3:uid="{B20068D5-36E3-4955-B116-79E972814859}" name="STT đơn của khách" dataDxfId="386">
      <calculatedColumnFormula>COUNTA(_xlfn._xlws.FILTER(Table_DonBan[Mã Khách],
(Table_DonBan[Mã Khách]=Table_DonBan[[#This Row],[Mã Khách]])*
(Table_DonBan[Ngày lập]&lt;=Table_DonBan[[#This Row],[Ngày lập]])
))</calculatedColumnFormula>
    </tableColumn>
    <tableColumn id="18" xr3:uid="{7F3AE293-D418-4EFC-B13F-F86FA0C3C601}" name="Add" dataDxfId="385"/>
    <tableColumn id="9" xr3:uid="{AE3D96E6-2D5E-42ED-82BB-5E04A954236F}" name="Tổng hợp ĐK" dataDxfId="384">
      <calculatedColumnFormula>Table_DonBan[[#This Row],[ĐK - Phân loại]]*Table_DonBan[[#This Row],[ĐK - Thời gian]]*Table_DonBan[[#This Row],[ĐK - Giá trị]]*Table_DonBan[[#This Row],[ĐK - Số lượng]]*Table_DonBan[[#This Row],[ĐK - Sinh nhật]]*Table_DonBan[[#This Row],[ĐK - Ngày mua cuối]]</calculatedColumnFormula>
    </tableColumn>
    <tableColumn id="10" xr3:uid="{47158402-E2EE-43A3-8E72-2D25A55D76D7}" name="ĐK - Phân loại" dataDxfId="383">
      <calculatedColumnFormula xml:space="preserve">
IF(ISBLANK(Table_DonBan[[#This Row],[Chương trình]]),1,
IF(VLOOKUP(Table_DonBan[[#This Row],[Chương trình]],Table_ChuongTrinh[[Mã Chương trình]:[Đối tượng CK]],Sheet_ChuongTrinh!$C$1,0) = "Đơn hàng",1,0))</calculatedColumnFormula>
    </tableColumn>
    <tableColumn id="17" xr3:uid="{91CEC24B-4D06-4B59-92C7-DC796FAEBE9B}" name="ĐK - Thời gian" dataDxfId="382">
      <calculatedColumnFormula>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calculatedColumnFormula>
    </tableColumn>
    <tableColumn id="21" xr3:uid="{CDE0A96A-6DC4-4C0B-8085-D810D8BD6B09}" name="ĐK - Giá trị" dataDxfId="381">
      <calculatedColumnFormula>IF(ISBLANK(Table_DonBan[[#This Row],[Chương trình]]),
1,
IF(ISBLANK(VLOOKUP(Table_DonBan[[#This Row],[Chương trình]],Table_ChuongTrinh[],Sheet_ChuongTrinh!$J$1,0)),
1,
IF(Table_DonBan[[#This Row],[Tiền hàng]]&gt;= VLOOKUP(Table_DonBan[[#This Row],[Chương trình]],Table_ChuongTrinh[],Sheet_ChuongTrinh!$J$1,0),
1,
0)))</calculatedColumnFormula>
    </tableColumn>
    <tableColumn id="22" xr3:uid="{72AE805F-03C0-43DD-88BA-2DF7A78917BD}" name="ĐK - Số lượng" dataDxfId="380">
      <calculatedColumnFormula>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calculatedColumnFormula>
    </tableColumn>
    <tableColumn id="26" xr3:uid="{F153AA2A-79FC-4F66-8AAF-A4AF3B9484FE}" name="ĐK - Sinh nhật" dataDxfId="379">
      <calculatedColumnFormula>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calculatedColumnFormula>
    </tableColumn>
    <tableColumn id="27" xr3:uid="{FE61275D-FCFE-4E16-9D18-EC2465BE210A}" name="ĐK - Ngày mua cuối" dataDxfId="378">
      <calculatedColumnFormula>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calculatedColumnFormula>
    </tableColumn>
    <tableColumn id="5" xr3:uid="{42E487F3-6C93-4884-A544-1394391B285A}" name="Còn lại" dataDxfId="377">
      <calculatedColumnFormula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calculatedColumnFormula>
    </tableColumn>
  </tableColumns>
  <tableStyleInfo name="TableStyleMedium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EE1FBC0-CA11-44D8-84E1-E68C320835D5}" name="Table_VanDon" displayName="Table_VanDon" ref="M45:AA46" totalsRowShown="0" headerRowDxfId="372">
  <autoFilter ref="M45:AA46" xr:uid="{7EE1FBC0-CA11-44D8-84E1-E68C320835D5}"/>
  <tableColumns count="15">
    <tableColumn id="13" xr3:uid="{D020F9F1-56E1-4EFD-ACAE-A034A2EF6F29}" name="STT" dataDxfId="371"/>
    <tableColumn id="1" xr3:uid="{47D87E04-812B-4F27-A7ED-D51F3CFF31D2}" name="Mã Vận đơn" dataDxfId="370">
      <calculatedColumnFormula>CONCATENATE("GIAO-",Table_VanDon[[#This Row],[Khách hàng]],"-",MOD(YEAR(Table_VanDon[[#This Row],[Ngày lập]]),100)*10000+MONTH(Table_VanDon[[#This Row],[Ngày lập]])*100+DAY(Table_VanDon[[#This Row],[Ngày lập]]),"-",Table_VanDon[[#This Row],[STT]])</calculatedColumnFormula>
    </tableColumn>
    <tableColumn id="2" xr3:uid="{197994DE-D54D-4437-8685-4EEB708B977E}" name="Ngày lập" dataDxfId="369"/>
    <tableColumn id="3" xr3:uid="{5FDEBD9C-B8FD-493A-8A69-D4907DEC93EF}" name="Ngày hoàn tất" dataDxfId="368"/>
    <tableColumn id="4" xr3:uid="{0EC6DF3F-3156-41AB-8283-EEDDEF5F175D}" name="Đơn vị vận tải" dataDxfId="367"/>
    <tableColumn id="11" xr3:uid="{60EABEF1-C548-4DC8-869A-F875DCF8227D}" name="Khách hàng" dataDxfId="366"/>
    <tableColumn id="7" xr3:uid="{BA31FDC3-4731-4843-BA58-AC6A8086EF6C}" name="Kho đối tác" dataDxfId="365">
      <calculatedColumnFormula xml:space="preserve">
IFERROR(
VLOOKUP(Table_VanDon[[#This Row],[Khách hàng]],Table_KhachHang[],COUNTA(Table_KhachHang[[#Headers],[Mã KH]:[Địa chỉ]]),0),"")</calculatedColumnFormula>
    </tableColumn>
    <tableColumn id="8" xr3:uid="{5BF38569-A5F9-4B02-A78A-736101AADA30}" name="Phí ship" dataDxfId="364" dataCellStyle="Comma"/>
    <tableColumn id="9" xr3:uid="{7A2F61A9-732F-47DD-AE4E-0929A9506A7E}" name="Bên chịu phí" dataDxfId="363"/>
    <tableColumn id="14" xr3:uid="{0F7009E9-A661-4B83-A79F-DC45BB15636E}" name="Tỷ suất VAT" dataDxfId="362" dataCellStyle="Percent"/>
    <tableColumn id="16" xr3:uid="{591A1862-E955-4303-AB77-7B95B1C2C73E}" name="VAT khấu trừ" dataDxfId="361" dataCellStyle="Comma">
      <calculatedColumnFormula>IF(Table_VanDon[[#This Row],[Bên chịu phí]] = "Bên bán",Table_VanDon[[#This Row],[Tỷ suất VAT]]*(Table_VanDon[[#This Row],[Phí ship]]/(1+Table_VanDon[[#This Row],[Tỷ suất VAT]])),0)</calculatedColumnFormula>
    </tableColumn>
    <tableColumn id="15" xr3:uid="{398A6BFA-A332-475B-80FD-2A5E3ADC953A}" name="Chi phí tính thuế" dataDxfId="360" dataCellStyle="Comma">
      <calculatedColumnFormula>Table_VanDon[[#This Row],[Phải trả ship]]-Table_VanDon[[#This Row],[VAT khấu trừ]]</calculatedColumnFormula>
    </tableColumn>
    <tableColumn id="6" xr3:uid="{3F583072-563A-4D58-A602-65255FF72650}" name="Phải trả ship" dataDxfId="359" dataCellStyle="Comma">
      <calculatedColumnFormula>IF(Table_VanDon[[#This Row],[Bên chịu phí]] = "Bên bán",Table_VanDon[[#This Row],[Phí ship]],0)</calculatedColumnFormula>
    </tableColumn>
    <tableColumn id="12" xr3:uid="{AC15A925-0B65-47D5-910C-D995B98EE8C8}" name="Add" dataDxfId="358"/>
    <tableColumn id="10" xr3:uid="{F1204514-D69D-44B5-98DD-F2A3F4668EE0}" name="Còn lại" dataDxfId="357">
      <calculatedColumnFormula array="1"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calculatedColumnFormula>
    </tableColumn>
  </tableColumns>
  <tableStyleInfo name="TableStyleMedium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F36B7A69-356B-47A9-A8FD-D4378665B30F}" name="Table_PhieuGiao" displayName="Table_PhieuGiao" ref="B17:J29" totalsRowShown="0" headerRowDxfId="356" dataDxfId="355">
  <autoFilter ref="B17:J29" xr:uid="{437FEB67-8942-4F2C-8C6B-5164C1E58BF5}"/>
  <tableColumns count="9">
    <tableColumn id="1" xr3:uid="{CF9FD2DE-3FFB-4B51-A89E-7241347A2ECF}" name="STT" dataDxfId="354">
      <calculatedColumnFormula>IF(Table_PhieuGiao[[#This Row],[SKU]]&lt;&gt;"",COUNTIF(D$18:D18,"&lt;&gt;"""),"")</calculatedColumnFormula>
    </tableColumn>
    <tableColumn id="5" xr3:uid="{7AF7F8DF-62C4-4D7E-BDD9-A4793DB112B6}" name="Đơn bán" dataDxfId="353"/>
    <tableColumn id="2" xr3:uid="{78FB16B5-C042-4270-BFDD-257F18968692}" name="SKU" dataDxfId="352"/>
    <tableColumn id="3" xr3:uid="{2A78210F-A234-4CDA-A076-E413F772BCA5}" name="Mô tả" dataDxfId="351">
      <calculatedColumnFormula xml:space="preserve">
IFERROR(VLOOKUP(Table_PhieuGiao[[#This Row],[SKU]],Table_SKU[[Mã SKU]:[Mô tả]],Sheet_SKU!$H$1,0),"")</calculatedColumnFormula>
    </tableColumn>
    <tableColumn id="7" xr3:uid="{47BF1A26-E475-4961-AEFC-1172FAD98AAA}" name="Số lượng đặt" dataDxfId="350" dataCellStyle="Comma">
      <calculatedColumnFormula array="1">IF(ISBLANK(Table_PhieuGiao[[#This Row],[SKU]]),"",
SUM(_xlfn._xlws.FILTER(Table_Main[Số lượng],
(Table_Main[Mã SKU] = Table_PhieuGiao[[#This Row],[SKU]])*
(Table_Main[Đơn bán] = Table_PhieuGiao[[#This Row],[Đơn bán]]))
))</calculatedColumnFormula>
    </tableColumn>
    <tableColumn id="4" xr3:uid="{B880A8B4-E514-4E0F-97E2-CFAD61930E7E}" name="Số lượng giao" dataDxfId="349" dataCellStyle="Comma"/>
    <tableColumn id="8" xr3:uid="{0E9C344A-03E5-4E66-9A57-E537C6A35F0C}" name="Thành tiền đặt" dataDxfId="348" dataCellStyle="Comma">
      <calculatedColumnFormula array="1">IF(ISBLANK(Table_PhieuGiao[[#This Row],[SKU]]),"",
SUM(_xlfn._xlws.FILTER(Table_Main[Giá trị bán trước VAT],
(Table_Main[Mã SKU] = Table_PhieuGiao[[#This Row],[SKU]])*
(Table_Main[Đơn bán] = Table_PhieuGiao[[#This Row],[Đơn bán]]))
))</calculatedColumnFormula>
    </tableColumn>
    <tableColumn id="11" xr3:uid="{0575B57B-29CB-48FD-8678-250D3755E906}" name="Thành tiền giao" dataDxfId="347" dataCellStyle="Comma">
      <calculatedColumnFormula xml:space="preserve">
IF(ISBLANK(Table_PhieuGiao[[#This Row],[SKU]]),"",
Table_PhieuGiao[[#This Row],[Thành tiền đặt]]*Table_PhieuGiao[[#This Row],[Số lượng giao]]/Table_PhieuGiao[[#This Row],[Số lượng đặt]])</calculatedColumnFormula>
    </tableColumn>
    <tableColumn id="10" xr3:uid="{012D2588-AB07-42A6-8FC8-AFC3A860AB07}" name="Tỷ trọng thành tiền" dataDxfId="346" dataCellStyle="Percent">
      <calculatedColumnFormula array="1" xml:space="preserve">
IF(ISBLANK(Table_PhieuGiao[[#This Row],[SKU]]),"",
IFERROR(
Table_PhieuGiao[[#This Row],[Thành tiền giao]]/
IFERROR(
SUM(_xlfn._xlws.FILTER(Table_Main[Giá trị bán trước VAT],
(Table_Main[Đơn bán] = Table_PhieuGiao[[#This Row],[Đơn bán]])
)),0),
0))</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A27BF1C-8CD6-431B-8FCB-E3087A269402}" name="Table_LaiKhac" displayName="Table_LaiKhac" ref="B4:P5" totalsRowShown="0" headerRowDxfId="343" dataDxfId="342">
  <autoFilter ref="B4:P5" xr:uid="{2A27BF1C-8CD6-431B-8FCB-E3087A269402}"/>
  <tableColumns count="15">
    <tableColumn id="2" xr3:uid="{32912DBC-3256-4130-96F7-3E069F9569CE}" name="Kỳ" dataDxfId="341">
      <calculatedColumnFormula>IFERROR(
IF(ISBLANK(Table_LaiKhac[[#This Row],[Tháng]]),
DATE(Table_LaiKhac[[#This Row],[Năm]],12,1),
DATE(Table_LaiKhac[[#This Row],[Năm]],Table_LaiKhac[[#This Row],[Tháng]],1)),0)</calculatedColumnFormula>
    </tableColumn>
    <tableColumn id="1" xr3:uid="{9ED1705C-3CC2-4F20-94F7-FE27FFA50EA2}" name="Năm" dataDxfId="340"/>
    <tableColumn id="7" xr3:uid="{7011CE3A-4170-4F34-8A45-3C14EF584624}" name="Tháng" dataDxfId="339"/>
    <tableColumn id="13" xr3:uid="{17DBD87B-D607-4F10-9204-36EA96A70492}" name="Phân bổ từ" dataDxfId="338"/>
    <tableColumn id="14" xr3:uid="{B9685FB0-3596-4744-973F-F04B788D5C88}" name="Phân bổ đến" dataDxfId="337"/>
    <tableColumn id="3" xr3:uid="{A4B96B9D-F8B8-42EB-9824-FF28F81F7230}" name="Phân loại" dataDxfId="336"/>
    <tableColumn id="4" xr3:uid="{AFC8E105-3BFF-423F-8C41-314B2A03EB74}" name="Nội dung" dataDxfId="335"/>
    <tableColumn id="15" xr3:uid="{63DD0B39-75F3-4F54-934E-E9D0B6C25ED8}" name="Nhóm đối tác" dataDxfId="334"/>
    <tableColumn id="6" xr3:uid="{C5900F8A-787C-496B-A516-DB99B8B937AF}" name="Đối tác" dataDxfId="333"/>
    <tableColumn id="5" xr3:uid="{7D008247-88BA-4F37-AFEA-7683692A08F0}" name="Giá trị" dataDxfId="332"/>
    <tableColumn id="9" xr3:uid="{36F10CCD-CD36-4314-9238-24A84B56395C}" name="Tỷ suất VAT" dataDxfId="331" dataCellStyle="Percent"/>
    <tableColumn id="10" xr3:uid="{E80C2A67-F2A3-4D2D-BF9B-202BD5E412EA}" name="Giá trị VAT" dataDxfId="330" dataCellStyle="Comma">
      <calculatedColumnFormula>IFERROR(Table_LaiKhac[[#This Row],[Tỷ suất VAT]]*(Table_LaiKhac[[#This Row],[Giá trị]]/(1+Table_LaiKhac[[#This Row],[Tỷ suất VAT]])),0)</calculatedColumnFormula>
    </tableColumn>
    <tableColumn id="12" xr3:uid="{B7A26378-03C9-46C7-9581-1F1A6CEEE64B}" name="Giá trị tính thuế" dataDxfId="329" dataCellStyle="Comma">
      <calculatedColumnFormula>IF(Table_LaiKhac[[#This Row],[Giá trị]] &lt;0,
Table_LaiKhac[[#This Row],[Giá trị]],
Table_LaiKhac[[#This Row],[Giá trị]] -Table_LaiKhac[[#This Row],[Giá trị VAT]]
)</calculatedColumnFormula>
    </tableColumn>
    <tableColumn id="8" xr3:uid="{76A72EA7-10BE-4502-86F2-91D1013CDFFD}" name="Add" dataDxfId="328"/>
    <tableColumn id="11" xr3:uid="{DB25EBA2-EAF5-4D85-89BC-088940F2D607}" name="Còn lại" dataDxfId="327">
      <calculatedColumnFormula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calculatedColumnFormula>
    </tableColumn>
  </tableColumns>
  <tableStyleInfo name="TableStyleMedium3"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B28:N46" totalsRowShown="0" headerRowDxfId="322" dataDxfId="321">
  <autoFilter ref="B28:N46" xr:uid="{A6B1C031-348A-44B9-8D33-5EE5EC82DEAF}"/>
  <sortState xmlns:xlrd2="http://schemas.microsoft.com/office/spreadsheetml/2017/richdata2" ref="B29:N46">
    <sortCondition ref="D28:D46"/>
  </sortState>
  <tableColumns count="13">
    <tableColumn id="4" xr3:uid="{C7435740-0E30-4F59-870A-C7042BDA6B68}" name="STT" dataDxfId="320"/>
    <tableColumn id="1" xr3:uid="{3D886268-D42B-4EDF-9DDD-8B07A3BB1ADB}" name="Mã phiếu thu chi" dataDxfId="319">
      <calculatedColumnFormula>CONCATENATE(E29,"-",H29,"-",MOD(YEAR(D29),100)*10000+MONTH(D29)*100+DAY(D29),"-",B29)</calculatedColumnFormula>
    </tableColumn>
    <tableColumn id="2" xr3:uid="{491FCAFA-B1AD-46FB-8647-AA401FFD2AAA}" name="Ngày GD" dataDxfId="318"/>
    <tableColumn id="3" xr3:uid="{B9BD7AA2-C1D5-4E64-8D16-409D287CC48C}" name="Loại GD" dataDxfId="317"/>
    <tableColumn id="12" xr3:uid="{3A7EF55C-3E4D-4ADC-A987-EE3819E551D7}" name="Nội dung GD" dataDxfId="316"/>
    <tableColumn id="13" xr3:uid="{48204029-EABB-4AAE-9C1D-051B6312696D}" name="Nhóm đối tác" dataDxfId="315"/>
    <tableColumn id="5" xr3:uid="{49A47456-4C51-4447-84B0-C657FFDF4DD6}" name="Đối tác" dataDxfId="314"/>
    <tableColumn id="6" xr3:uid="{0CDCC0A6-47DE-4B3C-A651-2B10AE2D54EE}" name="TK GD" dataDxfId="313"/>
    <tableColumn id="7" xr3:uid="{4E5E42A3-26F6-4DBE-8D74-7F5305C9516A}" name="Giá trị GD" dataDxfId="312" dataCellStyle="Comma"/>
    <tableColumn id="10" xr3:uid="{A4473CA9-1AA1-40AA-B166-CA4639D6D21D}" name="Phí suất GD" dataDxfId="311">
      <calculatedColumnFormula>IF(Table_ThuChiKD[[#This Row],[Loại GD]] = "THU",
VLOOKUP(Table_ThuChiKD[[#This Row],[TK GD]],Table_TaiKhoan[],COUNTA(Table_TaiKhoan[[#Headers],[Mã Tài khoản]:[Phí Thanh toán]]),0),
0)</calculatedColumnFormula>
    </tableColumn>
    <tableColumn id="9" xr3:uid="{C86A6209-B128-4923-9549-6CBD084E5734}" name="Phí GD" dataDxfId="310" dataCellStyle="Comma">
      <calculatedColumnFormula>J29*K29</calculatedColumnFormula>
    </tableColumn>
    <tableColumn id="11" xr3:uid="{A664AE69-C2DC-4436-BDB2-AEFE89079C62}" name="Giá trị sau phí" dataDxfId="309" dataCellStyle="Comma">
      <calculatedColumnFormula>Table_ThuChiKD[[#This Row],[Giá trị GD]]-Table_ThuChiKD[[#This Row],[Phí GD]]</calculatedColumnFormula>
    </tableColumn>
    <tableColumn id="8" xr3:uid="{82EB006A-DD38-4126-823B-D7856CE71E6B}" name="Add" dataDxfId="308"/>
  </tableColumns>
  <tableStyleInfo name="TableStyleMedium3"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10BD9CF-04EA-4A06-A52D-50A7CE300F60}" name="Table_ThuChiKD_NoiDungGD" displayName="Table_ThuChiKD_NoiDungGD" ref="E3:F12" totalsRowShown="0" headerRowDxfId="307" dataDxfId="306">
  <autoFilter ref="E3:F12" xr:uid="{D10BD9CF-04EA-4A06-A52D-50A7CE300F60}"/>
  <tableColumns count="2">
    <tableColumn id="2" xr3:uid="{40512225-2330-428E-AB71-937372499A1F}" name="STT" dataDxfId="305">
      <calculatedColumnFormula>IFERROR(+E3+1,1)</calculatedColumnFormula>
    </tableColumn>
    <tableColumn id="1" xr3:uid="{3A75AD2B-488A-42AD-80B3-1BB5E573CF50}" name="Nội dung GD" dataDxfId="304"/>
  </tableColumns>
  <tableStyleInfo name="TableStyleMedium3"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664BFD78-E653-443C-9FA6-C4D8594AC611}" name="Table_ThuChiTC" displayName="Table_ThuChiTC" ref="B16:L17" totalsRowShown="0" headerRowDxfId="300" dataDxfId="299">
  <autoFilter ref="B16:L17" xr:uid="{A6B1C031-348A-44B9-8D33-5EE5EC82DEAF}"/>
  <sortState xmlns:xlrd2="http://schemas.microsoft.com/office/spreadsheetml/2017/richdata2" ref="B17:L17">
    <sortCondition ref="D16:D17"/>
  </sortState>
  <tableColumns count="11">
    <tableColumn id="4" xr3:uid="{F803AFF6-797E-4542-A408-654C11CA19E2}" name="STT" dataDxfId="298"/>
    <tableColumn id="1" xr3:uid="{45742FAA-80A9-4C34-988A-130A5FA27BBE}" name="Mã phiếu thu chi" dataDxfId="297">
      <calculatedColumnFormula>CONCATENATE(E17,"-",H17,"-",MOD(YEAR(D17),100)*10000+MONTH(D17)*100+DAY(D17),"-",B17)</calculatedColumnFormula>
    </tableColumn>
    <tableColumn id="2" xr3:uid="{1F07107C-BEAF-4595-9D97-3CA40A6E5C13}" name="Ngày GD" dataDxfId="296"/>
    <tableColumn id="3" xr3:uid="{AD4ECA87-A6F4-41AD-85ED-A453FDAEF2A3}" name="Loại GD" dataDxfId="295"/>
    <tableColumn id="12" xr3:uid="{269689F3-A1F2-4FF9-896E-1F077776B351}" name="Nội dung GD" dataDxfId="294"/>
    <tableColumn id="10" xr3:uid="{0A32DAC3-670F-44F4-8435-A9DF6980C954}" name="Nhóm đối tác" dataDxfId="293"/>
    <tableColumn id="5" xr3:uid="{FA4A4CC0-A12B-4EA7-9660-3F36083E3F33}" name="Đối tác" dataDxfId="292"/>
    <tableColumn id="6" xr3:uid="{6E6D9ED9-7C73-4BEA-8509-DA3B5B025931}" name="TK GD" dataDxfId="291"/>
    <tableColumn id="7" xr3:uid="{B32B184A-91D5-47BD-AF78-AAC7293CCA62}" name="Giá trị GD" dataDxfId="290" dataCellStyle="Comma"/>
    <tableColumn id="9" xr3:uid="{175C7478-C2C1-4F15-846F-5B33016C4AA2}" name="Ngày đáo hạn" dataDxfId="289">
      <calculatedColumnFormula>IFERROR(
VLOOKUP(Table_ThuChiTC[[#This Row],[Đối tác]],Table_VayNo[],COUNTA(Table_VayNo[[#Headers],[Mã khoản vay]:[Kết thúc trả gốc]]),0),
IFERROR(
VLOOKUP(Table_ThuChiTC[[#This Row],[Đối tác]],Table_DauTu[],COUNTA(Table_DauTu[[#Headers],[Mã khoản đầu tư]:[Kỳ đáo hạn]]),0),
0))</calculatedColumnFormula>
    </tableColumn>
    <tableColumn id="8" xr3:uid="{6C4C173B-33FB-4F99-9936-6B269C8696FD}" name="Add" dataDxfId="288"/>
  </tableColumns>
  <tableStyleInfo name="TableStyleMedium3"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45AF8E-3B40-4432-873E-E8A362F81F63}" name="Table_ThuChiTC_NoiDungGD" displayName="Table_ThuChiTC_NoiDungGD" ref="E3:F13" totalsRowShown="0" headerRowDxfId="287" dataDxfId="286">
  <autoFilter ref="E3:F13" xr:uid="{D10BD9CF-04EA-4A06-A52D-50A7CE300F60}"/>
  <tableColumns count="2">
    <tableColumn id="2" xr3:uid="{1B498D18-30F5-4944-9156-0E4A00896955}" name="STT" dataDxfId="285">
      <calculatedColumnFormula>IFERROR(E3+1,1)</calculatedColumnFormula>
    </tableColumn>
    <tableColumn id="1" xr3:uid="{768EC5AA-4BC6-4314-8EB2-C60AA81000E0}" name="Các hạng mục giao dịch" dataDxfId="284"/>
  </tableColumns>
  <tableStyleInfo name="TableStyleMedium3"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1BC7E-C06D-4928-91D7-60ED2FF9E0B2}" name="Table_TaiKhoan" displayName="Table_TaiKhoan" ref="B4:G5" totalsRowShown="0" headerRowDxfId="281" dataDxfId="280">
  <autoFilter ref="B4:G5" xr:uid="{7981BC7E-C06D-4928-91D7-60ED2FF9E0B2}"/>
  <tableColumns count="6">
    <tableColumn id="5" xr3:uid="{110B2137-B0AB-411B-AE82-F8D4A7958DC7}" name="Mã Tài khoản" dataDxfId="279"/>
    <tableColumn id="1" xr3:uid="{6BCAD684-B6EA-41EB-91E4-5267F4AA263E}" name="Loại tài khoản" dataDxfId="278"/>
    <tableColumn id="2" xr3:uid="{603DB923-4BC5-4423-A274-A17C876CE4A2}" name="Số Tài khoản" dataDxfId="277"/>
    <tableColumn id="4" xr3:uid="{C4306A62-2891-4731-A717-CC6F7910F169}" name="Phí Thanh toán" dataDxfId="276" dataCellStyle="Percent"/>
    <tableColumn id="3" xr3:uid="{4E886D6E-8A90-4289-A5D3-7DE9B8C36862}" name="Số dư ban đầu" dataDxfId="275" dataCellStyle="Comma"/>
    <tableColumn id="6" xr3:uid="{8C5B89A2-9332-4B66-BC31-5DFDAE28C026}" name="Add" dataDxfId="274"/>
  </tableColumns>
  <tableStyleInfo name="TableStyleMedium3"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80D11C9-B5AA-435B-AAF7-8F67E7C7D504}" name="Table_DauTu" displayName="Table_DauTu" ref="B4:J5" totalsRowShown="0" headerRowDxfId="272" dataDxfId="271">
  <autoFilter ref="B4:J5" xr:uid="{33BA97D5-806B-467F-8072-874973E61A4E}"/>
  <tableColumns count="9">
    <tableColumn id="1" xr3:uid="{13417069-BFE5-4A56-98E1-E251A793602E}" name="Mã khoản đầu tư" dataDxfId="270"/>
    <tableColumn id="2" xr3:uid="{7D0B06DC-AD10-4C17-8CA5-5D5883186557}" name="Tài sản đầu tư" dataDxfId="269"/>
    <tableColumn id="3" xr3:uid="{D33CF87D-21E8-4D3A-8E01-4F1161353E26}" name="Giá trị đầu tư" dataDxfId="268" dataCellStyle="Comma"/>
    <tableColumn id="4" xr3:uid="{EFB06D4B-4971-468B-9A1B-D04F8830D305}" name="Thời hạn (tháng)" dataDxfId="267" dataCellStyle="Comma"/>
    <tableColumn id="8" xr3:uid="{65743D85-4109-4D92-B664-2BCBF0420CA1}" name="Lãi suất (năm)" dataDxfId="266" dataCellStyle="Percent"/>
    <tableColumn id="9" xr3:uid="{846A9515-722D-44B8-90F2-8D8E0F05BA3D}" name="Kỳ đầu tư" dataDxfId="265"/>
    <tableColumn id="6" xr3:uid="{4C00745A-B1FE-45B1-9B3E-38A95580281F}" name="Kỳ đáo hạn" dataDxfId="264">
      <calculatedColumnFormula>IF(ISBLANK(Table_DauTu[[#This Row],[Thời hạn (tháng)]]),0,
Table_DauTu[[#This Row],[Kỳ đầu tư]] + ROUND(Table_DauTu[[#This Row],[Thời hạn (tháng)]] * (365.25/12),0))</calculatedColumnFormula>
    </tableColumn>
    <tableColumn id="5" xr3:uid="{78924250-EF4E-4CA1-B05F-ABFB6E62438A}" name="Lãi hàng tháng" dataDxfId="263" dataCellStyle="Comma">
      <calculatedColumnFormula>IF(ISBLANK(Table_DauTu[[#This Row],[Lãi suất (năm)]]),0,Table_DauTu[[#This Row],[Giá trị đầu tư]]* Table_DauTu[[#This Row],[Lãi suất (năm)]]/12)</calculatedColumnFormula>
    </tableColumn>
    <tableColumn id="10" xr3:uid="{DD51B405-73CD-400C-ADF6-CF820E5F4616}" name="Add" dataDxfId="262"/>
  </tableColumns>
  <tableStyleInfo name="TableStyleMedium3"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B4:M8" totalsRowShown="0" headerRowDxfId="258" dataDxfId="257">
  <autoFilter ref="B4:M8" xr:uid="{33BA97D5-806B-467F-8072-874973E61A4E}"/>
  <tableColumns count="12">
    <tableColumn id="1" xr3:uid="{4A93644F-8224-447B-9E36-259792E6E138}" name="Mã khoản vay" dataDxfId="256"/>
    <tableColumn id="2" xr3:uid="{A89F2CB3-3FD7-456C-B7F4-0E3DBE246171}" name="Bên cho vay" dataDxfId="255"/>
    <tableColumn id="3" xr3:uid="{0346E20E-CC57-4F1B-B612-52C1688C2B55}" name="Giá trị vay" dataDxfId="254" dataCellStyle="Comma"/>
    <tableColumn id="12" xr3:uid="{B3E707F2-4568-4E1A-A294-7D6F30EC02BD}" name="Tần suất trả nợ" dataDxfId="253" dataCellStyle="Comma"/>
    <tableColumn id="11" xr3:uid="{AA3EB2D4-0F79-41E8-BF8E-F9B87967230F}" name="Thời hạn (năm)" dataDxfId="252" dataCellStyle="Comma"/>
    <tableColumn id="4" xr3:uid="{57419588-C918-4A04-A1A6-318776271252}" name="Thời hạn (tháng)" dataDxfId="251" dataCellStyle="Comma"/>
    <tableColumn id="8" xr3:uid="{ADE26E08-469E-496D-8DD9-6D7A2F0B7494}" name="Lãi suất (năm)" dataDxfId="250" dataCellStyle="Percent"/>
    <tableColumn id="9" xr3:uid="{BE0A26C0-FBBB-45BA-804C-0B8E64CC81D3}" name="Ngày vay" dataDxfId="249"/>
    <tableColumn id="5" xr3:uid="{77AF3B82-48AE-4D87-A5EB-64C9E37C071D}" name="Bắt đầu trả gốc" dataDxfId="248"/>
    <tableColumn id="6" xr3:uid="{585AAE9C-F2FC-4DF5-9A78-D2638745E9B1}" name="Kết thúc trả gốc" dataDxfId="24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24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 id="10" xr3:uid="{DD812B37-DC69-4136-862B-4E317D93174B}" name="Add" dataDxfId="245"/>
  </tableColumns>
  <tableStyleInfo name="TableStyleMedium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C709573-89B6-4517-AED2-CA532A54D3DD}" name="Table_CoDong" displayName="Table_CoDong" ref="B4:K5" totalsRowShown="0" headerRowDxfId="242" dataDxfId="241">
  <autoFilter ref="B4:K5" xr:uid="{1C709573-89B6-4517-AED2-CA532A54D3DD}"/>
  <tableColumns count="10">
    <tableColumn id="1" xr3:uid="{11E1E3A6-FE95-4E0C-BEA8-076729333970}" name="Mã Cổ đông" dataDxfId="240"/>
    <tableColumn id="2" xr3:uid="{65209269-4DB8-4391-A298-4C64CE3A340D}" name="Tên Cổ đông" dataDxfId="239"/>
    <tableColumn id="3" xr3:uid="{C0AAD33A-81E5-48B1-BB5B-03749E6409F0}" name="Vốn góp ban đầu" dataDxfId="238" dataCellStyle="Comma"/>
    <tableColumn id="4" xr3:uid="{0167E8D1-6899-412F-9852-A8F5405AB4C3}" name="Vốn góp hiện tại" dataDxfId="237" dataCellStyle="Comma">
      <calculatedColumnFormula>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calculatedColumnFormula>
    </tableColumn>
    <tableColumn id="5" xr3:uid="{C3D2C8AC-C9EC-4AE7-9BB4-B7E0B7330025}" name="Tỷ lệ sở hữu" dataDxfId="236" dataCellStyle="Percent">
      <calculatedColumnFormula>IFERROR(Table_CoDong[[#This Row],[Vốn góp hiện tại]]/SUM(Table_CoDong[Vốn góp hiện tại]),0)</calculatedColumnFormula>
    </tableColumn>
    <tableColumn id="6" xr3:uid="{0788CB80-297F-4206-91C9-CF1E0FC99640}" name="Tỷ lệ chia lợi nhuận" dataDxfId="235" dataCellStyle="Percent">
      <calculatedColumnFormula>Table_CoDong[[#This Row],[Tỷ lệ sở hữu]]</calculatedColumnFormula>
    </tableColumn>
    <tableColumn id="7" xr3:uid="{CF2A8E55-DDBD-4A97-B224-28CD96F9E7D5}" name="MST / CCCD" dataDxfId="234"/>
    <tableColumn id="8" xr3:uid="{E7AC8E04-EB64-406A-BE0D-7081826BA7F9}" name="Địa chỉ" dataDxfId="233"/>
    <tableColumn id="9" xr3:uid="{F171E66A-5F9D-4092-B19D-F0B4D3C1A7D4}" name="SĐT" dataDxfId="232"/>
    <tableColumn id="10" xr3:uid="{157EEF0C-DA61-4F78-B69B-396759529D02}" name="Add" dataDxfId="231"/>
  </tableColumns>
  <tableStyleInfo name="TableStyleMedium3"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991E17-DE02-4747-B5A3-0BC9073CB224}" name="Table_ChiPhiKD" displayName="Table_ChiPhiKD" ref="L21:AB22" totalsRowShown="0" headerRowDxfId="228" dataDxfId="227">
  <autoFilter ref="L21:AB22" xr:uid="{5F991E17-DE02-4747-B5A3-0BC9073CB224}"/>
  <tableColumns count="17">
    <tableColumn id="1" xr3:uid="{8EB76FFF-4298-4FA9-8AEF-A1BCE446D786}" name="STT" dataDxfId="226"/>
    <tableColumn id="2" xr3:uid="{BD174AD5-E97E-477B-BC4F-E91FD9C428FE}" name="Mã chi phí" dataDxfId="225">
      <calculatedColumnFormula>CONCATENATE("CP-",U22,"-",MOD(O22,100)*100+P22,"-",L22)</calculatedColumnFormula>
    </tableColumn>
    <tableColumn id="4" xr3:uid="{E44E3A1C-E824-4C08-B3CB-09598F123B88}" name="Kỳ" dataDxfId="224">
      <calculatedColumnFormula>IFERROR(
IF(ISBLANK(Table_ChiPhiKD[[#This Row],[Tháng]]),
DATE(Table_ChiPhiKD[[#This Row],[Năm]],12,1),
DATE(Table_ChiPhiKD[[#This Row],[Năm]],Table_ChiPhiKD[[#This Row],[Tháng]],1)),0)</calculatedColumnFormula>
    </tableColumn>
    <tableColumn id="3" xr3:uid="{951F499D-E058-410C-B58A-2B55796DF745}" name="Năm" dataDxfId="223" dataCellStyle="Comma"/>
    <tableColumn id="10" xr3:uid="{B1FB9B04-80B2-4715-A31B-B948274CB86B}" name="Tháng" dataDxfId="222" dataCellStyle="Comma"/>
    <tableColumn id="16" xr3:uid="{AA4DD464-AA58-4FC8-AA01-05E1E24161BC}" name="Phân bổ từ" dataDxfId="221"/>
    <tableColumn id="17" xr3:uid="{3D1DA3BA-92E3-490C-B457-D14473A7D91A}" name="Phân bổ đến" dataDxfId="220"/>
    <tableColumn id="5" xr3:uid="{C39693CD-AB60-4CF1-A1B9-5926B9B0DCC1}" name="Nhóm chi phí" dataDxfId="219"/>
    <tableColumn id="15" xr3:uid="{D484D441-3E9A-4FB5-870D-8565F8778970}" name="Nhóm vendor" dataDxfId="218"/>
    <tableColumn id="6" xr3:uid="{D224774D-C286-440F-9995-EADC42C63DDB}" name="Vendor" dataDxfId="217"/>
    <tableColumn id="8" xr3:uid="{784EA8E4-5DA1-413C-B845-3AC745F511D2}" name="Nội dung" dataDxfId="216"/>
    <tableColumn id="9" xr3:uid="{9CFBD63A-3004-4019-B4C0-8BC6155C769E}" name="Giá trị" dataDxfId="215"/>
    <tableColumn id="11" xr3:uid="{F137258A-D68A-4907-82AC-D5F9125EDBEF}" name="Tỷ suất VAT kháu trừ" dataDxfId="214"/>
    <tableColumn id="13" xr3:uid="{61812D02-8B46-4BA6-871B-7AE02B78CA8A}" name="VAT khấu trừ" dataDxfId="213">
      <calculatedColumnFormula>Table_ChiPhiKD[[#This Row],[Tỷ suất VAT kháu trừ]]*Table_ChiPhiKD[[#This Row],[Giá trị]]/(1+Table_ChiPhiKD[[#This Row],[Tỷ suất VAT kháu trừ]])</calculatedColumnFormula>
    </tableColumn>
    <tableColumn id="14" xr3:uid="{1D65BDC4-EDFD-41F7-A00B-66DE0DD1816F}" name="Chi phí tính thuế" dataDxfId="212">
      <calculatedColumnFormula>Table_ChiPhiKD[[#This Row],[Giá trị]]-Table_ChiPhiKD[[#This Row],[VAT khấu trừ]]</calculatedColumnFormula>
    </tableColumn>
    <tableColumn id="12" xr3:uid="{B64FA33D-F32F-4150-89F0-5E5629BF018D}" name="Add" dataDxfId="211"/>
    <tableColumn id="7" xr3:uid="{925DFFB3-F75E-4803-8AB1-5A25D839F13D}" name="Còn lại" dataDxfId="210">
      <calculatedColumnFormula array="1"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calculatedColumnFormula>
    </tableColumn>
  </tableColumns>
  <tableStyleInfo name="TableStyleMedium3"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A829BAB-EAA8-4CEC-8729-FEB23DC461F0}" name="Table_ChiPhiKD_PhanBo" displayName="Table_ChiPhiKD_PhanBo" ref="B21:J22" totalsRowShown="0" headerRowDxfId="209" dataDxfId="207" headerRowBorderDxfId="208" tableBorderDxfId="206" totalsRowBorderDxfId="205">
  <autoFilter ref="B21:J22" xr:uid="{CA829BAB-EAA8-4CEC-8729-FEB23DC461F0}"/>
  <tableColumns count="9">
    <tableColumn id="2" xr3:uid="{8758E641-9FC9-4E2A-A29D-0034C0ECDB6C}" name="Kỳ" dataDxfId="204">
      <calculatedColumnFormula>IFERROR(
IF(ISBLANK(D22),
DATE(C22,12,1),
DATE(C22,D22,1)),0)</calculatedColumnFormula>
    </tableColumn>
    <tableColumn id="1" xr3:uid="{ECB58036-A7FC-4654-9002-29059A2F1910}" name="Năm" dataDxfId="203"/>
    <tableColumn id="6" xr3:uid="{DD4BCD06-7928-4810-BE08-438C5A629337}" name="Tháng" dataDxfId="202"/>
    <tableColumn id="8" xr3:uid="{919E23A3-BD19-4641-8A6E-C83B9766C74B}" name="Phân bổ từ" dataDxfId="201"/>
    <tableColumn id="9" xr3:uid="{2D113709-C06A-4FC5-BBED-92EF0652E204}" name="Phân bổ đến" dataDxfId="200"/>
    <tableColumn id="3" xr3:uid="{38854166-B381-4850-89BC-C77D9602A34C}" name="Chi phí" dataDxfId="199"/>
    <tableColumn id="4" xr3:uid="{FF35A440-F1CA-45A1-8D46-6AC05CB1D37B}" name="Chức năng" dataDxfId="198"/>
    <tableColumn id="5" xr3:uid="{DE55F636-84F4-4EBC-89C2-A9E3BEE9EA49}" name="Tỷ lệ phân bổ" dataDxfId="197" dataCellStyle="Percent"/>
    <tableColumn id="7" xr3:uid="{BDD94865-37AC-436D-AE47-AF4C300F9F6D}" name="Add" dataDxfId="196"/>
  </tableColumns>
  <tableStyleInfo name="TableStyleMedium3"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G3:H18" totalsRowShown="0" headerRowDxfId="195" dataDxfId="194">
  <autoFilter ref="G3:H18" xr:uid="{A3BF0C5B-FC17-4D9C-B315-53375E480D6F}"/>
  <tableColumns count="2">
    <tableColumn id="1" xr3:uid="{5A01712E-882C-4D38-85D0-54B58A2EB9BA}" name="Nhóm chi phí" dataDxfId="193"/>
    <tableColumn id="3" xr3:uid="{995D1958-CA48-46CF-BFF8-F6D8301B03B8}" name="Chức năng" dataDxfId="192"/>
  </tableColumns>
  <tableStyleInfo name="TableStyleMedium3"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CDC939-2E96-4476-86E6-B56E18A675E8}" name="Table_NhaCungCap" displayName="Table_NhaCungCap" ref="B14:J17" totalsRowShown="0" headerRowDxfId="184" dataDxfId="182" headerRowBorderDxfId="183" tableBorderDxfId="181" totalsRowBorderDxfId="180">
  <autoFilter ref="B14:J17" xr:uid="{F9CDC939-2E96-4476-86E6-B56E18A675E8}"/>
  <tableColumns count="9">
    <tableColumn id="1" xr3:uid="{7721CE83-F664-4762-9716-4889305A9FE2}" name="Mã Đối tác" dataDxfId="179"/>
    <tableColumn id="2" xr3:uid="{41D3F0CF-E150-49FF-8B01-450666B3CC4E}" name="Tên Đối tác" dataDxfId="178"/>
    <tableColumn id="8" xr3:uid="{CF26196B-69EB-46EC-B556-EA7E356900A5}" name="Loại đối tác" dataDxfId="177"/>
    <tableColumn id="3" xr3:uid="{B91B8895-5250-4079-BB0D-F4FE31F381D7}" name="Mã số thuế" dataDxfId="176"/>
    <tableColumn id="4" xr3:uid="{81E3C711-500A-4593-942E-FEAB04058687}" name="SĐT" dataDxfId="175"/>
    <tableColumn id="5" xr3:uid="{BB737E9B-C3C7-42A0-AE4B-C771A4B94B46}" name="Địa điểm" dataDxfId="174"/>
    <tableColumn id="6" xr3:uid="{ABBC3333-2DA9-426E-B6D7-895106AB9BC7}" name="Tài khoản" dataDxfId="173"/>
    <tableColumn id="9" xr3:uid="{AB1EED42-5145-44D2-B0AC-5FA7A87C5A4B}" name="Dư nợ" dataDxfId="172" dataCellStyle="Comma">
      <calculatedColumnFormula>IFERROR(VLOOKUP(Table_NhaCungCap[[#This Row],[Mã Đối tác]],Table_PhaiTra[[Đối tác]:[Add]],COUNTA(Table_PhaiTra[[#Headers],[Đối tác]:[Add]])-1,0),0)</calculatedColumnFormula>
    </tableColumn>
    <tableColumn id="7" xr3:uid="{33848DA7-3319-42F8-95F5-D04554228C07}" name="Add" dataDxfId="171"/>
  </tableColumns>
  <tableStyleInfo name="TableStyleMedium3"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T9:AC10" totalsRowShown="0" headerRowDxfId="168" dataDxfId="167">
  <autoFilter ref="T9:AC10" xr:uid="{D36C50C2-9F50-44F9-851E-AF3CE876FBFE}"/>
  <tableColumns count="10">
    <tableColumn id="1" xr3:uid="{4A3FCD0C-E17B-4120-9BE4-7374A2C75088}" name="Mã NV" dataDxfId="166"/>
    <tableColumn id="2" xr3:uid="{3FF44A59-1049-4D92-87E1-AE653BB3E15F}" name="Tên NV" dataDxfId="165"/>
    <tableColumn id="8" xr3:uid="{99A1AB96-F8C1-4D21-9FC4-EF4072A4DE00}" name="Bộ phận" dataDxfId="164"/>
    <tableColumn id="5" xr3:uid="{BEAC1714-C1E8-49D6-9AC3-1AF3087A84E0}" name="Phòng" dataDxfId="163">
      <calculatedColumnFormula>IFERROR(VLOOKUP(Table_NhanVien[[#This Row],[Bộ phận]],Table_CauTruc_BoPhan[],COUNTA(Table_CauTruc_BoPhan[[#Headers],[Tên bộ phận]:[Phòng trực thuộc]]),0),0)</calculatedColumnFormula>
    </tableColumn>
    <tableColumn id="4" xr3:uid="{EA7F935A-1ED0-40EA-89FE-F00403EBFCE3}" name="Chức năng" dataDxfId="162">
      <calculatedColumnFormula>IFERROR(
VLOOKUP(Table_NhanVien[[#This Row],[Phòng]],Table_CauTruc_PhongBan[],COUNTA(Table_CauTruc_PhongBan[[#Headers],[Tên phòng ban]:[Chức năng]]),0),0)</calculatedColumnFormula>
    </tableColumn>
    <tableColumn id="6" xr3:uid="{7B5CEAB6-BD30-4D2D-943C-5EC7D3E12B9D}" name="Vị trí" dataDxfId="161"/>
    <tableColumn id="7" xr3:uid="{8B9A2DC1-6892-4BE3-8A30-44D5EB94ABC1}" name="Lương gross" dataDxfId="160" dataCellStyle="Comma"/>
    <tableColumn id="12" xr3:uid="{E89F53C3-90D6-460E-8E47-F1E06E1BC555}" name="Người phụ thuộc" dataDxfId="159" dataCellStyle="Comma"/>
    <tableColumn id="9" xr3:uid="{DA7672C3-D179-41D7-B233-EF01246FF73A}" name="Nghỉ phép năm" dataDxfId="158" dataCellStyle="Comma"/>
    <tableColumn id="3" xr3:uid="{0997A14D-6FB9-4585-89CD-7360C6B38981}" name="Add" dataDxfId="157"/>
  </tableColumns>
  <tableStyleInfo name="TableStyleMedium3"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874024D3-C0F6-4B78-91DE-183D234B7E0A}" name="Table_CauTruc_PhongBan" displayName="Table_CauTruc_PhongBan" ref="B9:E10" totalsRowShown="0" headerRowDxfId="156" dataDxfId="155">
  <autoFilter ref="B9:E10" xr:uid="{874024D3-C0F6-4B78-91DE-183D234B7E0A}"/>
  <tableColumns count="4">
    <tableColumn id="2" xr3:uid="{4955A630-83A9-465E-8E2B-CCAF528A483F}" name="Tên phòng ban" dataDxfId="154"/>
    <tableColumn id="3" xr3:uid="{BB289D1A-97DE-4CC3-9BC0-D73268339B89}" name="Chức năng" dataDxfId="153"/>
    <tableColumn id="4" xr3:uid="{BD3DB428-9E80-4CCB-859B-3280E06AA362}" name="Trưởng phòng" dataDxfId="152"/>
    <tableColumn id="5" xr3:uid="{196D9394-A077-432C-A305-7C9FA44F664A}" name="Add" dataDxfId="151"/>
  </tableColumns>
  <tableStyleInfo name="TableStyleMedium3"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63F1D030-35D8-461C-A2E4-DECEBB912102}" name="Table_CauTruc_BoPhan" displayName="Table_CauTruc_BoPhan" ref="G9:J10" totalsRowShown="0" headerRowDxfId="150" dataDxfId="149">
  <autoFilter ref="G9:J10" xr:uid="{63F1D030-35D8-461C-A2E4-DECEBB912102}"/>
  <tableColumns count="4">
    <tableColumn id="2" xr3:uid="{17A0FDD1-EA20-464F-B4AF-395480699CFD}" name="Tên bộ phận" dataDxfId="148"/>
    <tableColumn id="3" xr3:uid="{C35AC608-7B82-4B64-A7A0-64477DE43413}" name="Phòng trực thuộc" dataDxfId="147"/>
    <tableColumn id="4" xr3:uid="{509D9E98-94F9-4818-A87B-FC2F4C2B8217}" name="Trưởng bộ phận" dataDxfId="146"/>
    <tableColumn id="5" xr3:uid="{BA1EEDDC-46C1-425D-ABD9-403CE33F6A1A}" name="Add" dataDxfId="145"/>
  </tableColumns>
  <tableStyleInfo name="TableStyleMedium3"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BCDFD35B-AF46-4CAA-8C17-32B8AF8F3C2E}" name="Table_CauTruc_ViTri" displayName="Table_CauTruc_ViTri" ref="L9:Q10" totalsRowShown="0" headerRowDxfId="144" dataDxfId="143">
  <autoFilter ref="L9:Q10" xr:uid="{BCDFD35B-AF46-4CAA-8C17-32B8AF8F3C2E}"/>
  <tableColumns count="6">
    <tableColumn id="1" xr3:uid="{CB2DDD6C-91E3-4F80-827C-B2E595D107A9}" name="Vị trí" dataDxfId="142"/>
    <tableColumn id="2" xr3:uid="{095AE0D0-0F39-4AEF-8276-39235A16F179}" name="Bộ phận" dataDxfId="141"/>
    <tableColumn id="3" xr3:uid="{535346B0-31A3-47B7-BD2E-E27629B35699}" name="Lương gross tiêu chuẩn" dataDxfId="140"/>
    <tableColumn id="4" xr3:uid="{8DC987E5-7EDA-444E-8653-BC208CE9DA98}" name="Số lượng mục tiêu" dataDxfId="139"/>
    <tableColumn id="5" xr3:uid="{0DE7B6C0-6272-4C44-A820-47B109AAF2DD}" name="Số lượng hiện tại" dataDxfId="138">
      <calculatedColumnFormula>IFERROR(
COUNTIFS(Table_NhanVien[[#This Row],[Bộ phận]],Table_CauTruc_ViTri[[#This Row],[Bộ phận]],Table_NhanVien[[#This Row],[Vị trí]],Table_CauTruc_ViTri[[#This Row],[Vị trí]]),0)</calculatedColumnFormula>
    </tableColumn>
    <tableColumn id="6" xr3:uid="{4EA7719B-CBE6-4F05-9433-6F66A26A7EF3}" name="Add" dataDxfId="137"/>
  </tableColumns>
  <tableStyleInfo name="TableStyleMedium3"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H23:AD29" totalsRowShown="0" headerRowDxfId="133" dataDxfId="132">
  <autoFilter ref="H23:AD29" xr:uid="{40AFBD15-C3DB-4B1A-A7ED-68DC4F48A342}"/>
  <tableColumns count="23">
    <tableColumn id="1" xr3:uid="{A47B5657-C017-4789-8658-5878F1E279FC}" name="Mã Tài sản" dataDxfId="131"/>
    <tableColumn id="12" xr3:uid="{6EEF3686-9329-4F08-B3CD-EA296F7F9C7B}" name="Tên tài sản" dataDxfId="130"/>
    <tableColumn id="2" xr3:uid="{4F42ED11-12D7-40D8-B475-C321101CBE70}" name="Chức năng" dataDxfId="129"/>
    <tableColumn id="18" xr3:uid="{7C7701C7-1751-4E95-9C28-B86A2A873F7A}" name="Phân loại" dataDxfId="128"/>
    <tableColumn id="16" xr3:uid="{1E1E7B91-780E-48E4-A150-E80FD4EECDAF}" name="Công suất" dataDxfId="127" dataCellStyle="Comma"/>
    <tableColumn id="17" xr3:uid="{CF466C8E-B41D-429E-BDA5-A572C444FD7B}" name="Đơn vị công suất" dataDxfId="126"/>
    <tableColumn id="7" xr3:uid="{EB0326DA-5004-47BD-903B-08B8745AEC52}" name="Giá trị sổ sách" dataDxfId="125" dataCellStyle="Comma"/>
    <tableColumn id="9" xr3:uid="{F17E30ED-4447-4BC1-AC59-9DECB27CE82F}" name="Ngày mua" dataDxfId="124"/>
    <tableColumn id="3" xr3:uid="{367D1F63-7B9D-4BD0-908B-ED95605B8762}" name="Năm khấu hao" dataDxfId="123" dataCellStyle="Comma"/>
    <tableColumn id="4" xr3:uid="{DAEEE6C4-A0AA-484E-B5B8-9797AC6DD237}" name="Tháng khấu hao" dataDxfId="122" dataCellStyle="Comma">
      <calculatedColumnFormula>Table_TSCD[[#This Row],[Năm khấu hao]]*12</calculatedColumnFormula>
    </tableColumn>
    <tableColumn id="5" xr3:uid="{07F00AC5-E602-4A83-B7F0-0D26923028DF}" name="Ngày vận hành" dataDxfId="121"/>
    <tableColumn id="10" xr3:uid="{0433B6A4-1457-4046-8C56-89725B66D191}" name="Ngày thanh lý" dataDxfId="120"/>
    <tableColumn id="6" xr3:uid="{16F64D22-997F-4AD6-BAD5-FC61B6F5356C}" name="Ngày kết thúc" dataDxfId="119">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18" dataCellStyle="Comma">
      <calculatedColumnFormula>IFERROR(
Table_TSCD[[#This Row],[Giá trị sổ sách]]/Table_TSCD[[#This Row],[Tháng khấu hao]],
0)</calculatedColumnFormula>
    </tableColumn>
    <tableColumn id="15" xr3:uid="{D7FCA084-26D7-43E9-AB01-6C08A1C39460}" name="Tình trạng VAT" dataDxfId="117"/>
    <tableColumn id="13" xr3:uid="{7E34F990-ADFE-456A-A4D5-00D9D0FBED1F}" name="Tỷ suất VAT" dataDxfId="116" dataCellStyle="Percent"/>
    <tableColumn id="14" xr3:uid="{596FA92E-DD2A-48BD-B8C1-3CEAB720BF6D}" name="VAT khấu trừ" dataDxfId="115" dataCellStyle="Comma">
      <calculatedColumnFormula>IFERROR(
IF(Table_TSCD[[#This Row],[Tình trạng VAT]] = "Chưa khấu trừ / bồi hoàn",
Table_TSCD[[#This Row],[Tỷ suất VAT]]*(Table_TSCD[[#This Row],[Giá trị sổ sách]]/(1+Table_TSCD[[#This Row],[Tỷ suất VAT]])),
0),0)</calculatedColumnFormula>
    </tableColumn>
    <tableColumn id="19" xr3:uid="{00065620-15B2-44BB-B27E-EA5A501A347B}" name="Số ngày vận hành" dataDxfId="114" dataCellStyle="Comma">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20" xr3:uid="{88D3743C-BC14-4DB3-8B23-AB45EE66ED62}" name="Khấu hao lũy kế theo ngày" dataDxfId="113" dataCellStyle="Comma">
      <calculatedColumnFormula>MIN(Table_TSCD[[#This Row],[Giá trị sổ sách]],Table_TSCD[[#This Row],[Giá trị sổ sách]]/(Table_TSCD[[#This Row],[Tháng khấu hao]]*365.25/12)*Table_TSCD[[#This Row],[Số ngày vận hành]])</calculatedColumnFormula>
    </tableColumn>
    <tableColumn id="21" xr3:uid="{FBE6E5BF-2ECD-4E12-9C56-8BC004D1129F}" name="Tỷ lệ khấu hao" dataDxfId="112" dataCellStyle="Percent">
      <calculatedColumnFormula>Table_TSCD[[#This Row],[Khấu hao lũy kế theo ngày]]/Table_TSCD[[#This Row],[Giá trị sổ sách]]</calculatedColumnFormula>
    </tableColumn>
    <tableColumn id="22" xr3:uid="{5B2AFBB9-6F62-4288-9CC5-CFDFEB00724B}" name="Giá trị còn lại" dataDxfId="111" dataCellStyle="Comma">
      <calculatedColumnFormula>Table_TSCD[[#This Row],[Giá trị sổ sách]]-Table_TSCD[[#This Row],[Khấu hao lũy kế theo ngày]]</calculatedColumnFormula>
    </tableColumn>
    <tableColumn id="23" xr3:uid="{B68CD42B-E757-4940-B628-028C623B9FF4}" name="Số ngày còn lại" dataDxfId="110" dataCellStyle="Comma">
      <calculatedColumnFormula>MAX(0,IF(ISBLANK(Table_TSCD[[#This Row],[Ngày vận hành]]),0,
IF(ISBLANK(Table_TSCD[[#This Row],[Ngày thanh lý]]),
Table_TSCD[[#This Row],[Ngày kết thúc]]-TODAY(),0
)))</calculatedColumnFormula>
    </tableColumn>
    <tableColumn id="11" xr3:uid="{617F9077-BD66-4A1B-976D-AB47BE35D003}" name="Add" dataDxfId="109"/>
  </tableColumns>
  <tableStyleInfo name="TableStyleMedium3"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98D07-B144-49DD-8ED6-30712C7785F9}" name="Table_NguyenLieu" displayName="Table_NguyenLieu" ref="C8:J10" totalsRowShown="0" headerRowDxfId="102" dataDxfId="100" headerRowBorderDxfId="101" tableBorderDxfId="99" totalsRowBorderDxfId="98">
  <autoFilter ref="C8:J10" xr:uid="{F9CDC939-2E96-4476-86E6-B56E18A675E8}"/>
  <tableColumns count="8">
    <tableColumn id="1" xr3:uid="{1B67AE99-FDAD-4835-9D4E-34EA44144EE0}" name="Mã Nguyên liệu" dataDxfId="97"/>
    <tableColumn id="2" xr3:uid="{3C30776B-A6FB-47C4-8E72-61682F243AD3}" name="Tên Nguyên liệu" dataDxfId="96"/>
    <tableColumn id="3" xr3:uid="{87313DE0-6E80-44F2-914E-50F319B39506}" name="Chức năng" dataDxfId="95"/>
    <tableColumn id="4" xr3:uid="{915AAD01-0CDD-4393-9B34-72D2B09711C7}" name="Đơn vị" dataDxfId="94"/>
    <tableColumn id="5" xr3:uid="{43F9A0B6-22CC-4BE8-94BC-83710307A141}" name="Tỷ suất VAT" dataDxfId="93"/>
    <tableColumn id="8" xr3:uid="{1E207E09-C9FA-4E1E-BBA2-DE7826E06361}" name="Hạn sử dụng" dataDxfId="92"/>
    <tableColumn id="6" xr3:uid="{CD709ECA-DA11-4A56-A7D0-4462FFBF48DD}" name="Tồn kho" dataDxfId="91" dataCellStyle="Comma">
      <calculatedColumnFormula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calculatedColumnFormula>
    </tableColumn>
    <tableColumn id="7" xr3:uid="{D12ADB4A-753F-4E3F-8360-988F7C70F7A1}" name="Add" dataDxfId="90"/>
  </tableColumns>
  <tableStyleInfo name="TableStyleMedium3"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D4D2D8-07A6-4019-B2DE-FD28C29C2B5F}" name="Table_ChuongTrinh" displayName="Table_ChuongTrinh" ref="B5:N6" totalsRowShown="0" headerRowDxfId="88" dataDxfId="87">
  <autoFilter ref="B5:N6" xr:uid="{89D4D2D8-07A6-4019-B2DE-FD28C29C2B5F}"/>
  <tableColumns count="13">
    <tableColumn id="1" xr3:uid="{C07B4D49-6C55-4384-8622-8E12E3545080}" name="Mã Chương trình" dataDxfId="86"/>
    <tableColumn id="10" xr3:uid="{C922E9CA-E240-489B-BF96-87E46297C0A4}" name="Đối tượng CK" dataDxfId="85"/>
    <tableColumn id="2" xr3:uid="{60DDFE69-7F8F-4970-9DF7-BBE4159ACE63}" name="Nội dung Chương trình" dataDxfId="84"/>
    <tableColumn id="3" xr3:uid="{6AD3BBB5-4931-4482-A0C5-69CCB2D21437}" name="Bắt đầu" dataDxfId="83"/>
    <tableColumn id="4" xr3:uid="{D841A234-B8B9-421B-BC2F-26B35AA9284D}" name="Kết thúc" dataDxfId="82"/>
    <tableColumn id="5" xr3:uid="{18734680-1290-4A36-81B4-E137009CFECE}" name="Tỷ lệ CK" dataDxfId="81"/>
    <tableColumn id="6" xr3:uid="{A4897EC7-31DE-4F08-8716-1B71CB19BB9C}" name="Giá trị CK" dataDxfId="80" dataCellStyle="Comma"/>
    <tableColumn id="8" xr3:uid="{A678DB58-0A2F-46DD-ADD2-53C6F78C9D5D}" name="Số lượng" dataDxfId="79" dataCellStyle="Comma"/>
    <tableColumn id="9" xr3:uid="{0B14159A-8061-4F3D-9C98-CC9169AF2819}" name="Giá trị tối thiểu" dataDxfId="78" dataCellStyle="Comma"/>
    <tableColumn id="14" xr3:uid="{02C28D48-ADA4-42D2-B1D6-6B3ECF7B9637}" name="Sinh nhật" dataDxfId="77" dataCellStyle="Comma"/>
    <tableColumn id="15" xr3:uid="{E08C58CE-C14D-4155-BD98-3405A6557F2C}" name="Ngày mua cuối" dataDxfId="76" dataCellStyle="Comma"/>
    <tableColumn id="7" xr3:uid="{2C3E4CBC-B39B-4DE4-8CC7-9D656A80807F}" name="Chi phí" dataDxfId="75" dataCellStyle="Comma"/>
    <tableColumn id="11" xr3:uid="{9F97954A-5E09-49C4-BF7A-3D47ED5D6855}" name="Add" dataDxfId="74"/>
  </tableColumns>
  <tableStyleInfo name="TableStyleMedium3"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FD265DA-C428-4BBF-9997-524EA24EACF2}" name="Table_HoaHong" displayName="Table_HoaHong" ref="B4:G5" insertRow="1" totalsRowShown="0" headerRowDxfId="72" dataDxfId="71">
  <autoFilter ref="B4:G5" xr:uid="{BFD265DA-C428-4BBF-9997-524EA24EACF2}"/>
  <tableColumns count="6">
    <tableColumn id="1" xr3:uid="{A976ACD2-663C-42B5-A29A-3F119C4BFAF8}" name="SKU" dataDxfId="70"/>
    <tableColumn id="2" xr3:uid="{7B693058-09CD-4FC7-82F6-C9C42132806D}" name="Đối tượng" dataDxfId="69"/>
    <tableColumn id="3" xr3:uid="{EA765741-F5DC-4846-BA61-71C5CC0C8E9D}" name="Mã Nhân viên" dataDxfId="68"/>
    <tableColumn id="4" xr3:uid="{6C52C6DF-D30B-490B-AE76-9A46BD269A4B}" name="Mã Kênh" dataDxfId="67"/>
    <tableColumn id="5" xr3:uid="{8CACF372-1843-432A-91FD-C2D566B04294}" name="Tỷ lệ" dataDxfId="66" dataCellStyle="Percent"/>
    <tableColumn id="6" xr3:uid="{7BF68F79-ABD2-4029-8EC0-27A97CFFE79A}" name="Add" dataDxfId="65"/>
  </tableColumns>
  <tableStyleInfo name="TableStyleMedium3"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5:E6" totalsRowShown="0" headerRowDxfId="63" dataDxfId="62">
  <autoFilter ref="B5:E6" xr:uid="{2C190213-2920-4301-9BD2-35D456F6F833}"/>
  <tableColumns count="4">
    <tableColumn id="1" xr3:uid="{48D2CC13-06FE-4B51-8CAD-C4F4EF85420A}" name="Mã Kênh" dataDxfId="61"/>
    <tableColumn id="2" xr3:uid="{FF2BFB4A-9E52-473D-B444-382777BA80E7}" name="Tên Kênh" dataDxfId="60"/>
    <tableColumn id="5" xr3:uid="{D22ACC48-099B-4D66-B1CD-75FB257CD025}" name="Nhóm Kênh" dataDxfId="59"/>
    <tableColumn id="4" xr3:uid="{1A6D0473-8727-4A96-823F-B0D1727EF43F}" name="Add" dataDxfId="58"/>
  </tableColumns>
  <tableStyleInfo name="TableStyleMedium3"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B4:H10" totalsRowShown="0" headerRowDxfId="56" dataDxfId="55">
  <autoFilter ref="B4:H10" xr:uid="{2A700966-B946-4558-BE22-99AF6B5C1F14}"/>
  <tableColumns count="7">
    <tableColumn id="1" xr3:uid="{6540178E-6A74-4E52-9659-A4417E2EEE4E}" name="Cấp khách hàng" dataDxfId="54"/>
    <tableColumn id="2" xr3:uid="{09519A03-DE47-49D1-A93A-D7D1B0D21CA7}" name="Doanh thu tối thiểu" dataDxfId="53" dataCellStyle="Comma"/>
    <tableColumn id="3" xr3:uid="{3D6F47F4-0B0E-46DC-994D-47D05A146FEB}" name="Doanh thu tối đa" dataDxfId="52" dataCellStyle="Comma"/>
    <tableColumn id="6" xr3:uid="{80CA5847-269C-4A48-832B-FA8EE738B896}" name="Tỷ lệ điểm thưởng" dataDxfId="51" dataCellStyle="Percent"/>
    <tableColumn id="4" xr3:uid="{ACB3DB24-CDD2-4384-8CDA-D6179B576C5B}" name="Điểm thưởng tối đa" dataDxfId="50"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49"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 id="5" xr3:uid="{E5320752-FB3D-4043-94B1-33FE3605375A}" name="Add" dataDxfId="48"/>
  </tableColumns>
  <tableStyleInfo name="TableStyleMedium3"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B5:L8" totalsRowShown="0" headerRowDxfId="45" dataDxfId="44">
  <autoFilter ref="B5:L8" xr:uid="{2EBADAAF-4973-4630-9BDB-5AF1B00AEAF7}"/>
  <tableColumns count="11">
    <tableColumn id="1" xr3:uid="{D1EE74C4-8BF8-4369-81F8-60D04CDD26D7}" name="Mã KH" dataDxfId="43"/>
    <tableColumn id="3" xr3:uid="{4E5DA2CF-550B-4BCB-8C7D-5456FFB6D93D}" name="Tên KH" dataDxfId="42"/>
    <tableColumn id="7" xr3:uid="{9AE8DD08-A2D5-4075-A123-CC5A43E448DA}" name="Phân khúc" dataDxfId="41"/>
    <tableColumn id="5" xr3:uid="{FD3B42F2-01B0-43C5-B7E1-FAE3A48CDD5B}" name="Mã số thuế" dataDxfId="40"/>
    <tableColumn id="4" xr3:uid="{0FDCF1F2-5A53-41D3-9656-BA5781D47D38}" name="SĐT" dataDxfId="39"/>
    <tableColumn id="2" xr3:uid="{71DC607F-1DB8-4928-BFA3-B3A477A5C8EB}" name="Địa chỉ" dataDxfId="38"/>
    <tableColumn id="8" xr3:uid="{4511C0B7-321C-427D-A888-13DDC7FF20CC}" name="Phường" dataDxfId="37"/>
    <tableColumn id="9" xr3:uid="{2B15EAE2-A992-47F2-9D76-EDADC7F4C528}" name="Tỉnh" dataDxfId="36"/>
    <tableColumn id="11" xr3:uid="{3A0A7840-53D2-4736-8931-CCE981296A64}" name="Ngày sinh" dataDxfId="35"/>
    <tableColumn id="10" xr3:uid="{BDAAB05E-2D03-45A1-87CE-84E22A07FF75}" name="Dư nợ" dataDxfId="34" dataCellStyle="Comma">
      <calculatedColumnFormula>IFERROR(VLOOKUP(Table_KhachHang[[#This Row],[Mã KH]],Table_PhaiThu[#All],COUNTA(Table_PhaiThu[#Headers])-1,0),0)</calculatedColumnFormula>
    </tableColumn>
    <tableColumn id="6" xr3:uid="{410C20FD-44DC-4783-B04E-7EA1619304AD}" name="Add" dataDxfId="33"/>
  </tableColumns>
  <tableStyleInfo name="TableStyleMedium3"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B10:N13" totalsRowShown="0" headerRowDxfId="31" dataDxfId="30">
  <autoFilter ref="B10:N13" xr:uid="{344C42FF-9F83-4C27-9362-4B542233AFFC}"/>
  <tableColumns count="13">
    <tableColumn id="4" xr3:uid="{A409BE9F-5728-4D17-9C85-BFF1265CFA01}" name="Nhóm 1" dataDxfId="29"/>
    <tableColumn id="5" xr3:uid="{59983357-4AD1-477D-929B-70FB8B218B82}" name="Nhóm 2" dataDxfId="28"/>
    <tableColumn id="6" xr3:uid="{1C63F242-181A-4DEE-AFFC-B73E5DE6B2E1}" name="Nhóm 3" dataDxfId="27"/>
    <tableColumn id="9" xr3:uid="{700A3E70-071E-4497-86DA-202F9E185FC6}" name="Thêm nhóm" dataDxfId="26"/>
    <tableColumn id="10" xr3:uid="{9C5F1942-B834-40C0-9E5C-195AF99EA79F}" name="Loại hình" dataDxfId="25"/>
    <tableColumn id="1" xr3:uid="{496E3AD4-7DAC-4CCC-AB6A-6EB5FC0738A9}" name="Mã SKU" dataDxfId="24"/>
    <tableColumn id="2" xr3:uid="{4C8BC40C-89DE-4EC2-B538-4A541070024B}" name="Mô tả" dataDxfId="23"/>
    <tableColumn id="12" xr3:uid="{D788A326-DDE4-47B7-84D0-16FE8BF48AD2}" name="Đơn vị" dataDxfId="22"/>
    <tableColumn id="3" xr3:uid="{1F6E4874-BC3B-4258-B78D-0142F78D11A5}" name="Giá bán" dataDxfId="21" dataCellStyle="Comma"/>
    <tableColumn id="7" xr3:uid="{2DA989F2-DDCC-4442-B0A9-99F018650A96}" name="Tỷ suất VAT" dataDxfId="20"/>
    <tableColumn id="8" xr3:uid="{3F835F55-98EF-4782-8BE7-56C50CD60116}" name="Hạn sử dụng" dataDxfId="19"/>
    <tableColumn id="11" xr3:uid="{C52ACE3B-0C0D-4F77-8C37-C973D98837A0}" name="Tồn kho" dataDxfId="18" dataCellStyle="Comma">
      <calculatedColumnFormula xml:space="preserve">
+IFERROR(SUM(_xlfn._xlws.FILTER(Table_Main[Số lượng],
(Table_Main[Mã SKU]=Table_SKU[[#This Row],[Mã SKU]])*
(Table_Main[Loại] = "Nhập")
)),0)
-IFERROR(SUM(_xlfn._xlws.FILTER(Table_Main[Số lượng],
(Table_Main[Mã SKU]=Table_SKU[[#This Row],[Mã SKU]])*
(Table_Main[Loại] = "Xuất")
)),0)</calculatedColumnFormula>
    </tableColumn>
    <tableColumn id="24" xr3:uid="{8D9AC353-2451-42A1-B8BC-FFF6B9DAE244}" name="Add" dataDxfId="17"/>
  </tableColumns>
  <tableStyleInfo name="TableStyleMedium3"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A7877C-ED73-405D-A4DE-C3E9E2386DD7}" name="Table_SKU_PhanNhom" displayName="Table_SKU_PhanNhom" ref="B3:E5" totalsRowShown="0" headerRowDxfId="16" dataDxfId="15" tableBorderDxfId="14">
  <autoFilter ref="B3:E5" xr:uid="{91A7877C-ED73-405D-A4DE-C3E9E2386DD7}"/>
  <tableColumns count="4">
    <tableColumn id="1" xr3:uid="{29D45E7A-1109-49A1-AE99-A8ECCF501146}" name="Nhóm 1" dataDxfId="13"/>
    <tableColumn id="2" xr3:uid="{B8CAB449-11C9-4EE4-83BD-FC87D759A448}" name="Nhóm 2" dataDxfId="12"/>
    <tableColumn id="3" xr3:uid="{1691829F-6B50-473C-9869-2235C66679BD}" name="Nhóm 3" dataDxfId="11"/>
    <tableColumn id="4" xr3:uid="{1ED246E4-71EB-4DE2-9EA2-6F56FFA5AE89}" name="Thêm" dataDxfId="10"/>
  </tableColumns>
  <tableStyleInfo name="TableStyleMedium3"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01EEF4A-E49F-4684-9983-3493471F48BE}" name="Table_Kho" displayName="Table_Kho" ref="B3:F4" totalsRowShown="0" headerRowDxfId="7" dataDxfId="5" headerRowBorderDxfId="6">
  <autoFilter ref="B3:F4" xr:uid="{101EEF4A-E49F-4684-9983-3493471F48BE}"/>
  <tableColumns count="5">
    <tableColumn id="1" xr3:uid="{B2C99BE9-1CD7-44CE-900C-44FB90B20E86}" name="Mã Kho" dataDxfId="4"/>
    <tableColumn id="2" xr3:uid="{D9529A20-131C-486A-9F9A-D947B49C5E4C}" name="Tên Kho" dataDxfId="3"/>
    <tableColumn id="4" xr3:uid="{35B84542-4832-4E73-BE31-EDA5EB7E3E71}" name="SĐT" dataDxfId="2"/>
    <tableColumn id="5" xr3:uid="{B07E8F17-19C8-4C3A-9E61-874AA256432F}" name="Địa điểm" dataDxfId="1"/>
    <tableColumn id="3" xr3:uid="{F18266A8-5538-4319-9D81-B0BB7344F53A}"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Kỳ" xr10:uid="{08AC11AE-BE3E-4462-957D-C8A423E7F2BC}" sourceName="[Table_Datafeed].[Kỳ]">
  <pivotTables>
    <pivotTable tabId="74" name="PivotTable_BCQT"/>
    <pivotTable tabId="74" name="PivotTable_SanPham"/>
    <pivotTable tabId="74" name="PivotTable_ThiTruong"/>
  </pivotTables>
  <state minimalRefreshVersion="6" lastRefreshVersion="6" pivotCacheId="202867442" filterType="dateBetween">
    <selection startDate="2024-01-01T00:00:00" endDate="2024-09-30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 xr10:uid="{A8D7E458-D8A6-4B72-8F95-7A3A011E0B69}" sourceName="[Table_DonBan].[Ngày lập]">
  <pivotTables>
    <pivotTable tabId="74" name="PivotTable_ThiTruong"/>
  </pivotTables>
  <state minimalRefreshVersion="6" lastRefreshVersion="6" pivotCacheId="202867442" filterType="dateBetween">
    <selection startDate="2024-01-01T00:00:00" endDate="2024-12-31T00:00:00"/>
    <bounds startDate="2023-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1" xr10:uid="{329BCC35-A58E-4103-BA60-882B0E256618}" sourceName="[Table_DonBan].[Ngày lập]">
  <pivotTables>
    <pivotTable tabId="74" name="PivotTable_SanPham"/>
  </pivotTables>
  <state minimalRefreshVersion="6" lastRefreshVersion="6" pivotCacheId="202867442" filterType="dateBetween">
    <selection startDate="2023-11-01T00:00:00" endDate="2024-04-30T00:00:00"/>
    <bounds startDate="2023-01-01T00:00:00" endDate="2025-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2" xr10:uid="{0E0EA2D0-8DE1-46E8-B61A-E02040CA1757}" sourceName="[Table_DonBan].[Ngày lập]">
  <pivotTables>
    <pivotTable tabId="74" name="PivotTable_KPI_Actual"/>
  </pivotTables>
  <state minimalRefreshVersion="6" lastRefreshVersion="6" pivotCacheId="1248668223" filterType="dateBetween">
    <selection startDate="2024-01-01T00:00:00" endDate="2024-08-31T00:00:00"/>
    <bounds startDate="2023-01-01T00:00:00" endDate="2025-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3" xr10:uid="{DC8B1765-74D3-4FF8-9CC4-166D7FA270F4}" sourceName="[Table_DonBan].[Ngày lập]">
  <pivotTables>
    <pivotTable tabId="74" name="PivotTable_Ctr"/>
  </pivotTables>
  <state minimalRefreshVersion="6" lastRefreshVersion="6" pivotCacheId="128904237" filterType="dateBetween">
    <selection startDate="2024-01-01T00:00:00" endDate="2024-12-31T00:00:00"/>
    <bounds startDate="2023-01-01T00:00:00" endDate="2025-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Ngày_xuất_nhập" xr10:uid="{0B8E4EC5-3E42-4D28-900C-63B1A01C13A1}" sourceName="Ngày xuất nhập">
  <pivotTables>
    <pivotTable tabId="83" name="PivotTable1"/>
    <pivotTable tabId="83" name="PivotTable2"/>
  </pivotTables>
  <state minimalRefreshVersion="6" lastRefreshVersion="6" pivotCacheId="2067743822"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Kỳ" xr10:uid="{419126D3-EDB1-4BF4-9F5D-E0A99BF5A17F}" cache="Timeline_Kỳ" caption="Kỳ" showHeader="0" showSelectionLabel="0" showTimeLevel="0" showHorizontalScrollbar="0" level="2" selectionLevel="1" scrollPosition="2023-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xr10:uid="{C64F124C-65B7-485A-BEC8-B907E7FED235}" cache="Timeline_Ngày_lập" caption="Ngày lập" showHeader="0" showSelectionLabel="0" showTimeLevel="0" showHorizontalScrollbar="0" level="2" selectionLevel="0" scrollPosition="2023-05-13T00:00:00" style="TimeSlicerStyleLight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1" xr10:uid="{27CB2C4D-29F7-4E61-BDEB-CAD5FFD110E9}" cache="Timeline_Ngày_lập1" caption="Ngày lập" showHeader="0" showSelectionLabel="0" showTimeLevel="0" showHorizontalScrollbar="0" level="2" selectionLevel="2" scrollPosition="2023-01-01T00:00:00" style="TimeSlicerStyleLight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2" xr10:uid="{E661787A-7405-48B7-9F9E-9D65A76AEC01}" cache="Timeline_Ngày_lập2" caption="Ngày lập" showHeader="0" showSelectionLabel="0" showTimeLevel="0" showHorizontalScrollbar="0" level="2" selectionLevel="2" scrollPosition="2023-01-01T00:00:00" style="TimeSlicerStyleLight1 2"/>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3" xr10:uid="{565794ED-DE56-4B03-88E2-E02CB2C2AE2B}" cache="Timeline_Ngày_lập3" caption="Ngày lập" showHeader="0" showSelectionLabel="0" showTimeLevel="0" showHorizontalScrollbar="0" level="2" selectionLevel="0" scrollPosition="2023-01-01T00:00:00" style="TimeSlicerStyleLight1 2"/>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xuất nhập" xr10:uid="{470B8770-39D3-4DC9-BA3A-FED4D0BF1EB6}" cache="NativeTimeline_Ngày_xuất_nhập" caption="Ngày xuất nhập" showHeader="0" showSelectionLabel="0" showTimeLevel="0" showHorizontalScrollbar="0" level="2" selectionLevel="0" scrollPosition="2025-01-01T00:00:00" style="TimeSlicerStyleLight1 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drive.google.com/drive/folders/1nMNkaAGU79v1TojCvB5Odmb0cysjzetM?usp=drive_lin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12"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microsoft.com/office/2011/relationships/timeline" Target="../timelines/timeline1.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table" Target="../tables/table5.xml"/><Relationship Id="rId12"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11" Type="http://schemas.microsoft.com/office/2007/relationships/slicer" Target="../slicers/slicer1.xml"/><Relationship Id="rId5" Type="http://schemas.openxmlformats.org/officeDocument/2006/relationships/ctrlProp" Target="../ctrlProps/ctrlProp12.xml"/><Relationship Id="rId10" Type="http://schemas.openxmlformats.org/officeDocument/2006/relationships/table" Target="../tables/table8.xml"/><Relationship Id="rId4" Type="http://schemas.openxmlformats.org/officeDocument/2006/relationships/ctrlProp" Target="../ctrlProps/ctrlProp11.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5.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9.xml"/><Relationship Id="rId11" Type="http://schemas.microsoft.com/office/2011/relationships/timeline" Target="../timelines/timeline3.xml"/><Relationship Id="rId5" Type="http://schemas.openxmlformats.org/officeDocument/2006/relationships/ctrlProp" Target="../ctrlProps/ctrlProp15.xml"/><Relationship Id="rId10" Type="http://schemas.microsoft.com/office/2007/relationships/slicer" Target="../slicers/slicer2.xml"/><Relationship Id="rId4" Type="http://schemas.openxmlformats.org/officeDocument/2006/relationships/ctrlProp" Target="../ctrlProps/ctrlProp14.xml"/><Relationship Id="rId9"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7.xml"/><Relationship Id="rId6" Type="http://schemas.microsoft.com/office/2011/relationships/timeline" Target="../timelines/timeline4.xml"/><Relationship Id="rId5" Type="http://schemas.openxmlformats.org/officeDocument/2006/relationships/table" Target="../tables/table16.xml"/><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11/relationships/timeline" Target="../timelines/timeline5.xml"/><Relationship Id="rId5" Type="http://schemas.openxmlformats.org/officeDocument/2006/relationships/table" Target="../tables/table19.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table" Target="../tables/table35.xml"/><Relationship Id="rId89" Type="http://schemas.openxmlformats.org/officeDocument/2006/relationships/table" Target="../tables/table40.xml"/><Relationship Id="rId16" Type="http://schemas.openxmlformats.org/officeDocument/2006/relationships/ctrlProp" Target="../ctrlProps/ctrlProp28.xml"/><Relationship Id="rId11" Type="http://schemas.openxmlformats.org/officeDocument/2006/relationships/ctrlProp" Target="../ctrlProps/ctrlProp23.xml"/><Relationship Id="rId32" Type="http://schemas.openxmlformats.org/officeDocument/2006/relationships/ctrlProp" Target="../ctrlProps/ctrlProp44.xml"/><Relationship Id="rId37" Type="http://schemas.openxmlformats.org/officeDocument/2006/relationships/ctrlProp" Target="../ctrlProps/ctrlProp49.xml"/><Relationship Id="rId53" Type="http://schemas.openxmlformats.org/officeDocument/2006/relationships/ctrlProp" Target="../ctrlProps/ctrlProp65.xml"/><Relationship Id="rId58" Type="http://schemas.openxmlformats.org/officeDocument/2006/relationships/ctrlProp" Target="../ctrlProps/ctrlProp70.xml"/><Relationship Id="rId74" Type="http://schemas.openxmlformats.org/officeDocument/2006/relationships/table" Target="../tables/table25.xml"/><Relationship Id="rId79" Type="http://schemas.openxmlformats.org/officeDocument/2006/relationships/table" Target="../tables/table30.xml"/><Relationship Id="rId102" Type="http://schemas.openxmlformats.org/officeDocument/2006/relationships/table" Target="../tables/table53.xml"/><Relationship Id="rId5" Type="http://schemas.openxmlformats.org/officeDocument/2006/relationships/ctrlProp" Target="../ctrlProps/ctrlProp17.xml"/><Relationship Id="rId90" Type="http://schemas.openxmlformats.org/officeDocument/2006/relationships/table" Target="../tables/table41.xml"/><Relationship Id="rId95" Type="http://schemas.openxmlformats.org/officeDocument/2006/relationships/table" Target="../tables/table46.xml"/><Relationship Id="rId22" Type="http://schemas.openxmlformats.org/officeDocument/2006/relationships/ctrlProp" Target="../ctrlProps/ctrlProp34.xml"/><Relationship Id="rId27" Type="http://schemas.openxmlformats.org/officeDocument/2006/relationships/ctrlProp" Target="../ctrlProps/ctrlProp39.xml"/><Relationship Id="rId43" Type="http://schemas.openxmlformats.org/officeDocument/2006/relationships/ctrlProp" Target="../ctrlProps/ctrlProp55.xml"/><Relationship Id="rId48" Type="http://schemas.openxmlformats.org/officeDocument/2006/relationships/ctrlProp" Target="../ctrlProps/ctrlProp60.xml"/><Relationship Id="rId64" Type="http://schemas.openxmlformats.org/officeDocument/2006/relationships/ctrlProp" Target="../ctrlProps/ctrlProp76.xml"/><Relationship Id="rId69" Type="http://schemas.openxmlformats.org/officeDocument/2006/relationships/table" Target="../tables/table20.xml"/><Relationship Id="rId80" Type="http://schemas.openxmlformats.org/officeDocument/2006/relationships/table" Target="../tables/table31.xml"/><Relationship Id="rId85" Type="http://schemas.openxmlformats.org/officeDocument/2006/relationships/table" Target="../tables/table36.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table" Target="../tables/table21.xml"/><Relationship Id="rId75" Type="http://schemas.openxmlformats.org/officeDocument/2006/relationships/table" Target="../tables/table26.xml"/><Relationship Id="rId83" Type="http://schemas.openxmlformats.org/officeDocument/2006/relationships/table" Target="../tables/table34.xml"/><Relationship Id="rId88" Type="http://schemas.openxmlformats.org/officeDocument/2006/relationships/table" Target="../tables/table39.xml"/><Relationship Id="rId91" Type="http://schemas.openxmlformats.org/officeDocument/2006/relationships/table" Target="../tables/table42.xml"/><Relationship Id="rId96" Type="http://schemas.openxmlformats.org/officeDocument/2006/relationships/table" Target="../tables/table4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table" Target="../tables/table24.xml"/><Relationship Id="rId78" Type="http://schemas.openxmlformats.org/officeDocument/2006/relationships/table" Target="../tables/table29.xml"/><Relationship Id="rId81" Type="http://schemas.openxmlformats.org/officeDocument/2006/relationships/table" Target="../tables/table32.xml"/><Relationship Id="rId86" Type="http://schemas.openxmlformats.org/officeDocument/2006/relationships/table" Target="../tables/table37.xml"/><Relationship Id="rId94" Type="http://schemas.openxmlformats.org/officeDocument/2006/relationships/table" Target="../tables/table45.xml"/><Relationship Id="rId99" Type="http://schemas.openxmlformats.org/officeDocument/2006/relationships/table" Target="../tables/table50.xml"/><Relationship Id="rId101" Type="http://schemas.openxmlformats.org/officeDocument/2006/relationships/table" Target="../tables/table52.xml"/><Relationship Id="rId4" Type="http://schemas.openxmlformats.org/officeDocument/2006/relationships/ctrlProp" Target="../ctrlProps/ctrlProp16.x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table" Target="../tables/table27.xml"/><Relationship Id="rId97" Type="http://schemas.openxmlformats.org/officeDocument/2006/relationships/table" Target="../tables/table48.xml"/><Relationship Id="rId7" Type="http://schemas.openxmlformats.org/officeDocument/2006/relationships/ctrlProp" Target="../ctrlProps/ctrlProp19.xml"/><Relationship Id="rId71" Type="http://schemas.openxmlformats.org/officeDocument/2006/relationships/table" Target="../tables/table22.xml"/><Relationship Id="rId92" Type="http://schemas.openxmlformats.org/officeDocument/2006/relationships/table" Target="../tables/table43.xml"/><Relationship Id="rId2" Type="http://schemas.openxmlformats.org/officeDocument/2006/relationships/drawing" Target="../drawings/drawing9.xml"/><Relationship Id="rId29" Type="http://schemas.openxmlformats.org/officeDocument/2006/relationships/ctrlProp" Target="../ctrlProps/ctrlProp41.xml"/><Relationship Id="rId24" Type="http://schemas.openxmlformats.org/officeDocument/2006/relationships/ctrlProp" Target="../ctrlProps/ctrlProp36.xml"/><Relationship Id="rId40" Type="http://schemas.openxmlformats.org/officeDocument/2006/relationships/ctrlProp" Target="../ctrlProps/ctrlProp52.xml"/><Relationship Id="rId45" Type="http://schemas.openxmlformats.org/officeDocument/2006/relationships/ctrlProp" Target="../ctrlProps/ctrlProp57.xml"/><Relationship Id="rId66" Type="http://schemas.openxmlformats.org/officeDocument/2006/relationships/ctrlProp" Target="../ctrlProps/ctrlProp78.xml"/><Relationship Id="rId87" Type="http://schemas.openxmlformats.org/officeDocument/2006/relationships/table" Target="../tables/table38.xml"/><Relationship Id="rId61" Type="http://schemas.openxmlformats.org/officeDocument/2006/relationships/ctrlProp" Target="../ctrlProps/ctrlProp73.xml"/><Relationship Id="rId82" Type="http://schemas.openxmlformats.org/officeDocument/2006/relationships/table" Target="../tables/table33.xml"/><Relationship Id="rId19" Type="http://schemas.openxmlformats.org/officeDocument/2006/relationships/ctrlProp" Target="../ctrlProps/ctrlProp31.xml"/><Relationship Id="rId14" Type="http://schemas.openxmlformats.org/officeDocument/2006/relationships/ctrlProp" Target="../ctrlProps/ctrlProp26.xml"/><Relationship Id="rId30" Type="http://schemas.openxmlformats.org/officeDocument/2006/relationships/ctrlProp" Target="../ctrlProps/ctrlProp42.xml"/><Relationship Id="rId35" Type="http://schemas.openxmlformats.org/officeDocument/2006/relationships/ctrlProp" Target="../ctrlProps/ctrlProp47.xml"/><Relationship Id="rId56" Type="http://schemas.openxmlformats.org/officeDocument/2006/relationships/ctrlProp" Target="../ctrlProps/ctrlProp68.xml"/><Relationship Id="rId77" Type="http://schemas.openxmlformats.org/officeDocument/2006/relationships/table" Target="../tables/table28.xml"/><Relationship Id="rId100" Type="http://schemas.openxmlformats.org/officeDocument/2006/relationships/table" Target="../tables/table51.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table" Target="../tables/table23.xml"/><Relationship Id="rId93" Type="http://schemas.openxmlformats.org/officeDocument/2006/relationships/table" Target="../tables/table44.xml"/><Relationship Id="rId98" Type="http://schemas.openxmlformats.org/officeDocument/2006/relationships/table" Target="../tables/table49.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table" Target="../tables/table55.xml"/><Relationship Id="rId3" Type="http://schemas.openxmlformats.org/officeDocument/2006/relationships/ctrlProp" Target="../ctrlProps/ctrlProp81.xml"/><Relationship Id="rId7" Type="http://schemas.openxmlformats.org/officeDocument/2006/relationships/ctrlProp" Target="../ctrlProps/ctrlProp85.xml"/><Relationship Id="rId12" Type="http://schemas.openxmlformats.org/officeDocument/2006/relationships/table" Target="../tables/table5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table" Target="../tables/table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18" Type="http://schemas.openxmlformats.org/officeDocument/2006/relationships/table" Target="../tables/table58.xml"/><Relationship Id="rId3" Type="http://schemas.openxmlformats.org/officeDocument/2006/relationships/vmlDrawing" Target="../drawings/vmlDrawing8.v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table" Target="../tables/table57.xml"/><Relationship Id="rId2" Type="http://schemas.openxmlformats.org/officeDocument/2006/relationships/drawing" Target="../drawings/drawing11.xml"/><Relationship Id="rId16" Type="http://schemas.openxmlformats.org/officeDocument/2006/relationships/ctrlProp" Target="../ctrlProps/ctrlProp102.xml"/><Relationship Id="rId1" Type="http://schemas.openxmlformats.org/officeDocument/2006/relationships/printerSettings" Target="../printerSettings/printerSettings8.bin"/><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5" Type="http://schemas.openxmlformats.org/officeDocument/2006/relationships/ctrlProp" Target="../ctrlProps/ctrlProp101.xml"/><Relationship Id="rId10" Type="http://schemas.openxmlformats.org/officeDocument/2006/relationships/ctrlProp" Target="../ctrlProps/ctrlProp96.xml"/><Relationship Id="rId19" Type="http://schemas.openxmlformats.org/officeDocument/2006/relationships/table" Target="../tables/table59.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table" Target="../tables/table63.xml"/><Relationship Id="rId3" Type="http://schemas.openxmlformats.org/officeDocument/2006/relationships/drawing" Target="../drawings/drawing12.x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table" Target="../tables/table62.xml"/><Relationship Id="rId2" Type="http://schemas.openxmlformats.org/officeDocument/2006/relationships/printerSettings" Target="../printerSettings/printerSettings9.bin"/><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ivotTable" Target="../pivotTables/pivotTable7.xml"/><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table" Target="../tables/table61.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table" Target="../tables/table60.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vmlDrawing" Target="../drawings/vmlDrawing9.v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0.vml"/><Relationship Id="rId7" Type="http://schemas.openxmlformats.org/officeDocument/2006/relationships/ctrlProp" Target="../ctrlProps/ctrlProp124.xml"/><Relationship Id="rId12" Type="http://schemas.openxmlformats.org/officeDocument/2006/relationships/ctrlProp" Target="../ctrlProps/ctrlProp129.xml"/><Relationship Id="rId17" Type="http://schemas.openxmlformats.org/officeDocument/2006/relationships/table" Target="../tables/table64.xml"/><Relationship Id="rId2" Type="http://schemas.openxmlformats.org/officeDocument/2006/relationships/drawing" Target="../drawings/drawing13.xml"/><Relationship Id="rId16" Type="http://schemas.openxmlformats.org/officeDocument/2006/relationships/ctrlProp" Target="../ctrlProps/ctrlProp133.xml"/><Relationship Id="rId1" Type="http://schemas.openxmlformats.org/officeDocument/2006/relationships/printerSettings" Target="../printerSettings/printerSettings10.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trlProp" Target="../ctrlProps/ctrlProp132.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vmlDrawing" Target="../drawings/vmlDrawing11.vml"/><Relationship Id="rId7" Type="http://schemas.openxmlformats.org/officeDocument/2006/relationships/ctrlProp" Target="../ctrlProps/ctrlProp137.xml"/><Relationship Id="rId12" Type="http://schemas.openxmlformats.org/officeDocument/2006/relationships/ctrlProp" Target="../ctrlProps/ctrlProp142.xml"/><Relationship Id="rId17" Type="http://schemas.openxmlformats.org/officeDocument/2006/relationships/table" Target="../tables/table65.xml"/><Relationship Id="rId2" Type="http://schemas.openxmlformats.org/officeDocument/2006/relationships/drawing" Target="../drawings/drawing14.xml"/><Relationship Id="rId16" Type="http://schemas.openxmlformats.org/officeDocument/2006/relationships/ctrlProp" Target="../ctrlProps/ctrlProp146.xml"/><Relationship Id="rId1" Type="http://schemas.openxmlformats.org/officeDocument/2006/relationships/printerSettings" Target="../printerSettings/printerSettings11.bin"/><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5" Type="http://schemas.openxmlformats.org/officeDocument/2006/relationships/ctrlProp" Target="../ctrlProps/ctrlProp14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 Id="rId14" Type="http://schemas.openxmlformats.org/officeDocument/2006/relationships/ctrlProp" Target="../ctrlProps/ctrlProp14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table" Target="../tables/table66.xml"/><Relationship Id="rId3" Type="http://schemas.openxmlformats.org/officeDocument/2006/relationships/vmlDrawing" Target="../drawings/vmlDrawing12.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5.xml"/><Relationship Id="rId16" Type="http://schemas.openxmlformats.org/officeDocument/2006/relationships/ctrlProp" Target="../ctrlProps/ctrlProp159.xml"/><Relationship Id="rId1" Type="http://schemas.openxmlformats.org/officeDocument/2006/relationships/pivotTable" Target="../pivotTables/pivotTable8.xml"/><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table" Target="../tables/table68.xml"/><Relationship Id="rId3" Type="http://schemas.openxmlformats.org/officeDocument/2006/relationships/pivotTable" Target="../pivotTables/pivotTable11.x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table" Target="../tables/table67.xml"/><Relationship Id="rId2" Type="http://schemas.openxmlformats.org/officeDocument/2006/relationships/pivotTable" Target="../pivotTables/pivotTable10.xml"/><Relationship Id="rId16" Type="http://schemas.openxmlformats.org/officeDocument/2006/relationships/ctrlProp" Target="../ctrlProps/ctrlProp170.xml"/><Relationship Id="rId20" Type="http://schemas.openxmlformats.org/officeDocument/2006/relationships/ctrlProp" Target="../ctrlProps/ctrlProp174.xml"/><Relationship Id="rId1" Type="http://schemas.openxmlformats.org/officeDocument/2006/relationships/pivotTable" Target="../pivotTables/pivotTable9.xml"/><Relationship Id="rId6" Type="http://schemas.openxmlformats.org/officeDocument/2006/relationships/vmlDrawing" Target="../drawings/vmlDrawing13.v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drawing" Target="../drawings/drawing16.xml"/><Relationship Id="rId15" Type="http://schemas.openxmlformats.org/officeDocument/2006/relationships/ctrlProp" Target="../ctrlProps/ctrlProp169.xml"/><Relationship Id="rId23" Type="http://schemas.openxmlformats.org/officeDocument/2006/relationships/ctrlProp" Target="../ctrlProps/ctrlProp177.xml"/><Relationship Id="rId10" Type="http://schemas.openxmlformats.org/officeDocument/2006/relationships/ctrlProp" Target="../ctrlProps/ctrlProp164.xml"/><Relationship Id="rId19" Type="http://schemas.openxmlformats.org/officeDocument/2006/relationships/ctrlProp" Target="../ctrlProps/ctrlProp173.xml"/><Relationship Id="rId4" Type="http://schemas.openxmlformats.org/officeDocument/2006/relationships/pivotTable" Target="../pivotTables/pivotTable12.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table" Target="../tables/table6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80.xml"/><Relationship Id="rId13" Type="http://schemas.microsoft.com/office/2011/relationships/timeline" Target="../timelines/timeline6.xml"/><Relationship Id="rId3" Type="http://schemas.openxmlformats.org/officeDocument/2006/relationships/pivotTable" Target="../pivotTables/pivotTable15.xml"/><Relationship Id="rId7" Type="http://schemas.openxmlformats.org/officeDocument/2006/relationships/ctrlProp" Target="../ctrlProps/ctrlProp179.xml"/><Relationship Id="rId12" Type="http://schemas.openxmlformats.org/officeDocument/2006/relationships/table" Target="../tables/table7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14.vml"/><Relationship Id="rId11" Type="http://schemas.openxmlformats.org/officeDocument/2006/relationships/ctrlProp" Target="../ctrlProps/ctrlProp183.xml"/><Relationship Id="rId5" Type="http://schemas.openxmlformats.org/officeDocument/2006/relationships/drawing" Target="../drawings/drawing17.xml"/><Relationship Id="rId10" Type="http://schemas.openxmlformats.org/officeDocument/2006/relationships/ctrlProp" Target="../ctrlProps/ctrlProp182.xml"/><Relationship Id="rId4" Type="http://schemas.openxmlformats.org/officeDocument/2006/relationships/pivotTable" Target="../pivotTables/pivotTable16.xml"/><Relationship Id="rId9" Type="http://schemas.openxmlformats.org/officeDocument/2006/relationships/ctrlProp" Target="../ctrlProps/ctrlProp18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table" Target="../tables/table71.xml"/><Relationship Id="rId3" Type="http://schemas.openxmlformats.org/officeDocument/2006/relationships/vmlDrawing" Target="../drawings/vmlDrawing15.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8.xml"/><Relationship Id="rId16" Type="http://schemas.openxmlformats.org/officeDocument/2006/relationships/ctrlProp" Target="../ctrlProps/ctrlProp196.xml"/><Relationship Id="rId1" Type="http://schemas.openxmlformats.org/officeDocument/2006/relationships/pivotTable" Target="../pivotTables/pivotTable17.xml"/><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table" Target="../tables/table72.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18" Type="http://schemas.openxmlformats.org/officeDocument/2006/relationships/ctrlProp" Target="../ctrlProps/ctrlProp208.xml"/><Relationship Id="rId3" Type="http://schemas.openxmlformats.org/officeDocument/2006/relationships/pivotTable" Target="../pivotTables/pivotTable20.xml"/><Relationship Id="rId21" Type="http://schemas.openxmlformats.org/officeDocument/2006/relationships/ctrlProp" Target="../ctrlProps/ctrlProp211.xml"/><Relationship Id="rId7" Type="http://schemas.openxmlformats.org/officeDocument/2006/relationships/vmlDrawing" Target="../drawings/vmlDrawing16.vml"/><Relationship Id="rId12" Type="http://schemas.openxmlformats.org/officeDocument/2006/relationships/ctrlProp" Target="../ctrlProps/ctrlProp202.xml"/><Relationship Id="rId17" Type="http://schemas.openxmlformats.org/officeDocument/2006/relationships/ctrlProp" Target="../ctrlProps/ctrlProp207.xml"/><Relationship Id="rId2" Type="http://schemas.openxmlformats.org/officeDocument/2006/relationships/pivotTable" Target="../pivotTables/pivotTable19.xml"/><Relationship Id="rId16" Type="http://schemas.openxmlformats.org/officeDocument/2006/relationships/ctrlProp" Target="../ctrlProps/ctrlProp206.xml"/><Relationship Id="rId20" Type="http://schemas.openxmlformats.org/officeDocument/2006/relationships/ctrlProp" Target="../ctrlProps/ctrlProp210.xml"/><Relationship Id="rId1" Type="http://schemas.openxmlformats.org/officeDocument/2006/relationships/pivotTable" Target="../pivotTables/pivotTable18.xml"/><Relationship Id="rId6" Type="http://schemas.openxmlformats.org/officeDocument/2006/relationships/drawing" Target="../drawings/drawing19.xml"/><Relationship Id="rId11" Type="http://schemas.openxmlformats.org/officeDocument/2006/relationships/ctrlProp" Target="../ctrlProps/ctrlProp201.xml"/><Relationship Id="rId5" Type="http://schemas.openxmlformats.org/officeDocument/2006/relationships/printerSettings" Target="../printerSettings/printerSettings12.bin"/><Relationship Id="rId15" Type="http://schemas.openxmlformats.org/officeDocument/2006/relationships/ctrlProp" Target="../ctrlProps/ctrlProp205.xml"/><Relationship Id="rId10" Type="http://schemas.openxmlformats.org/officeDocument/2006/relationships/ctrlProp" Target="../ctrlProps/ctrlProp200.xml"/><Relationship Id="rId19" Type="http://schemas.openxmlformats.org/officeDocument/2006/relationships/ctrlProp" Target="../ctrlProps/ctrlProp209.xml"/><Relationship Id="rId4" Type="http://schemas.openxmlformats.org/officeDocument/2006/relationships/pivotTable" Target="../pivotTables/pivotTable21.xml"/><Relationship Id="rId9" Type="http://schemas.openxmlformats.org/officeDocument/2006/relationships/ctrlProp" Target="../ctrlProps/ctrlProp199.xml"/><Relationship Id="rId14" Type="http://schemas.openxmlformats.org/officeDocument/2006/relationships/ctrlProp" Target="../ctrlProps/ctrlProp204.xml"/><Relationship Id="rId22" Type="http://schemas.openxmlformats.org/officeDocument/2006/relationships/table" Target="../tables/table7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table" Target="../tables/table74.xml"/><Relationship Id="rId3" Type="http://schemas.openxmlformats.org/officeDocument/2006/relationships/vmlDrawing" Target="../drawings/vmlDrawing17.v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 Type="http://schemas.openxmlformats.org/officeDocument/2006/relationships/drawing" Target="../drawings/drawing20.xml"/><Relationship Id="rId16" Type="http://schemas.openxmlformats.org/officeDocument/2006/relationships/ctrlProp" Target="../ctrlProps/ctrlProp224.xml"/><Relationship Id="rId1" Type="http://schemas.openxmlformats.org/officeDocument/2006/relationships/printerSettings" Target="../printerSettings/printerSettings13.bin"/><Relationship Id="rId6" Type="http://schemas.openxmlformats.org/officeDocument/2006/relationships/ctrlProp" Target="../ctrlProps/ctrlProp214.xml"/><Relationship Id="rId11" Type="http://schemas.openxmlformats.org/officeDocument/2006/relationships/ctrlProp" Target="../ctrlProps/ctrlProp219.xml"/><Relationship Id="rId5" Type="http://schemas.openxmlformats.org/officeDocument/2006/relationships/ctrlProp" Target="../ctrlProps/ctrlProp213.xml"/><Relationship Id="rId15" Type="http://schemas.openxmlformats.org/officeDocument/2006/relationships/ctrlProp" Target="../ctrlProps/ctrlProp223.xml"/><Relationship Id="rId10" Type="http://schemas.openxmlformats.org/officeDocument/2006/relationships/ctrlProp" Target="../ctrlProps/ctrlProp218.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18" Type="http://schemas.openxmlformats.org/officeDocument/2006/relationships/ctrlProp" Target="../ctrlProps/ctrlProp241.xml"/><Relationship Id="rId26" Type="http://schemas.openxmlformats.org/officeDocument/2006/relationships/table" Target="../tables/table78.xml"/><Relationship Id="rId3" Type="http://schemas.openxmlformats.org/officeDocument/2006/relationships/ctrlProp" Target="../ctrlProps/ctrlProp226.xml"/><Relationship Id="rId21" Type="http://schemas.openxmlformats.org/officeDocument/2006/relationships/ctrlProp" Target="../ctrlProps/ctrlProp244.x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5" Type="http://schemas.openxmlformats.org/officeDocument/2006/relationships/table" Target="../tables/table77.xml"/><Relationship Id="rId2" Type="http://schemas.openxmlformats.org/officeDocument/2006/relationships/vmlDrawing" Target="../drawings/vmlDrawing18.vml"/><Relationship Id="rId16" Type="http://schemas.openxmlformats.org/officeDocument/2006/relationships/ctrlProp" Target="../ctrlProps/ctrlProp239.xml"/><Relationship Id="rId20" Type="http://schemas.openxmlformats.org/officeDocument/2006/relationships/ctrlProp" Target="../ctrlProps/ctrlProp243.xml"/><Relationship Id="rId1" Type="http://schemas.openxmlformats.org/officeDocument/2006/relationships/drawing" Target="../drawings/drawing21.xml"/><Relationship Id="rId6" Type="http://schemas.openxmlformats.org/officeDocument/2006/relationships/ctrlProp" Target="../ctrlProps/ctrlProp229.xml"/><Relationship Id="rId11" Type="http://schemas.openxmlformats.org/officeDocument/2006/relationships/ctrlProp" Target="../ctrlProps/ctrlProp234.xml"/><Relationship Id="rId24" Type="http://schemas.openxmlformats.org/officeDocument/2006/relationships/table" Target="../tables/table76.xml"/><Relationship Id="rId5" Type="http://schemas.openxmlformats.org/officeDocument/2006/relationships/ctrlProp" Target="../ctrlProps/ctrlProp228.xml"/><Relationship Id="rId15" Type="http://schemas.openxmlformats.org/officeDocument/2006/relationships/ctrlProp" Target="../ctrlProps/ctrlProp238.xml"/><Relationship Id="rId23" Type="http://schemas.openxmlformats.org/officeDocument/2006/relationships/table" Target="../tables/table75.xml"/><Relationship Id="rId28" Type="http://schemas.openxmlformats.org/officeDocument/2006/relationships/table" Target="../tables/table80.xml"/><Relationship Id="rId10" Type="http://schemas.openxmlformats.org/officeDocument/2006/relationships/ctrlProp" Target="../ctrlProps/ctrlProp233.xml"/><Relationship Id="rId19" Type="http://schemas.openxmlformats.org/officeDocument/2006/relationships/ctrlProp" Target="../ctrlProps/ctrlProp242.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 Id="rId22" Type="http://schemas.openxmlformats.org/officeDocument/2006/relationships/ctrlProp" Target="../ctrlProps/ctrlProp245.xml"/><Relationship Id="rId27" Type="http://schemas.openxmlformats.org/officeDocument/2006/relationships/table" Target="../tables/table7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1.xml"/><Relationship Id="rId13" Type="http://schemas.openxmlformats.org/officeDocument/2006/relationships/ctrlProp" Target="../ctrlProps/ctrlProp256.xml"/><Relationship Id="rId18" Type="http://schemas.openxmlformats.org/officeDocument/2006/relationships/ctrlProp" Target="../ctrlProps/ctrlProp261.xml"/><Relationship Id="rId3" Type="http://schemas.openxmlformats.org/officeDocument/2006/relationships/ctrlProp" Target="../ctrlProps/ctrlProp246.xml"/><Relationship Id="rId21" Type="http://schemas.openxmlformats.org/officeDocument/2006/relationships/table" Target="../tables/table81.xml"/><Relationship Id="rId7" Type="http://schemas.openxmlformats.org/officeDocument/2006/relationships/ctrlProp" Target="../ctrlProps/ctrlProp250.xml"/><Relationship Id="rId12" Type="http://schemas.openxmlformats.org/officeDocument/2006/relationships/ctrlProp" Target="../ctrlProps/ctrlProp255.xml"/><Relationship Id="rId17" Type="http://schemas.openxmlformats.org/officeDocument/2006/relationships/ctrlProp" Target="../ctrlProps/ctrlProp260.xml"/><Relationship Id="rId2" Type="http://schemas.openxmlformats.org/officeDocument/2006/relationships/vmlDrawing" Target="../drawings/vmlDrawing19.vml"/><Relationship Id="rId16" Type="http://schemas.openxmlformats.org/officeDocument/2006/relationships/ctrlProp" Target="../ctrlProps/ctrlProp259.xml"/><Relationship Id="rId20" Type="http://schemas.openxmlformats.org/officeDocument/2006/relationships/ctrlProp" Target="../ctrlProps/ctrlProp263.xml"/><Relationship Id="rId1" Type="http://schemas.openxmlformats.org/officeDocument/2006/relationships/drawing" Target="../drawings/drawing22.xml"/><Relationship Id="rId6" Type="http://schemas.openxmlformats.org/officeDocument/2006/relationships/ctrlProp" Target="../ctrlProps/ctrlProp249.xml"/><Relationship Id="rId11" Type="http://schemas.openxmlformats.org/officeDocument/2006/relationships/ctrlProp" Target="../ctrlProps/ctrlProp254.xml"/><Relationship Id="rId5" Type="http://schemas.openxmlformats.org/officeDocument/2006/relationships/ctrlProp" Target="../ctrlProps/ctrlProp248.xml"/><Relationship Id="rId15" Type="http://schemas.openxmlformats.org/officeDocument/2006/relationships/ctrlProp" Target="../ctrlProps/ctrlProp258.xml"/><Relationship Id="rId10" Type="http://schemas.openxmlformats.org/officeDocument/2006/relationships/ctrlProp" Target="../ctrlProps/ctrlProp253.xml"/><Relationship Id="rId19" Type="http://schemas.openxmlformats.org/officeDocument/2006/relationships/ctrlProp" Target="../ctrlProps/ctrlProp262.xml"/><Relationship Id="rId4" Type="http://schemas.openxmlformats.org/officeDocument/2006/relationships/ctrlProp" Target="../ctrlProps/ctrlProp247.xml"/><Relationship Id="rId9" Type="http://schemas.openxmlformats.org/officeDocument/2006/relationships/ctrlProp" Target="../ctrlProps/ctrlProp252.xml"/><Relationship Id="rId14" Type="http://schemas.openxmlformats.org/officeDocument/2006/relationships/ctrlProp" Target="../ctrlProps/ctrlProp257.xml"/><Relationship Id="rId22" Type="http://schemas.openxmlformats.org/officeDocument/2006/relationships/table" Target="../tables/table8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table" Target="../tables/table83.xml"/><Relationship Id="rId3" Type="http://schemas.openxmlformats.org/officeDocument/2006/relationships/vmlDrawing" Target="../drawings/vmlDrawing20.v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 Type="http://schemas.openxmlformats.org/officeDocument/2006/relationships/drawing" Target="../drawings/drawing23.xml"/><Relationship Id="rId16" Type="http://schemas.openxmlformats.org/officeDocument/2006/relationships/ctrlProp" Target="../ctrlProps/ctrlProp276.xml"/><Relationship Id="rId1" Type="http://schemas.openxmlformats.org/officeDocument/2006/relationships/pivotTable" Target="../pivotTables/pivotTable22.xml"/><Relationship Id="rId6" Type="http://schemas.openxmlformats.org/officeDocument/2006/relationships/ctrlProp" Target="../ctrlProps/ctrlProp266.xml"/><Relationship Id="rId11" Type="http://schemas.openxmlformats.org/officeDocument/2006/relationships/ctrlProp" Target="../ctrlProps/ctrlProp271.xml"/><Relationship Id="rId5" Type="http://schemas.openxmlformats.org/officeDocument/2006/relationships/ctrlProp" Target="../ctrlProps/ctrlProp265.xml"/><Relationship Id="rId15" Type="http://schemas.openxmlformats.org/officeDocument/2006/relationships/ctrlProp" Target="../ctrlProps/ctrlProp275.xml"/><Relationship Id="rId10" Type="http://schemas.openxmlformats.org/officeDocument/2006/relationships/ctrlProp" Target="../ctrlProps/ctrlProp270.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82.xml"/><Relationship Id="rId13" Type="http://schemas.openxmlformats.org/officeDocument/2006/relationships/ctrlProp" Target="../ctrlProps/ctrlProp287.xml"/><Relationship Id="rId18" Type="http://schemas.openxmlformats.org/officeDocument/2006/relationships/table" Target="../tables/table85.xml"/><Relationship Id="rId3" Type="http://schemas.openxmlformats.org/officeDocument/2006/relationships/vmlDrawing" Target="../drawings/vmlDrawing21.vml"/><Relationship Id="rId7" Type="http://schemas.openxmlformats.org/officeDocument/2006/relationships/ctrlProp" Target="../ctrlProps/ctrlProp281.xml"/><Relationship Id="rId12" Type="http://schemas.openxmlformats.org/officeDocument/2006/relationships/ctrlProp" Target="../ctrlProps/ctrlProp286.xml"/><Relationship Id="rId17" Type="http://schemas.openxmlformats.org/officeDocument/2006/relationships/table" Target="../tables/table84.xml"/><Relationship Id="rId2" Type="http://schemas.openxmlformats.org/officeDocument/2006/relationships/drawing" Target="../drawings/drawing24.xml"/><Relationship Id="rId16" Type="http://schemas.openxmlformats.org/officeDocument/2006/relationships/ctrlProp" Target="../ctrlProps/ctrlProp290.xml"/><Relationship Id="rId1" Type="http://schemas.openxmlformats.org/officeDocument/2006/relationships/printerSettings" Target="../printerSettings/printerSettings14.bin"/><Relationship Id="rId6" Type="http://schemas.openxmlformats.org/officeDocument/2006/relationships/ctrlProp" Target="../ctrlProps/ctrlProp280.xml"/><Relationship Id="rId11" Type="http://schemas.openxmlformats.org/officeDocument/2006/relationships/ctrlProp" Target="../ctrlProps/ctrlProp285.xml"/><Relationship Id="rId5" Type="http://schemas.openxmlformats.org/officeDocument/2006/relationships/ctrlProp" Target="../ctrlProps/ctrlProp279.xml"/><Relationship Id="rId15" Type="http://schemas.openxmlformats.org/officeDocument/2006/relationships/ctrlProp" Target="../ctrlProps/ctrlProp289.xml"/><Relationship Id="rId10" Type="http://schemas.openxmlformats.org/officeDocument/2006/relationships/ctrlProp" Target="../ctrlProps/ctrlProp284.xml"/><Relationship Id="rId4" Type="http://schemas.openxmlformats.org/officeDocument/2006/relationships/ctrlProp" Target="../ctrlProps/ctrlProp278.xml"/><Relationship Id="rId9" Type="http://schemas.openxmlformats.org/officeDocument/2006/relationships/ctrlProp" Target="../ctrlProps/ctrlProp283.xml"/><Relationship Id="rId14" Type="http://schemas.openxmlformats.org/officeDocument/2006/relationships/ctrlProp" Target="../ctrlProps/ctrlProp288.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18" Type="http://schemas.openxmlformats.org/officeDocument/2006/relationships/ctrlProp" Target="../ctrlProps/ctrlProp304.xml"/><Relationship Id="rId3" Type="http://schemas.openxmlformats.org/officeDocument/2006/relationships/drawing" Target="../drawings/drawing25.xml"/><Relationship Id="rId7" Type="http://schemas.openxmlformats.org/officeDocument/2006/relationships/ctrlProp" Target="../ctrlProps/ctrlProp293.xml"/><Relationship Id="rId12" Type="http://schemas.openxmlformats.org/officeDocument/2006/relationships/ctrlProp" Target="../ctrlProps/ctrlProp298.xml"/><Relationship Id="rId17" Type="http://schemas.openxmlformats.org/officeDocument/2006/relationships/ctrlProp" Target="../ctrlProps/ctrlProp303.xml"/><Relationship Id="rId2" Type="http://schemas.openxmlformats.org/officeDocument/2006/relationships/pivotTable" Target="../pivotTables/pivotTable24.xml"/><Relationship Id="rId16" Type="http://schemas.openxmlformats.org/officeDocument/2006/relationships/ctrlProp" Target="../ctrlProps/ctrlProp302.xml"/><Relationship Id="rId1" Type="http://schemas.openxmlformats.org/officeDocument/2006/relationships/pivotTable" Target="../pivotTables/pivotTable23.xml"/><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trlProp" Target="../ctrlProps/ctrlProp301.xml"/><Relationship Id="rId10" Type="http://schemas.openxmlformats.org/officeDocument/2006/relationships/ctrlProp" Target="../ctrlProps/ctrlProp296.xml"/><Relationship Id="rId19" Type="http://schemas.openxmlformats.org/officeDocument/2006/relationships/table" Target="../tables/table86.xml"/><Relationship Id="rId4" Type="http://schemas.openxmlformats.org/officeDocument/2006/relationships/vmlDrawing" Target="../drawings/vmlDrawing22.v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3" Type="http://schemas.openxmlformats.org/officeDocument/2006/relationships/ctrlProp" Target="../ctrlProps/ctrlProp305.xml"/><Relationship Id="rId7" Type="http://schemas.openxmlformats.org/officeDocument/2006/relationships/ctrlProp" Target="../ctrlProps/ctrlProp309.xml"/><Relationship Id="rId12" Type="http://schemas.openxmlformats.org/officeDocument/2006/relationships/ctrlProp" Target="../ctrlProps/ctrlProp314.xml"/><Relationship Id="rId2" Type="http://schemas.openxmlformats.org/officeDocument/2006/relationships/vmlDrawing" Target="../drawings/vmlDrawing23.vml"/><Relationship Id="rId16" Type="http://schemas.openxmlformats.org/officeDocument/2006/relationships/table" Target="../tables/table87.xml"/><Relationship Id="rId1" Type="http://schemas.openxmlformats.org/officeDocument/2006/relationships/drawing" Target="../drawings/drawing26.xml"/><Relationship Id="rId6" Type="http://schemas.openxmlformats.org/officeDocument/2006/relationships/ctrlProp" Target="../ctrlProps/ctrlProp308.xml"/><Relationship Id="rId11" Type="http://schemas.openxmlformats.org/officeDocument/2006/relationships/ctrlProp" Target="../ctrlProps/ctrlProp313.xml"/><Relationship Id="rId5" Type="http://schemas.openxmlformats.org/officeDocument/2006/relationships/ctrlProp" Target="../ctrlProps/ctrlProp307.xml"/><Relationship Id="rId15" Type="http://schemas.openxmlformats.org/officeDocument/2006/relationships/ctrlProp" Target="../ctrlProps/ctrlProp317.xml"/><Relationship Id="rId10" Type="http://schemas.openxmlformats.org/officeDocument/2006/relationships/ctrlProp" Target="../ctrlProps/ctrlProp312.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22.xml"/><Relationship Id="rId13" Type="http://schemas.openxmlformats.org/officeDocument/2006/relationships/ctrlProp" Target="../ctrlProps/ctrlProp327.xml"/><Relationship Id="rId18" Type="http://schemas.openxmlformats.org/officeDocument/2006/relationships/table" Target="../tables/table88.xml"/><Relationship Id="rId3" Type="http://schemas.openxmlformats.org/officeDocument/2006/relationships/vmlDrawing" Target="../drawings/vmlDrawing24.vml"/><Relationship Id="rId7" Type="http://schemas.openxmlformats.org/officeDocument/2006/relationships/ctrlProp" Target="../ctrlProps/ctrlProp321.xml"/><Relationship Id="rId12" Type="http://schemas.openxmlformats.org/officeDocument/2006/relationships/ctrlProp" Target="../ctrlProps/ctrlProp326.xml"/><Relationship Id="rId17" Type="http://schemas.openxmlformats.org/officeDocument/2006/relationships/ctrlProp" Target="../ctrlProps/ctrlProp331.xml"/><Relationship Id="rId2" Type="http://schemas.openxmlformats.org/officeDocument/2006/relationships/drawing" Target="../drawings/drawing27.xml"/><Relationship Id="rId16" Type="http://schemas.openxmlformats.org/officeDocument/2006/relationships/ctrlProp" Target="../ctrlProps/ctrlProp330.xml"/><Relationship Id="rId1" Type="http://schemas.openxmlformats.org/officeDocument/2006/relationships/printerSettings" Target="../printerSettings/printerSettings15.bin"/><Relationship Id="rId6" Type="http://schemas.openxmlformats.org/officeDocument/2006/relationships/ctrlProp" Target="../ctrlProps/ctrlProp320.xml"/><Relationship Id="rId11" Type="http://schemas.openxmlformats.org/officeDocument/2006/relationships/ctrlProp" Target="../ctrlProps/ctrlProp325.xml"/><Relationship Id="rId5" Type="http://schemas.openxmlformats.org/officeDocument/2006/relationships/ctrlProp" Target="../ctrlProps/ctrlProp319.xml"/><Relationship Id="rId15" Type="http://schemas.openxmlformats.org/officeDocument/2006/relationships/ctrlProp" Target="../ctrlProps/ctrlProp329.xml"/><Relationship Id="rId10" Type="http://schemas.openxmlformats.org/officeDocument/2006/relationships/ctrlProp" Target="../ctrlProps/ctrlProp324.xml"/><Relationship Id="rId4" Type="http://schemas.openxmlformats.org/officeDocument/2006/relationships/ctrlProp" Target="../ctrlProps/ctrlProp318.xml"/><Relationship Id="rId9" Type="http://schemas.openxmlformats.org/officeDocument/2006/relationships/ctrlProp" Target="../ctrlProps/ctrlProp323.xml"/><Relationship Id="rId14" Type="http://schemas.openxmlformats.org/officeDocument/2006/relationships/ctrlProp" Target="../ctrlProps/ctrlProp32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table" Target="../tables/table89.xml"/><Relationship Id="rId3" Type="http://schemas.openxmlformats.org/officeDocument/2006/relationships/vmlDrawing" Target="../drawings/vmlDrawing25.v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 Type="http://schemas.openxmlformats.org/officeDocument/2006/relationships/drawing" Target="../drawings/drawing28.xml"/><Relationship Id="rId16" Type="http://schemas.openxmlformats.org/officeDocument/2006/relationships/ctrlProp" Target="../ctrlProps/ctrlProp344.xml"/><Relationship Id="rId1" Type="http://schemas.openxmlformats.org/officeDocument/2006/relationships/printerSettings" Target="../printerSettings/printerSettings16.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5" Type="http://schemas.openxmlformats.org/officeDocument/2006/relationships/ctrlProp" Target="../ctrlProps/ctrlProp343.xml"/><Relationship Id="rId10" Type="http://schemas.openxmlformats.org/officeDocument/2006/relationships/ctrlProp" Target="../ctrlProps/ctrlProp338.xml"/><Relationship Id="rId19" Type="http://schemas.openxmlformats.org/officeDocument/2006/relationships/table" Target="../tables/table90.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50.xml"/><Relationship Id="rId13" Type="http://schemas.openxmlformats.org/officeDocument/2006/relationships/ctrlProp" Target="../ctrlProps/ctrlProp355.xml"/><Relationship Id="rId18" Type="http://schemas.openxmlformats.org/officeDocument/2006/relationships/table" Target="../tables/table91.xml"/><Relationship Id="rId3" Type="http://schemas.openxmlformats.org/officeDocument/2006/relationships/vmlDrawing" Target="../drawings/vmlDrawing26.vml"/><Relationship Id="rId7" Type="http://schemas.openxmlformats.org/officeDocument/2006/relationships/ctrlProp" Target="../ctrlProps/ctrlProp349.xml"/><Relationship Id="rId12" Type="http://schemas.openxmlformats.org/officeDocument/2006/relationships/ctrlProp" Target="../ctrlProps/ctrlProp354.xml"/><Relationship Id="rId17" Type="http://schemas.openxmlformats.org/officeDocument/2006/relationships/ctrlProp" Target="../ctrlProps/ctrlProp359.xml"/><Relationship Id="rId2" Type="http://schemas.openxmlformats.org/officeDocument/2006/relationships/drawing" Target="../drawings/drawing29.xml"/><Relationship Id="rId16" Type="http://schemas.openxmlformats.org/officeDocument/2006/relationships/ctrlProp" Target="../ctrlProps/ctrlProp358.xml"/><Relationship Id="rId1" Type="http://schemas.openxmlformats.org/officeDocument/2006/relationships/printerSettings" Target="../printerSettings/printerSettings17.bin"/><Relationship Id="rId6" Type="http://schemas.openxmlformats.org/officeDocument/2006/relationships/ctrlProp" Target="../ctrlProps/ctrlProp348.xml"/><Relationship Id="rId11" Type="http://schemas.openxmlformats.org/officeDocument/2006/relationships/ctrlProp" Target="../ctrlProps/ctrlProp353.xml"/><Relationship Id="rId5" Type="http://schemas.openxmlformats.org/officeDocument/2006/relationships/ctrlProp" Target="../ctrlProps/ctrlProp347.xml"/><Relationship Id="rId15" Type="http://schemas.openxmlformats.org/officeDocument/2006/relationships/ctrlProp" Target="../ctrlProps/ctrlProp357.xml"/><Relationship Id="rId10" Type="http://schemas.openxmlformats.org/officeDocument/2006/relationships/ctrlProp" Target="../ctrlProps/ctrlProp352.xml"/><Relationship Id="rId19" Type="http://schemas.openxmlformats.org/officeDocument/2006/relationships/table" Target="../tables/table92.xml"/><Relationship Id="rId4" Type="http://schemas.openxmlformats.org/officeDocument/2006/relationships/ctrlProp" Target="../ctrlProps/ctrlProp346.xml"/><Relationship Id="rId9" Type="http://schemas.openxmlformats.org/officeDocument/2006/relationships/ctrlProp" Target="../ctrlProps/ctrlProp351.xml"/><Relationship Id="rId14" Type="http://schemas.openxmlformats.org/officeDocument/2006/relationships/ctrlProp" Target="../ctrlProps/ctrlProp35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table" Target="../tables/table93.xml"/><Relationship Id="rId3" Type="http://schemas.openxmlformats.org/officeDocument/2006/relationships/vmlDrawing" Target="../drawings/vmlDrawing27.v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 Type="http://schemas.openxmlformats.org/officeDocument/2006/relationships/drawing" Target="../drawings/drawing30.xml"/><Relationship Id="rId16" Type="http://schemas.openxmlformats.org/officeDocument/2006/relationships/ctrlProp" Target="../ctrlProps/ctrlProp372.xml"/><Relationship Id="rId1" Type="http://schemas.openxmlformats.org/officeDocument/2006/relationships/printerSettings" Target="../printerSettings/printerSettings18.bin"/><Relationship Id="rId6" Type="http://schemas.openxmlformats.org/officeDocument/2006/relationships/ctrlProp" Target="../ctrlProps/ctrlProp362.xml"/><Relationship Id="rId11" Type="http://schemas.openxmlformats.org/officeDocument/2006/relationships/ctrlProp" Target="../ctrlProps/ctrlProp367.xml"/><Relationship Id="rId5" Type="http://schemas.openxmlformats.org/officeDocument/2006/relationships/ctrlProp" Target="../ctrlProps/ctrlProp361.xml"/><Relationship Id="rId15" Type="http://schemas.openxmlformats.org/officeDocument/2006/relationships/ctrlProp" Target="../ctrlProps/ctrlProp371.xml"/><Relationship Id="rId10" Type="http://schemas.openxmlformats.org/officeDocument/2006/relationships/ctrlProp" Target="../ctrlProps/ctrlProp366.xml"/><Relationship Id="rId19" Type="http://schemas.openxmlformats.org/officeDocument/2006/relationships/table" Target="../tables/table94.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table" Target="../tables/table95.xml"/><Relationship Id="rId3" Type="http://schemas.openxmlformats.org/officeDocument/2006/relationships/vmlDrawing" Target="../drawings/vmlDrawing28.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31.xml"/><Relationship Id="rId16" Type="http://schemas.openxmlformats.org/officeDocument/2006/relationships/ctrlProp" Target="../ctrlProps/ctrlProp386.xml"/><Relationship Id="rId1" Type="http://schemas.openxmlformats.org/officeDocument/2006/relationships/printerSettings" Target="../printerSettings/printerSettings19.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92.xml"/><Relationship Id="rId13" Type="http://schemas.openxmlformats.org/officeDocument/2006/relationships/ctrlProp" Target="../ctrlProps/ctrlProp397.xml"/><Relationship Id="rId18" Type="http://schemas.openxmlformats.org/officeDocument/2006/relationships/table" Target="../tables/table96.xml"/><Relationship Id="rId3" Type="http://schemas.openxmlformats.org/officeDocument/2006/relationships/vmlDrawing" Target="../drawings/vmlDrawing29.vml"/><Relationship Id="rId7" Type="http://schemas.openxmlformats.org/officeDocument/2006/relationships/ctrlProp" Target="../ctrlProps/ctrlProp391.xml"/><Relationship Id="rId12" Type="http://schemas.openxmlformats.org/officeDocument/2006/relationships/ctrlProp" Target="../ctrlProps/ctrlProp396.xml"/><Relationship Id="rId17" Type="http://schemas.openxmlformats.org/officeDocument/2006/relationships/ctrlProp" Target="../ctrlProps/ctrlProp401.xml"/><Relationship Id="rId2" Type="http://schemas.openxmlformats.org/officeDocument/2006/relationships/drawing" Target="../drawings/drawing32.xml"/><Relationship Id="rId16" Type="http://schemas.openxmlformats.org/officeDocument/2006/relationships/ctrlProp" Target="../ctrlProps/ctrlProp400.xml"/><Relationship Id="rId1" Type="http://schemas.openxmlformats.org/officeDocument/2006/relationships/printerSettings" Target="../printerSettings/printerSettings20.bin"/><Relationship Id="rId6" Type="http://schemas.openxmlformats.org/officeDocument/2006/relationships/ctrlProp" Target="../ctrlProps/ctrlProp390.xml"/><Relationship Id="rId11" Type="http://schemas.openxmlformats.org/officeDocument/2006/relationships/ctrlProp" Target="../ctrlProps/ctrlProp395.xml"/><Relationship Id="rId5" Type="http://schemas.openxmlformats.org/officeDocument/2006/relationships/ctrlProp" Target="../ctrlProps/ctrlProp389.xml"/><Relationship Id="rId15" Type="http://schemas.openxmlformats.org/officeDocument/2006/relationships/ctrlProp" Target="../ctrlProps/ctrlProp399.xml"/><Relationship Id="rId10" Type="http://schemas.openxmlformats.org/officeDocument/2006/relationships/ctrlProp" Target="../ctrlProps/ctrlProp394.xml"/><Relationship Id="rId19" Type="http://schemas.openxmlformats.org/officeDocument/2006/relationships/table" Target="../tables/table97.xml"/><Relationship Id="rId4" Type="http://schemas.openxmlformats.org/officeDocument/2006/relationships/ctrlProp" Target="../ctrlProps/ctrlProp388.xml"/><Relationship Id="rId9" Type="http://schemas.openxmlformats.org/officeDocument/2006/relationships/ctrlProp" Target="../ctrlProps/ctrlProp393.xml"/><Relationship Id="rId1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06.xml"/><Relationship Id="rId13" Type="http://schemas.openxmlformats.org/officeDocument/2006/relationships/ctrlProp" Target="../ctrlProps/ctrlProp411.xml"/><Relationship Id="rId18" Type="http://schemas.openxmlformats.org/officeDocument/2006/relationships/table" Target="../tables/table98.xml"/><Relationship Id="rId3" Type="http://schemas.openxmlformats.org/officeDocument/2006/relationships/vmlDrawing" Target="../drawings/vmlDrawing30.vml"/><Relationship Id="rId7" Type="http://schemas.openxmlformats.org/officeDocument/2006/relationships/ctrlProp" Target="../ctrlProps/ctrlProp405.xml"/><Relationship Id="rId12" Type="http://schemas.openxmlformats.org/officeDocument/2006/relationships/ctrlProp" Target="../ctrlProps/ctrlProp410.xml"/><Relationship Id="rId17" Type="http://schemas.openxmlformats.org/officeDocument/2006/relationships/ctrlProp" Target="../ctrlProps/ctrlProp415.xml"/><Relationship Id="rId2" Type="http://schemas.openxmlformats.org/officeDocument/2006/relationships/drawing" Target="../drawings/drawing33.xml"/><Relationship Id="rId16" Type="http://schemas.openxmlformats.org/officeDocument/2006/relationships/ctrlProp" Target="../ctrlProps/ctrlProp414.xml"/><Relationship Id="rId1" Type="http://schemas.openxmlformats.org/officeDocument/2006/relationships/printerSettings" Target="../printerSettings/printerSettings21.bin"/><Relationship Id="rId6" Type="http://schemas.openxmlformats.org/officeDocument/2006/relationships/ctrlProp" Target="../ctrlProps/ctrlProp404.xml"/><Relationship Id="rId11" Type="http://schemas.openxmlformats.org/officeDocument/2006/relationships/ctrlProp" Target="../ctrlProps/ctrlProp409.xml"/><Relationship Id="rId5" Type="http://schemas.openxmlformats.org/officeDocument/2006/relationships/ctrlProp" Target="../ctrlProps/ctrlProp403.xml"/><Relationship Id="rId15" Type="http://schemas.openxmlformats.org/officeDocument/2006/relationships/ctrlProp" Target="../ctrlProps/ctrlProp413.xml"/><Relationship Id="rId10" Type="http://schemas.openxmlformats.org/officeDocument/2006/relationships/ctrlProp" Target="../ctrlProps/ctrlProp408.xml"/><Relationship Id="rId19" Type="http://schemas.openxmlformats.org/officeDocument/2006/relationships/table" Target="../tables/table99.xml"/><Relationship Id="rId4" Type="http://schemas.openxmlformats.org/officeDocument/2006/relationships/ctrlProp" Target="../ctrlProps/ctrlProp402.xml"/><Relationship Id="rId9" Type="http://schemas.openxmlformats.org/officeDocument/2006/relationships/ctrlProp" Target="../ctrlProps/ctrlProp407.xml"/><Relationship Id="rId14" Type="http://schemas.openxmlformats.org/officeDocument/2006/relationships/ctrlProp" Target="../ctrlProps/ctrlProp412.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421.xml"/><Relationship Id="rId13" Type="http://schemas.openxmlformats.org/officeDocument/2006/relationships/ctrlProp" Target="../ctrlProps/ctrlProp426.xml"/><Relationship Id="rId3" Type="http://schemas.openxmlformats.org/officeDocument/2006/relationships/ctrlProp" Target="../ctrlProps/ctrlProp416.xml"/><Relationship Id="rId7" Type="http://schemas.openxmlformats.org/officeDocument/2006/relationships/ctrlProp" Target="../ctrlProps/ctrlProp420.xml"/><Relationship Id="rId12" Type="http://schemas.openxmlformats.org/officeDocument/2006/relationships/ctrlProp" Target="../ctrlProps/ctrlProp425.xml"/><Relationship Id="rId2" Type="http://schemas.openxmlformats.org/officeDocument/2006/relationships/vmlDrawing" Target="../drawings/vmlDrawing31.vml"/><Relationship Id="rId16" Type="http://schemas.openxmlformats.org/officeDocument/2006/relationships/table" Target="../tables/table100.xml"/><Relationship Id="rId1" Type="http://schemas.openxmlformats.org/officeDocument/2006/relationships/drawing" Target="../drawings/drawing34.xml"/><Relationship Id="rId6" Type="http://schemas.openxmlformats.org/officeDocument/2006/relationships/ctrlProp" Target="../ctrlProps/ctrlProp419.xml"/><Relationship Id="rId11" Type="http://schemas.openxmlformats.org/officeDocument/2006/relationships/ctrlProp" Target="../ctrlProps/ctrlProp424.xml"/><Relationship Id="rId5" Type="http://schemas.openxmlformats.org/officeDocument/2006/relationships/ctrlProp" Target="../ctrlProps/ctrlProp418.xml"/><Relationship Id="rId15" Type="http://schemas.openxmlformats.org/officeDocument/2006/relationships/ctrlProp" Target="../ctrlProps/ctrlProp428.xml"/><Relationship Id="rId10" Type="http://schemas.openxmlformats.org/officeDocument/2006/relationships/ctrlProp" Target="../ctrlProps/ctrlProp423.xml"/><Relationship Id="rId4" Type="http://schemas.openxmlformats.org/officeDocument/2006/relationships/ctrlProp" Target="../ctrlProps/ctrlProp417.xml"/><Relationship Id="rId9" Type="http://schemas.openxmlformats.org/officeDocument/2006/relationships/ctrlProp" Target="../ctrlProps/ctrlProp422.xml"/><Relationship Id="rId14" Type="http://schemas.openxmlformats.org/officeDocument/2006/relationships/ctrlProp" Target="../ctrlProps/ctrlProp42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33.xml"/><Relationship Id="rId13" Type="http://schemas.openxmlformats.org/officeDocument/2006/relationships/ctrlProp" Target="../ctrlProps/ctrlProp438.xml"/><Relationship Id="rId3" Type="http://schemas.openxmlformats.org/officeDocument/2006/relationships/vmlDrawing" Target="../drawings/vmlDrawing32.vml"/><Relationship Id="rId7" Type="http://schemas.openxmlformats.org/officeDocument/2006/relationships/ctrlProp" Target="../ctrlProps/ctrlProp432.xml"/><Relationship Id="rId12" Type="http://schemas.openxmlformats.org/officeDocument/2006/relationships/ctrlProp" Target="../ctrlProps/ctrlProp437.xml"/><Relationship Id="rId17" Type="http://schemas.openxmlformats.org/officeDocument/2006/relationships/table" Target="../tables/table101.xml"/><Relationship Id="rId2" Type="http://schemas.openxmlformats.org/officeDocument/2006/relationships/drawing" Target="../drawings/drawing35.xml"/><Relationship Id="rId16" Type="http://schemas.openxmlformats.org/officeDocument/2006/relationships/ctrlProp" Target="../ctrlProps/ctrlProp441.xml"/><Relationship Id="rId1" Type="http://schemas.openxmlformats.org/officeDocument/2006/relationships/printerSettings" Target="../printerSettings/printerSettings22.bin"/><Relationship Id="rId6" Type="http://schemas.openxmlformats.org/officeDocument/2006/relationships/ctrlProp" Target="../ctrlProps/ctrlProp431.xml"/><Relationship Id="rId11" Type="http://schemas.openxmlformats.org/officeDocument/2006/relationships/ctrlProp" Target="../ctrlProps/ctrlProp436.xml"/><Relationship Id="rId5" Type="http://schemas.openxmlformats.org/officeDocument/2006/relationships/ctrlProp" Target="../ctrlProps/ctrlProp430.xml"/><Relationship Id="rId15" Type="http://schemas.openxmlformats.org/officeDocument/2006/relationships/ctrlProp" Target="../ctrlProps/ctrlProp440.xml"/><Relationship Id="rId10" Type="http://schemas.openxmlformats.org/officeDocument/2006/relationships/ctrlProp" Target="../ctrlProps/ctrlProp435.xml"/><Relationship Id="rId4" Type="http://schemas.openxmlformats.org/officeDocument/2006/relationships/ctrlProp" Target="../ctrlProps/ctrlProp429.xml"/><Relationship Id="rId9" Type="http://schemas.openxmlformats.org/officeDocument/2006/relationships/ctrlProp" Target="../ctrlProps/ctrlProp434.xml"/><Relationship Id="rId14" Type="http://schemas.openxmlformats.org/officeDocument/2006/relationships/ctrlProp" Target="../ctrlProps/ctrlProp439.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447.xml"/><Relationship Id="rId13" Type="http://schemas.openxmlformats.org/officeDocument/2006/relationships/ctrlProp" Target="../ctrlProps/ctrlProp452.xml"/><Relationship Id="rId3" Type="http://schemas.openxmlformats.org/officeDocument/2006/relationships/ctrlProp" Target="../ctrlProps/ctrlProp442.xml"/><Relationship Id="rId7" Type="http://schemas.openxmlformats.org/officeDocument/2006/relationships/ctrlProp" Target="../ctrlProps/ctrlProp446.xml"/><Relationship Id="rId12" Type="http://schemas.openxmlformats.org/officeDocument/2006/relationships/ctrlProp" Target="../ctrlProps/ctrlProp451.xml"/><Relationship Id="rId2" Type="http://schemas.openxmlformats.org/officeDocument/2006/relationships/vmlDrawing" Target="../drawings/vmlDrawing33.vml"/><Relationship Id="rId16" Type="http://schemas.openxmlformats.org/officeDocument/2006/relationships/table" Target="../tables/table102.xml"/><Relationship Id="rId1" Type="http://schemas.openxmlformats.org/officeDocument/2006/relationships/drawing" Target="../drawings/drawing36.xml"/><Relationship Id="rId6" Type="http://schemas.openxmlformats.org/officeDocument/2006/relationships/ctrlProp" Target="../ctrlProps/ctrlProp445.xml"/><Relationship Id="rId11" Type="http://schemas.openxmlformats.org/officeDocument/2006/relationships/ctrlProp" Target="../ctrlProps/ctrlProp450.xml"/><Relationship Id="rId5" Type="http://schemas.openxmlformats.org/officeDocument/2006/relationships/ctrlProp" Target="../ctrlProps/ctrlProp444.xml"/><Relationship Id="rId15" Type="http://schemas.openxmlformats.org/officeDocument/2006/relationships/ctrlProp" Target="../ctrlProps/ctrlProp454.xml"/><Relationship Id="rId10" Type="http://schemas.openxmlformats.org/officeDocument/2006/relationships/ctrlProp" Target="../ctrlProps/ctrlProp449.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460.xml"/><Relationship Id="rId13" Type="http://schemas.openxmlformats.org/officeDocument/2006/relationships/ctrlProp" Target="../ctrlProps/ctrlProp465.xml"/><Relationship Id="rId3" Type="http://schemas.openxmlformats.org/officeDocument/2006/relationships/ctrlProp" Target="../ctrlProps/ctrlProp455.xml"/><Relationship Id="rId7" Type="http://schemas.openxmlformats.org/officeDocument/2006/relationships/ctrlProp" Target="../ctrlProps/ctrlProp459.xml"/><Relationship Id="rId12" Type="http://schemas.openxmlformats.org/officeDocument/2006/relationships/ctrlProp" Target="../ctrlProps/ctrlProp464.xml"/><Relationship Id="rId2" Type="http://schemas.openxmlformats.org/officeDocument/2006/relationships/vmlDrawing" Target="../drawings/vmlDrawing34.vml"/><Relationship Id="rId16" Type="http://schemas.openxmlformats.org/officeDocument/2006/relationships/table" Target="../tables/table103.xml"/><Relationship Id="rId1" Type="http://schemas.openxmlformats.org/officeDocument/2006/relationships/drawing" Target="../drawings/drawing37.xml"/><Relationship Id="rId6" Type="http://schemas.openxmlformats.org/officeDocument/2006/relationships/ctrlProp" Target="../ctrlProps/ctrlProp458.xml"/><Relationship Id="rId11" Type="http://schemas.openxmlformats.org/officeDocument/2006/relationships/ctrlProp" Target="../ctrlProps/ctrlProp463.xml"/><Relationship Id="rId5" Type="http://schemas.openxmlformats.org/officeDocument/2006/relationships/ctrlProp" Target="../ctrlProps/ctrlProp457.xml"/><Relationship Id="rId15" Type="http://schemas.openxmlformats.org/officeDocument/2006/relationships/ctrlProp" Target="../ctrlProps/ctrlProp467.xml"/><Relationship Id="rId10" Type="http://schemas.openxmlformats.org/officeDocument/2006/relationships/ctrlProp" Target="../ctrlProps/ctrlProp462.xml"/><Relationship Id="rId4" Type="http://schemas.openxmlformats.org/officeDocument/2006/relationships/ctrlProp" Target="../ctrlProps/ctrlProp456.xml"/><Relationship Id="rId9" Type="http://schemas.openxmlformats.org/officeDocument/2006/relationships/ctrlProp" Target="../ctrlProps/ctrlProp461.xml"/><Relationship Id="rId14" Type="http://schemas.openxmlformats.org/officeDocument/2006/relationships/ctrlProp" Target="../ctrlProps/ctrlProp466.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472.xml"/><Relationship Id="rId13" Type="http://schemas.openxmlformats.org/officeDocument/2006/relationships/ctrlProp" Target="../ctrlProps/ctrlProp477.xml"/><Relationship Id="rId18" Type="http://schemas.openxmlformats.org/officeDocument/2006/relationships/ctrlProp" Target="../ctrlProps/ctrlProp482.xml"/><Relationship Id="rId3" Type="http://schemas.openxmlformats.org/officeDocument/2006/relationships/vmlDrawing" Target="../drawings/vmlDrawing35.vml"/><Relationship Id="rId21" Type="http://schemas.openxmlformats.org/officeDocument/2006/relationships/ctrlProp" Target="../ctrlProps/ctrlProp485.xml"/><Relationship Id="rId7" Type="http://schemas.openxmlformats.org/officeDocument/2006/relationships/ctrlProp" Target="../ctrlProps/ctrlProp471.xml"/><Relationship Id="rId12" Type="http://schemas.openxmlformats.org/officeDocument/2006/relationships/ctrlProp" Target="../ctrlProps/ctrlProp476.xml"/><Relationship Id="rId17" Type="http://schemas.openxmlformats.org/officeDocument/2006/relationships/ctrlProp" Target="../ctrlProps/ctrlProp481.xml"/><Relationship Id="rId25" Type="http://schemas.openxmlformats.org/officeDocument/2006/relationships/table" Target="../tables/table106.xml"/><Relationship Id="rId2" Type="http://schemas.openxmlformats.org/officeDocument/2006/relationships/drawing" Target="../drawings/drawing38.xml"/><Relationship Id="rId16" Type="http://schemas.openxmlformats.org/officeDocument/2006/relationships/ctrlProp" Target="../ctrlProps/ctrlProp480.xml"/><Relationship Id="rId20" Type="http://schemas.openxmlformats.org/officeDocument/2006/relationships/ctrlProp" Target="../ctrlProps/ctrlProp484.xml"/><Relationship Id="rId1" Type="http://schemas.openxmlformats.org/officeDocument/2006/relationships/printerSettings" Target="../printerSettings/printerSettings23.bin"/><Relationship Id="rId6" Type="http://schemas.openxmlformats.org/officeDocument/2006/relationships/ctrlProp" Target="../ctrlProps/ctrlProp470.xml"/><Relationship Id="rId11" Type="http://schemas.openxmlformats.org/officeDocument/2006/relationships/ctrlProp" Target="../ctrlProps/ctrlProp475.xml"/><Relationship Id="rId24" Type="http://schemas.openxmlformats.org/officeDocument/2006/relationships/table" Target="../tables/table105.xml"/><Relationship Id="rId5" Type="http://schemas.openxmlformats.org/officeDocument/2006/relationships/ctrlProp" Target="../ctrlProps/ctrlProp469.xml"/><Relationship Id="rId15" Type="http://schemas.openxmlformats.org/officeDocument/2006/relationships/ctrlProp" Target="../ctrlProps/ctrlProp479.xml"/><Relationship Id="rId23" Type="http://schemas.openxmlformats.org/officeDocument/2006/relationships/table" Target="../tables/table104.xml"/><Relationship Id="rId10" Type="http://schemas.openxmlformats.org/officeDocument/2006/relationships/ctrlProp" Target="../ctrlProps/ctrlProp474.xml"/><Relationship Id="rId19" Type="http://schemas.openxmlformats.org/officeDocument/2006/relationships/ctrlProp" Target="../ctrlProps/ctrlProp483.xml"/><Relationship Id="rId4" Type="http://schemas.openxmlformats.org/officeDocument/2006/relationships/ctrlProp" Target="../ctrlProps/ctrlProp468.xml"/><Relationship Id="rId9" Type="http://schemas.openxmlformats.org/officeDocument/2006/relationships/ctrlProp" Target="../ctrlProps/ctrlProp473.xml"/><Relationship Id="rId14" Type="http://schemas.openxmlformats.org/officeDocument/2006/relationships/ctrlProp" Target="../ctrlProps/ctrlProp478.xml"/><Relationship Id="rId22" Type="http://schemas.openxmlformats.org/officeDocument/2006/relationships/ctrlProp" Target="../ctrlProps/ctrlProp48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490.xml"/><Relationship Id="rId2" Type="http://schemas.openxmlformats.org/officeDocument/2006/relationships/drawing" Target="../drawings/drawing39.xml"/><Relationship Id="rId1" Type="http://schemas.openxmlformats.org/officeDocument/2006/relationships/printerSettings" Target="../printerSettings/printerSettings24.bin"/><Relationship Id="rId6" Type="http://schemas.openxmlformats.org/officeDocument/2006/relationships/ctrlProp" Target="../ctrlProps/ctrlProp489.xml"/><Relationship Id="rId5" Type="http://schemas.openxmlformats.org/officeDocument/2006/relationships/ctrlProp" Target="../ctrlProps/ctrlProp488.xml"/><Relationship Id="rId4" Type="http://schemas.openxmlformats.org/officeDocument/2006/relationships/ctrlProp" Target="../ctrlProps/ctrlProp487.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496.xml"/><Relationship Id="rId13" Type="http://schemas.openxmlformats.org/officeDocument/2006/relationships/ctrlProp" Target="../ctrlProps/ctrlProp501.xml"/><Relationship Id="rId3" Type="http://schemas.openxmlformats.org/officeDocument/2006/relationships/ctrlProp" Target="../ctrlProps/ctrlProp491.xml"/><Relationship Id="rId7" Type="http://schemas.openxmlformats.org/officeDocument/2006/relationships/ctrlProp" Target="../ctrlProps/ctrlProp495.xml"/><Relationship Id="rId12" Type="http://schemas.openxmlformats.org/officeDocument/2006/relationships/ctrlProp" Target="../ctrlProps/ctrlProp500.xml"/><Relationship Id="rId2" Type="http://schemas.openxmlformats.org/officeDocument/2006/relationships/vmlDrawing" Target="../drawings/vmlDrawing37.vml"/><Relationship Id="rId16" Type="http://schemas.openxmlformats.org/officeDocument/2006/relationships/table" Target="../tables/table107.xml"/><Relationship Id="rId1" Type="http://schemas.openxmlformats.org/officeDocument/2006/relationships/drawing" Target="../drawings/drawing40.xml"/><Relationship Id="rId6" Type="http://schemas.openxmlformats.org/officeDocument/2006/relationships/ctrlProp" Target="../ctrlProps/ctrlProp494.xml"/><Relationship Id="rId11" Type="http://schemas.openxmlformats.org/officeDocument/2006/relationships/ctrlProp" Target="../ctrlProps/ctrlProp499.xml"/><Relationship Id="rId5" Type="http://schemas.openxmlformats.org/officeDocument/2006/relationships/ctrlProp" Target="../ctrlProps/ctrlProp493.xml"/><Relationship Id="rId15" Type="http://schemas.openxmlformats.org/officeDocument/2006/relationships/ctrlProp" Target="../ctrlProps/ctrlProp503.xml"/><Relationship Id="rId10" Type="http://schemas.openxmlformats.org/officeDocument/2006/relationships/ctrlProp" Target="../ctrlProps/ctrlProp498.xml"/><Relationship Id="rId4" Type="http://schemas.openxmlformats.org/officeDocument/2006/relationships/ctrlProp" Target="../ctrlProps/ctrlProp492.xml"/><Relationship Id="rId9" Type="http://schemas.openxmlformats.org/officeDocument/2006/relationships/ctrlProp" Target="../ctrlProps/ctrlProp497.xml"/><Relationship Id="rId14" Type="http://schemas.openxmlformats.org/officeDocument/2006/relationships/ctrlProp" Target="../ctrlProps/ctrlProp502.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509.xml"/><Relationship Id="rId13" Type="http://schemas.openxmlformats.org/officeDocument/2006/relationships/ctrlProp" Target="../ctrlProps/ctrlProp514.xml"/><Relationship Id="rId18" Type="http://schemas.openxmlformats.org/officeDocument/2006/relationships/ctrlProp" Target="../ctrlProps/ctrlProp519.xml"/><Relationship Id="rId26" Type="http://schemas.openxmlformats.org/officeDocument/2006/relationships/ctrlProp" Target="../ctrlProps/ctrlProp527.xml"/><Relationship Id="rId3" Type="http://schemas.openxmlformats.org/officeDocument/2006/relationships/ctrlProp" Target="../ctrlProps/ctrlProp504.xml"/><Relationship Id="rId21" Type="http://schemas.openxmlformats.org/officeDocument/2006/relationships/ctrlProp" Target="../ctrlProps/ctrlProp522.xml"/><Relationship Id="rId7" Type="http://schemas.openxmlformats.org/officeDocument/2006/relationships/ctrlProp" Target="../ctrlProps/ctrlProp508.xml"/><Relationship Id="rId12" Type="http://schemas.openxmlformats.org/officeDocument/2006/relationships/ctrlProp" Target="../ctrlProps/ctrlProp513.xml"/><Relationship Id="rId17" Type="http://schemas.openxmlformats.org/officeDocument/2006/relationships/ctrlProp" Target="../ctrlProps/ctrlProp518.xml"/><Relationship Id="rId25" Type="http://schemas.openxmlformats.org/officeDocument/2006/relationships/ctrlProp" Target="../ctrlProps/ctrlProp526.xml"/><Relationship Id="rId2" Type="http://schemas.openxmlformats.org/officeDocument/2006/relationships/vmlDrawing" Target="../drawings/vmlDrawing38.vml"/><Relationship Id="rId16" Type="http://schemas.openxmlformats.org/officeDocument/2006/relationships/ctrlProp" Target="../ctrlProps/ctrlProp517.xml"/><Relationship Id="rId20" Type="http://schemas.openxmlformats.org/officeDocument/2006/relationships/ctrlProp" Target="../ctrlProps/ctrlProp521.xml"/><Relationship Id="rId29" Type="http://schemas.openxmlformats.org/officeDocument/2006/relationships/table" Target="../tables/table109.xml"/><Relationship Id="rId1" Type="http://schemas.openxmlformats.org/officeDocument/2006/relationships/drawing" Target="../drawings/drawing41.xml"/><Relationship Id="rId6" Type="http://schemas.openxmlformats.org/officeDocument/2006/relationships/ctrlProp" Target="../ctrlProps/ctrlProp507.xml"/><Relationship Id="rId11" Type="http://schemas.openxmlformats.org/officeDocument/2006/relationships/ctrlProp" Target="../ctrlProps/ctrlProp512.xml"/><Relationship Id="rId24" Type="http://schemas.openxmlformats.org/officeDocument/2006/relationships/ctrlProp" Target="../ctrlProps/ctrlProp525.xml"/><Relationship Id="rId5" Type="http://schemas.openxmlformats.org/officeDocument/2006/relationships/ctrlProp" Target="../ctrlProps/ctrlProp506.xml"/><Relationship Id="rId15" Type="http://schemas.openxmlformats.org/officeDocument/2006/relationships/ctrlProp" Target="../ctrlProps/ctrlProp516.xml"/><Relationship Id="rId23" Type="http://schemas.openxmlformats.org/officeDocument/2006/relationships/ctrlProp" Target="../ctrlProps/ctrlProp524.xml"/><Relationship Id="rId28" Type="http://schemas.openxmlformats.org/officeDocument/2006/relationships/table" Target="../tables/table108.xml"/><Relationship Id="rId10" Type="http://schemas.openxmlformats.org/officeDocument/2006/relationships/ctrlProp" Target="../ctrlProps/ctrlProp511.xml"/><Relationship Id="rId19" Type="http://schemas.openxmlformats.org/officeDocument/2006/relationships/ctrlProp" Target="../ctrlProps/ctrlProp520.xml"/><Relationship Id="rId31" Type="http://schemas.openxmlformats.org/officeDocument/2006/relationships/table" Target="../tables/table111.xml"/><Relationship Id="rId4" Type="http://schemas.openxmlformats.org/officeDocument/2006/relationships/ctrlProp" Target="../ctrlProps/ctrlProp505.xml"/><Relationship Id="rId9" Type="http://schemas.openxmlformats.org/officeDocument/2006/relationships/ctrlProp" Target="../ctrlProps/ctrlProp510.xml"/><Relationship Id="rId14" Type="http://schemas.openxmlformats.org/officeDocument/2006/relationships/ctrlProp" Target="../ctrlProps/ctrlProp515.xml"/><Relationship Id="rId22" Type="http://schemas.openxmlformats.org/officeDocument/2006/relationships/ctrlProp" Target="../ctrlProps/ctrlProp523.xml"/><Relationship Id="rId27" Type="http://schemas.openxmlformats.org/officeDocument/2006/relationships/ctrlProp" Target="../ctrlProps/ctrlProp528.xml"/><Relationship Id="rId30" Type="http://schemas.openxmlformats.org/officeDocument/2006/relationships/table" Target="../tables/table11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533.xml"/><Relationship Id="rId13" Type="http://schemas.openxmlformats.org/officeDocument/2006/relationships/ctrlProp" Target="../ctrlProps/ctrlProp538.xml"/><Relationship Id="rId18" Type="http://schemas.openxmlformats.org/officeDocument/2006/relationships/table" Target="../tables/table112.xml"/><Relationship Id="rId3" Type="http://schemas.openxmlformats.org/officeDocument/2006/relationships/vmlDrawing" Target="../drawings/vmlDrawing39.vml"/><Relationship Id="rId7" Type="http://schemas.openxmlformats.org/officeDocument/2006/relationships/ctrlProp" Target="../ctrlProps/ctrlProp532.xml"/><Relationship Id="rId12" Type="http://schemas.openxmlformats.org/officeDocument/2006/relationships/ctrlProp" Target="../ctrlProps/ctrlProp537.xml"/><Relationship Id="rId17" Type="http://schemas.openxmlformats.org/officeDocument/2006/relationships/ctrlProp" Target="../ctrlProps/ctrlProp542.xml"/><Relationship Id="rId2" Type="http://schemas.openxmlformats.org/officeDocument/2006/relationships/drawing" Target="../drawings/drawing42.xml"/><Relationship Id="rId16" Type="http://schemas.openxmlformats.org/officeDocument/2006/relationships/ctrlProp" Target="../ctrlProps/ctrlProp541.xml"/><Relationship Id="rId1" Type="http://schemas.openxmlformats.org/officeDocument/2006/relationships/pivotTable" Target="../pivotTables/pivotTable25.xml"/><Relationship Id="rId6" Type="http://schemas.openxmlformats.org/officeDocument/2006/relationships/ctrlProp" Target="../ctrlProps/ctrlProp531.xml"/><Relationship Id="rId11" Type="http://schemas.openxmlformats.org/officeDocument/2006/relationships/ctrlProp" Target="../ctrlProps/ctrlProp536.xml"/><Relationship Id="rId5" Type="http://schemas.openxmlformats.org/officeDocument/2006/relationships/ctrlProp" Target="../ctrlProps/ctrlProp530.xml"/><Relationship Id="rId15" Type="http://schemas.openxmlformats.org/officeDocument/2006/relationships/ctrlProp" Target="../ctrlProps/ctrlProp540.xml"/><Relationship Id="rId10" Type="http://schemas.openxmlformats.org/officeDocument/2006/relationships/ctrlProp" Target="../ctrlProps/ctrlProp535.xml"/><Relationship Id="rId4" Type="http://schemas.openxmlformats.org/officeDocument/2006/relationships/ctrlProp" Target="../ctrlProps/ctrlProp529.xml"/><Relationship Id="rId9" Type="http://schemas.openxmlformats.org/officeDocument/2006/relationships/ctrlProp" Target="../ctrlProps/ctrlProp534.xml"/><Relationship Id="rId14" Type="http://schemas.openxmlformats.org/officeDocument/2006/relationships/ctrlProp" Target="../ctrlProps/ctrlProp539.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48.xml"/><Relationship Id="rId13" Type="http://schemas.openxmlformats.org/officeDocument/2006/relationships/ctrlProp" Target="../ctrlProps/ctrlProp553.xml"/><Relationship Id="rId3" Type="http://schemas.openxmlformats.org/officeDocument/2006/relationships/ctrlProp" Target="../ctrlProps/ctrlProp543.xml"/><Relationship Id="rId7" Type="http://schemas.openxmlformats.org/officeDocument/2006/relationships/ctrlProp" Target="../ctrlProps/ctrlProp547.xml"/><Relationship Id="rId12" Type="http://schemas.openxmlformats.org/officeDocument/2006/relationships/ctrlProp" Target="../ctrlProps/ctrlProp552.xml"/><Relationship Id="rId2" Type="http://schemas.openxmlformats.org/officeDocument/2006/relationships/vmlDrawing" Target="../drawings/vmlDrawing40.vml"/><Relationship Id="rId16" Type="http://schemas.openxmlformats.org/officeDocument/2006/relationships/table" Target="../tables/table113.xml"/><Relationship Id="rId1" Type="http://schemas.openxmlformats.org/officeDocument/2006/relationships/drawing" Target="../drawings/drawing43.xml"/><Relationship Id="rId6" Type="http://schemas.openxmlformats.org/officeDocument/2006/relationships/ctrlProp" Target="../ctrlProps/ctrlProp546.xml"/><Relationship Id="rId11" Type="http://schemas.openxmlformats.org/officeDocument/2006/relationships/ctrlProp" Target="../ctrlProps/ctrlProp551.xml"/><Relationship Id="rId5" Type="http://schemas.openxmlformats.org/officeDocument/2006/relationships/ctrlProp" Target="../ctrlProps/ctrlProp545.xml"/><Relationship Id="rId15" Type="http://schemas.openxmlformats.org/officeDocument/2006/relationships/ctrlProp" Target="../ctrlProps/ctrlProp555.xml"/><Relationship Id="rId10" Type="http://schemas.openxmlformats.org/officeDocument/2006/relationships/ctrlProp" Target="../ctrlProps/ctrlProp550.xml"/><Relationship Id="rId4" Type="http://schemas.openxmlformats.org/officeDocument/2006/relationships/ctrlProp" Target="../ctrlProps/ctrlProp544.xml"/><Relationship Id="rId9" Type="http://schemas.openxmlformats.org/officeDocument/2006/relationships/ctrlProp" Target="../ctrlProps/ctrlProp549.xml"/><Relationship Id="rId14" Type="http://schemas.openxmlformats.org/officeDocument/2006/relationships/ctrlProp" Target="../ctrlProps/ctrlProp55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561.xml"/><Relationship Id="rId13" Type="http://schemas.openxmlformats.org/officeDocument/2006/relationships/ctrlProp" Target="../ctrlProps/ctrlProp566.xml"/><Relationship Id="rId3" Type="http://schemas.openxmlformats.org/officeDocument/2006/relationships/ctrlProp" Target="../ctrlProps/ctrlProp556.xml"/><Relationship Id="rId7" Type="http://schemas.openxmlformats.org/officeDocument/2006/relationships/ctrlProp" Target="../ctrlProps/ctrlProp560.xml"/><Relationship Id="rId12" Type="http://schemas.openxmlformats.org/officeDocument/2006/relationships/ctrlProp" Target="../ctrlProps/ctrlProp565.xml"/><Relationship Id="rId2" Type="http://schemas.openxmlformats.org/officeDocument/2006/relationships/vmlDrawing" Target="../drawings/vmlDrawing41.vml"/><Relationship Id="rId16" Type="http://schemas.openxmlformats.org/officeDocument/2006/relationships/table" Target="../tables/table114.xml"/><Relationship Id="rId1" Type="http://schemas.openxmlformats.org/officeDocument/2006/relationships/drawing" Target="../drawings/drawing44.xml"/><Relationship Id="rId6" Type="http://schemas.openxmlformats.org/officeDocument/2006/relationships/ctrlProp" Target="../ctrlProps/ctrlProp559.xml"/><Relationship Id="rId11" Type="http://schemas.openxmlformats.org/officeDocument/2006/relationships/ctrlProp" Target="../ctrlProps/ctrlProp564.xml"/><Relationship Id="rId5" Type="http://schemas.openxmlformats.org/officeDocument/2006/relationships/ctrlProp" Target="../ctrlProps/ctrlProp558.xml"/><Relationship Id="rId15" Type="http://schemas.openxmlformats.org/officeDocument/2006/relationships/ctrlProp" Target="../ctrlProps/ctrlProp568.xml"/><Relationship Id="rId10" Type="http://schemas.openxmlformats.org/officeDocument/2006/relationships/ctrlProp" Target="../ctrlProps/ctrlProp563.xml"/><Relationship Id="rId4" Type="http://schemas.openxmlformats.org/officeDocument/2006/relationships/ctrlProp" Target="../ctrlProps/ctrlProp557.xml"/><Relationship Id="rId9" Type="http://schemas.openxmlformats.org/officeDocument/2006/relationships/ctrlProp" Target="../ctrlProps/ctrlProp562.xml"/><Relationship Id="rId14" Type="http://schemas.openxmlformats.org/officeDocument/2006/relationships/ctrlProp" Target="../ctrlProps/ctrlProp567.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574.xml"/><Relationship Id="rId13" Type="http://schemas.openxmlformats.org/officeDocument/2006/relationships/ctrlProp" Target="../ctrlProps/ctrlProp579.xml"/><Relationship Id="rId3" Type="http://schemas.openxmlformats.org/officeDocument/2006/relationships/ctrlProp" Target="../ctrlProps/ctrlProp569.xml"/><Relationship Id="rId7" Type="http://schemas.openxmlformats.org/officeDocument/2006/relationships/ctrlProp" Target="../ctrlProps/ctrlProp573.xml"/><Relationship Id="rId12" Type="http://schemas.openxmlformats.org/officeDocument/2006/relationships/ctrlProp" Target="../ctrlProps/ctrlProp578.xml"/><Relationship Id="rId2" Type="http://schemas.openxmlformats.org/officeDocument/2006/relationships/vmlDrawing" Target="../drawings/vmlDrawing42.vml"/><Relationship Id="rId16" Type="http://schemas.openxmlformats.org/officeDocument/2006/relationships/table" Target="../tables/table115.xml"/><Relationship Id="rId1" Type="http://schemas.openxmlformats.org/officeDocument/2006/relationships/drawing" Target="../drawings/drawing45.xml"/><Relationship Id="rId6" Type="http://schemas.openxmlformats.org/officeDocument/2006/relationships/ctrlProp" Target="../ctrlProps/ctrlProp572.xml"/><Relationship Id="rId11" Type="http://schemas.openxmlformats.org/officeDocument/2006/relationships/ctrlProp" Target="../ctrlProps/ctrlProp577.xml"/><Relationship Id="rId5" Type="http://schemas.openxmlformats.org/officeDocument/2006/relationships/ctrlProp" Target="../ctrlProps/ctrlProp571.xml"/><Relationship Id="rId15" Type="http://schemas.openxmlformats.org/officeDocument/2006/relationships/ctrlProp" Target="../ctrlProps/ctrlProp581.xml"/><Relationship Id="rId10" Type="http://schemas.openxmlformats.org/officeDocument/2006/relationships/ctrlProp" Target="../ctrlProps/ctrlProp576.xml"/><Relationship Id="rId4" Type="http://schemas.openxmlformats.org/officeDocument/2006/relationships/ctrlProp" Target="../ctrlProps/ctrlProp570.xml"/><Relationship Id="rId9" Type="http://schemas.openxmlformats.org/officeDocument/2006/relationships/ctrlProp" Target="../ctrlProps/ctrlProp575.xml"/><Relationship Id="rId14" Type="http://schemas.openxmlformats.org/officeDocument/2006/relationships/ctrlProp" Target="../ctrlProps/ctrlProp580.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587.xml"/><Relationship Id="rId13" Type="http://schemas.openxmlformats.org/officeDocument/2006/relationships/ctrlProp" Target="../ctrlProps/ctrlProp592.xml"/><Relationship Id="rId3" Type="http://schemas.openxmlformats.org/officeDocument/2006/relationships/ctrlProp" Target="../ctrlProps/ctrlProp582.xml"/><Relationship Id="rId7" Type="http://schemas.openxmlformats.org/officeDocument/2006/relationships/ctrlProp" Target="../ctrlProps/ctrlProp586.xml"/><Relationship Id="rId12" Type="http://schemas.openxmlformats.org/officeDocument/2006/relationships/ctrlProp" Target="../ctrlProps/ctrlProp591.xml"/><Relationship Id="rId2" Type="http://schemas.openxmlformats.org/officeDocument/2006/relationships/vmlDrawing" Target="../drawings/vmlDrawing43.vml"/><Relationship Id="rId16" Type="http://schemas.openxmlformats.org/officeDocument/2006/relationships/table" Target="../tables/table116.xml"/><Relationship Id="rId1" Type="http://schemas.openxmlformats.org/officeDocument/2006/relationships/drawing" Target="../drawings/drawing46.xml"/><Relationship Id="rId6" Type="http://schemas.openxmlformats.org/officeDocument/2006/relationships/ctrlProp" Target="../ctrlProps/ctrlProp585.xml"/><Relationship Id="rId11" Type="http://schemas.openxmlformats.org/officeDocument/2006/relationships/ctrlProp" Target="../ctrlProps/ctrlProp590.xml"/><Relationship Id="rId5" Type="http://schemas.openxmlformats.org/officeDocument/2006/relationships/ctrlProp" Target="../ctrlProps/ctrlProp584.xml"/><Relationship Id="rId15" Type="http://schemas.openxmlformats.org/officeDocument/2006/relationships/ctrlProp" Target="../ctrlProps/ctrlProp594.xml"/><Relationship Id="rId10" Type="http://schemas.openxmlformats.org/officeDocument/2006/relationships/ctrlProp" Target="../ctrlProps/ctrlProp589.xml"/><Relationship Id="rId4" Type="http://schemas.openxmlformats.org/officeDocument/2006/relationships/ctrlProp" Target="../ctrlProps/ctrlProp583.xml"/><Relationship Id="rId9" Type="http://schemas.openxmlformats.org/officeDocument/2006/relationships/ctrlProp" Target="../ctrlProps/ctrlProp588.xml"/><Relationship Id="rId14" Type="http://schemas.openxmlformats.org/officeDocument/2006/relationships/ctrlProp" Target="../ctrlProps/ctrlProp593.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600.xml"/><Relationship Id="rId13" Type="http://schemas.openxmlformats.org/officeDocument/2006/relationships/ctrlProp" Target="../ctrlProps/ctrlProp605.xml"/><Relationship Id="rId3" Type="http://schemas.openxmlformats.org/officeDocument/2006/relationships/ctrlProp" Target="../ctrlProps/ctrlProp595.xml"/><Relationship Id="rId7" Type="http://schemas.openxmlformats.org/officeDocument/2006/relationships/ctrlProp" Target="../ctrlProps/ctrlProp599.xml"/><Relationship Id="rId12" Type="http://schemas.openxmlformats.org/officeDocument/2006/relationships/ctrlProp" Target="../ctrlProps/ctrlProp604.xml"/><Relationship Id="rId2" Type="http://schemas.openxmlformats.org/officeDocument/2006/relationships/vmlDrawing" Target="../drawings/vmlDrawing44.vml"/><Relationship Id="rId16" Type="http://schemas.openxmlformats.org/officeDocument/2006/relationships/table" Target="../tables/table117.xml"/><Relationship Id="rId1" Type="http://schemas.openxmlformats.org/officeDocument/2006/relationships/drawing" Target="../drawings/drawing47.xml"/><Relationship Id="rId6" Type="http://schemas.openxmlformats.org/officeDocument/2006/relationships/ctrlProp" Target="../ctrlProps/ctrlProp598.xml"/><Relationship Id="rId11" Type="http://schemas.openxmlformats.org/officeDocument/2006/relationships/ctrlProp" Target="../ctrlProps/ctrlProp603.xml"/><Relationship Id="rId5" Type="http://schemas.openxmlformats.org/officeDocument/2006/relationships/ctrlProp" Target="../ctrlProps/ctrlProp597.xml"/><Relationship Id="rId15" Type="http://schemas.openxmlformats.org/officeDocument/2006/relationships/ctrlProp" Target="../ctrlProps/ctrlProp607.xml"/><Relationship Id="rId10" Type="http://schemas.openxmlformats.org/officeDocument/2006/relationships/ctrlProp" Target="../ctrlProps/ctrlProp602.xml"/><Relationship Id="rId4" Type="http://schemas.openxmlformats.org/officeDocument/2006/relationships/ctrlProp" Target="../ctrlProps/ctrlProp596.xml"/><Relationship Id="rId9" Type="http://schemas.openxmlformats.org/officeDocument/2006/relationships/ctrlProp" Target="../ctrlProps/ctrlProp601.xml"/><Relationship Id="rId14" Type="http://schemas.openxmlformats.org/officeDocument/2006/relationships/ctrlProp" Target="../ctrlProps/ctrlProp606.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613.xml"/><Relationship Id="rId13" Type="http://schemas.openxmlformats.org/officeDocument/2006/relationships/ctrlProp" Target="../ctrlProps/ctrlProp618.xml"/><Relationship Id="rId3" Type="http://schemas.openxmlformats.org/officeDocument/2006/relationships/ctrlProp" Target="../ctrlProps/ctrlProp608.xml"/><Relationship Id="rId7" Type="http://schemas.openxmlformats.org/officeDocument/2006/relationships/ctrlProp" Target="../ctrlProps/ctrlProp612.xml"/><Relationship Id="rId12" Type="http://schemas.openxmlformats.org/officeDocument/2006/relationships/ctrlProp" Target="../ctrlProps/ctrlProp617.xml"/><Relationship Id="rId2" Type="http://schemas.openxmlformats.org/officeDocument/2006/relationships/vmlDrawing" Target="../drawings/vmlDrawing45.vml"/><Relationship Id="rId16" Type="http://schemas.openxmlformats.org/officeDocument/2006/relationships/table" Target="../tables/table118.xml"/><Relationship Id="rId1" Type="http://schemas.openxmlformats.org/officeDocument/2006/relationships/drawing" Target="../drawings/drawing48.xml"/><Relationship Id="rId6" Type="http://schemas.openxmlformats.org/officeDocument/2006/relationships/ctrlProp" Target="../ctrlProps/ctrlProp611.xml"/><Relationship Id="rId11" Type="http://schemas.openxmlformats.org/officeDocument/2006/relationships/ctrlProp" Target="../ctrlProps/ctrlProp616.xml"/><Relationship Id="rId5" Type="http://schemas.openxmlformats.org/officeDocument/2006/relationships/ctrlProp" Target="../ctrlProps/ctrlProp610.xml"/><Relationship Id="rId15" Type="http://schemas.openxmlformats.org/officeDocument/2006/relationships/ctrlProp" Target="../ctrlProps/ctrlProp620.xml"/><Relationship Id="rId10" Type="http://schemas.openxmlformats.org/officeDocument/2006/relationships/ctrlProp" Target="../ctrlProps/ctrlProp615.xml"/><Relationship Id="rId4" Type="http://schemas.openxmlformats.org/officeDocument/2006/relationships/ctrlProp" Target="../ctrlProps/ctrlProp609.xml"/><Relationship Id="rId9" Type="http://schemas.openxmlformats.org/officeDocument/2006/relationships/ctrlProp" Target="../ctrlProps/ctrlProp614.xml"/><Relationship Id="rId14" Type="http://schemas.openxmlformats.org/officeDocument/2006/relationships/ctrlProp" Target="../ctrlProps/ctrlProp619.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table" Target="../tables/table120.xml"/><Relationship Id="rId3" Type="http://schemas.openxmlformats.org/officeDocument/2006/relationships/vmlDrawing" Target="../drawings/vmlDrawing46.v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table" Target="../tables/table119.xml"/><Relationship Id="rId2" Type="http://schemas.openxmlformats.org/officeDocument/2006/relationships/drawing" Target="../drawings/drawing49.xml"/><Relationship Id="rId16" Type="http://schemas.openxmlformats.org/officeDocument/2006/relationships/ctrlProp" Target="../ctrlProps/ctrlProp633.xml"/><Relationship Id="rId1" Type="http://schemas.openxmlformats.org/officeDocument/2006/relationships/printerSettings" Target="../printerSettings/printerSettings25.bin"/><Relationship Id="rId6" Type="http://schemas.openxmlformats.org/officeDocument/2006/relationships/ctrlProp" Target="../ctrlProps/ctrlProp623.xml"/><Relationship Id="rId11" Type="http://schemas.openxmlformats.org/officeDocument/2006/relationships/ctrlProp" Target="../ctrlProps/ctrlProp628.xml"/><Relationship Id="rId5" Type="http://schemas.openxmlformats.org/officeDocument/2006/relationships/ctrlProp" Target="../ctrlProps/ctrlProp622.xml"/><Relationship Id="rId15" Type="http://schemas.openxmlformats.org/officeDocument/2006/relationships/ctrlProp" Target="../ctrlProps/ctrlProp632.xml"/><Relationship Id="rId10" Type="http://schemas.openxmlformats.org/officeDocument/2006/relationships/ctrlProp" Target="../ctrlProps/ctrlProp627.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39.xml"/><Relationship Id="rId13" Type="http://schemas.openxmlformats.org/officeDocument/2006/relationships/ctrlProp" Target="../ctrlProps/ctrlProp644.xml"/><Relationship Id="rId3" Type="http://schemas.openxmlformats.org/officeDocument/2006/relationships/ctrlProp" Target="../ctrlProps/ctrlProp634.xml"/><Relationship Id="rId7" Type="http://schemas.openxmlformats.org/officeDocument/2006/relationships/ctrlProp" Target="../ctrlProps/ctrlProp638.xml"/><Relationship Id="rId12" Type="http://schemas.openxmlformats.org/officeDocument/2006/relationships/ctrlProp" Target="../ctrlProps/ctrlProp643.xml"/><Relationship Id="rId2" Type="http://schemas.openxmlformats.org/officeDocument/2006/relationships/vmlDrawing" Target="../drawings/vmlDrawing47.vml"/><Relationship Id="rId16" Type="http://schemas.openxmlformats.org/officeDocument/2006/relationships/table" Target="../tables/table121.xml"/><Relationship Id="rId1" Type="http://schemas.openxmlformats.org/officeDocument/2006/relationships/drawing" Target="../drawings/drawing50.xml"/><Relationship Id="rId6" Type="http://schemas.openxmlformats.org/officeDocument/2006/relationships/ctrlProp" Target="../ctrlProps/ctrlProp637.xml"/><Relationship Id="rId11" Type="http://schemas.openxmlformats.org/officeDocument/2006/relationships/ctrlProp" Target="../ctrlProps/ctrlProp642.xml"/><Relationship Id="rId5" Type="http://schemas.openxmlformats.org/officeDocument/2006/relationships/ctrlProp" Target="../ctrlProps/ctrlProp636.xml"/><Relationship Id="rId15" Type="http://schemas.openxmlformats.org/officeDocument/2006/relationships/ctrlProp" Target="../ctrlProps/ctrlProp646.xml"/><Relationship Id="rId10" Type="http://schemas.openxmlformats.org/officeDocument/2006/relationships/ctrlProp" Target="../ctrlProps/ctrlProp641.xml"/><Relationship Id="rId4" Type="http://schemas.openxmlformats.org/officeDocument/2006/relationships/ctrlProp" Target="../ctrlProps/ctrlProp635.xml"/><Relationship Id="rId9" Type="http://schemas.openxmlformats.org/officeDocument/2006/relationships/ctrlProp" Target="../ctrlProps/ctrlProp640.xml"/><Relationship Id="rId14" Type="http://schemas.openxmlformats.org/officeDocument/2006/relationships/ctrlProp" Target="../ctrlProps/ctrlProp6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M2"/>
    </sheetView>
  </sheetViews>
  <sheetFormatPr defaultRowHeight="16.5" x14ac:dyDescent="0.3"/>
  <cols>
    <col min="1" max="1" width="10.5" style="98" bestFit="1" customWidth="1"/>
    <col min="2" max="2" width="36.25" style="98" bestFit="1" customWidth="1"/>
    <col min="3" max="3" width="16.125" style="98" bestFit="1" customWidth="1"/>
    <col min="4" max="5" width="14.375" style="191" bestFit="1" customWidth="1"/>
    <col min="6" max="25" width="9" style="98"/>
    <col min="26" max="26" width="9" style="98" hidden="1" customWidth="1"/>
    <col min="27" max="16384" width="9" style="98"/>
  </cols>
  <sheetData>
    <row r="1" spans="1:26" x14ac:dyDescent="0.3">
      <c r="A1" s="186" t="s">
        <v>869</v>
      </c>
      <c r="B1" s="187" t="s">
        <v>14</v>
      </c>
      <c r="C1" s="188" t="s">
        <v>15</v>
      </c>
      <c r="D1" s="190" t="s">
        <v>870</v>
      </c>
      <c r="E1" s="190" t="s">
        <v>871</v>
      </c>
      <c r="F1" s="186" t="s">
        <v>872</v>
      </c>
      <c r="G1" s="189" t="s">
        <v>873</v>
      </c>
      <c r="H1" s="186" t="s">
        <v>874</v>
      </c>
      <c r="I1" s="186" t="s">
        <v>875</v>
      </c>
      <c r="J1" s="189" t="s">
        <v>876</v>
      </c>
      <c r="K1" s="189" t="s">
        <v>877</v>
      </c>
      <c r="L1" s="189" t="s">
        <v>878</v>
      </c>
      <c r="M1" s="189" t="s">
        <v>879</v>
      </c>
      <c r="N1" s="257"/>
      <c r="O1" s="257"/>
      <c r="P1" s="257"/>
      <c r="Q1" s="257"/>
      <c r="R1" s="257"/>
      <c r="S1" s="257"/>
      <c r="T1" s="257"/>
      <c r="U1" s="257"/>
      <c r="V1" s="257"/>
      <c r="W1" s="257"/>
      <c r="X1" s="257"/>
      <c r="Y1" s="257"/>
      <c r="Z1" s="98" t="s">
        <v>881</v>
      </c>
    </row>
    <row r="2" spans="1:26" x14ac:dyDescent="0.3">
      <c r="A2" s="257" t="s">
        <v>1019</v>
      </c>
      <c r="B2" s="98" t="s">
        <v>1258</v>
      </c>
      <c r="C2" s="98" t="s">
        <v>1259</v>
      </c>
      <c r="D2" s="191">
        <v>45785</v>
      </c>
      <c r="E2" s="191">
        <v>46150</v>
      </c>
      <c r="F2" s="257">
        <v>365</v>
      </c>
      <c r="G2" s="98" t="s">
        <v>1020</v>
      </c>
      <c r="H2" s="257"/>
      <c r="I2" s="257"/>
      <c r="J2" s="257"/>
      <c r="K2" s="257"/>
      <c r="L2" s="257"/>
      <c r="M2" s="257"/>
      <c r="N2" s="257"/>
      <c r="O2" s="257"/>
      <c r="P2" s="257"/>
      <c r="Q2" s="257"/>
      <c r="R2" s="257"/>
      <c r="S2" s="257"/>
      <c r="T2" s="257"/>
      <c r="U2" s="257"/>
      <c r="V2" s="257"/>
      <c r="W2" s="257"/>
      <c r="X2" s="257"/>
      <c r="Y2" s="257"/>
      <c r="Z2" s="257" t="s">
        <v>1098</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95F2-D700-4538-BD5C-EAD8CFD88F0C}">
  <sheetPr codeName="Sheet44"/>
  <dimension ref="A1:E4"/>
  <sheetViews>
    <sheetView showGridLines="0" workbookViewId="0">
      <selection activeCell="B8" sqref="B8"/>
    </sheetView>
  </sheetViews>
  <sheetFormatPr defaultRowHeight="16.5" x14ac:dyDescent="0.3"/>
  <cols>
    <col min="1" max="1" width="11.625" style="169" bestFit="1" customWidth="1"/>
    <col min="2" max="4" width="9" style="169"/>
    <col min="5" max="5" width="10.875" style="169" bestFit="1" customWidth="1"/>
    <col min="6" max="8" width="9" style="169"/>
    <col min="9" max="9" width="11.625" style="169" bestFit="1" customWidth="1"/>
    <col min="10" max="16384" width="9" style="169"/>
  </cols>
  <sheetData>
    <row r="1" spans="1:5" x14ac:dyDescent="0.3">
      <c r="A1" s="447">
        <v>1</v>
      </c>
      <c r="B1" s="40"/>
      <c r="C1" s="40"/>
      <c r="D1" s="40"/>
      <c r="E1" s="40"/>
    </row>
    <row r="2" spans="1:5" x14ac:dyDescent="0.3">
      <c r="A2" s="447">
        <v>1</v>
      </c>
    </row>
    <row r="3" spans="1:5" x14ac:dyDescent="0.3">
      <c r="A3" s="447"/>
    </row>
    <row r="4" spans="1:5" x14ac:dyDescent="0.3">
      <c r="A4" s="447"/>
    </row>
  </sheetData>
  <sheetProtection algorithmName="SHA-512" hashValue="4B3dnAa1/5l8ZLRlG32Sx74Pi8qNbRy2RtevcKSscWmgpfG2HsuDyQTdgDKnnrROrjL9cKZr8ZVVxpcXQHyxNQ==" saltValue="/bN63KABR9k9ycAniNLL0Q==" spinCount="100000" sheet="1" scenarios="1" formatCells="0" formatColumns="0" formatRows="0" insertColumns="0" insertRows="0" deleteColumns="0" delete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4:B76"/>
  <sheetViews>
    <sheetView showGridLines="0" zoomScaleNormal="100" workbookViewId="0">
      <selection activeCell="H16" sqref="H16"/>
    </sheetView>
  </sheetViews>
  <sheetFormatPr defaultRowHeight="16.5" x14ac:dyDescent="0.3"/>
  <cols>
    <col min="1" max="1" width="11.625" style="170" bestFit="1" customWidth="1"/>
    <col min="2" max="16384" width="9" style="170"/>
  </cols>
  <sheetData>
    <row r="4" spans="1:2" ht="37.5" x14ac:dyDescent="0.3">
      <c r="A4" s="183" t="s">
        <v>5</v>
      </c>
      <c r="B4" s="183" t="s">
        <v>6</v>
      </c>
    </row>
    <row r="5" spans="1:2" ht="17.25" x14ac:dyDescent="0.3">
      <c r="A5" s="252"/>
      <c r="B5" s="192" t="s">
        <v>1073</v>
      </c>
    </row>
    <row r="6" spans="1:2" ht="17.25" x14ac:dyDescent="0.3">
      <c r="A6" s="252"/>
      <c r="B6" s="192" t="s">
        <v>880</v>
      </c>
    </row>
    <row r="7" spans="1:2" ht="17.25" x14ac:dyDescent="0.3">
      <c r="A7" s="252"/>
      <c r="B7" s="192" t="s">
        <v>1074</v>
      </c>
    </row>
    <row r="8" spans="1:2" ht="17.25" x14ac:dyDescent="0.3">
      <c r="A8" s="252"/>
      <c r="B8" s="192" t="s">
        <v>1075</v>
      </c>
    </row>
    <row r="9" spans="1:2" ht="17.25" x14ac:dyDescent="0.3">
      <c r="A9" s="252"/>
      <c r="B9" s="193" t="s">
        <v>1076</v>
      </c>
    </row>
    <row r="10" spans="1:2" x14ac:dyDescent="0.3">
      <c r="A10" s="252"/>
      <c r="B10" s="252"/>
    </row>
    <row r="11" spans="1:2" ht="37.5" x14ac:dyDescent="0.3">
      <c r="A11" s="183" t="s">
        <v>12</v>
      </c>
      <c r="B11" s="183" t="s">
        <v>13</v>
      </c>
    </row>
    <row r="12" spans="1:2" x14ac:dyDescent="0.3">
      <c r="A12" s="184" t="s">
        <v>14</v>
      </c>
      <c r="B12" s="170" t="s">
        <v>1258</v>
      </c>
    </row>
    <row r="13" spans="1:2" x14ac:dyDescent="0.3">
      <c r="A13" s="184" t="s">
        <v>15</v>
      </c>
      <c r="B13" s="170" t="s">
        <v>1259</v>
      </c>
    </row>
    <row r="14" spans="1:2" ht="17.25" x14ac:dyDescent="0.3">
      <c r="A14" s="252"/>
      <c r="B14" s="181" t="s">
        <v>7</v>
      </c>
    </row>
    <row r="15" spans="1:2" ht="17.25" x14ac:dyDescent="0.3">
      <c r="A15" s="252"/>
      <c r="B15" s="181" t="s">
        <v>8</v>
      </c>
    </row>
    <row r="16" spans="1:2" ht="17.25" x14ac:dyDescent="0.3">
      <c r="A16" s="252"/>
      <c r="B16" s="181" t="s">
        <v>9</v>
      </c>
    </row>
    <row r="17" spans="1:2" ht="17.25" x14ac:dyDescent="0.3">
      <c r="A17" s="252"/>
      <c r="B17" s="181" t="s">
        <v>10</v>
      </c>
    </row>
    <row r="18" spans="1:2" ht="17.25" x14ac:dyDescent="0.3">
      <c r="A18" s="252"/>
      <c r="B18" s="182" t="s">
        <v>11</v>
      </c>
    </row>
    <row r="19" spans="1:2" x14ac:dyDescent="0.3">
      <c r="A19" s="252"/>
      <c r="B19" s="252"/>
    </row>
    <row r="20" spans="1:2" x14ac:dyDescent="0.3">
      <c r="A20" s="252"/>
      <c r="B20" s="252"/>
    </row>
    <row r="21" spans="1:2" x14ac:dyDescent="0.3">
      <c r="A21" s="252"/>
      <c r="B21" s="252"/>
    </row>
    <row r="22" spans="1:2" x14ac:dyDescent="0.3">
      <c r="A22" s="252"/>
      <c r="B22" s="252"/>
    </row>
    <row r="23" spans="1:2" x14ac:dyDescent="0.3">
      <c r="A23" s="252"/>
      <c r="B23" s="252"/>
    </row>
    <row r="24" spans="1:2" x14ac:dyDescent="0.3">
      <c r="A24" s="253"/>
      <c r="B24" s="252"/>
    </row>
    <row r="25" spans="1:2" x14ac:dyDescent="0.3">
      <c r="A25" s="254"/>
      <c r="B25" s="252"/>
    </row>
    <row r="26" spans="1:2" x14ac:dyDescent="0.3">
      <c r="A26" s="253"/>
      <c r="B26" s="252"/>
    </row>
    <row r="27" spans="1:2" x14ac:dyDescent="0.3">
      <c r="A27" s="254"/>
      <c r="B27" s="252"/>
    </row>
    <row r="28" spans="1:2" x14ac:dyDescent="0.3">
      <c r="A28" s="254"/>
      <c r="B28" s="252"/>
    </row>
    <row r="29" spans="1:2" x14ac:dyDescent="0.3">
      <c r="A29" s="254"/>
      <c r="B29" s="252"/>
    </row>
    <row r="30" spans="1:2" x14ac:dyDescent="0.3">
      <c r="A30" s="254"/>
      <c r="B30" s="252"/>
    </row>
    <row r="31" spans="1:2" x14ac:dyDescent="0.3">
      <c r="A31" s="253"/>
      <c r="B31" s="252"/>
    </row>
    <row r="32" spans="1:2" x14ac:dyDescent="0.3">
      <c r="A32" s="254"/>
      <c r="B32" s="252"/>
    </row>
    <row r="33" spans="1:2" x14ac:dyDescent="0.3">
      <c r="A33" s="254"/>
      <c r="B33" s="252"/>
    </row>
    <row r="34" spans="1:2" x14ac:dyDescent="0.3">
      <c r="A34" s="254"/>
      <c r="B34" s="252"/>
    </row>
    <row r="35" spans="1:2" x14ac:dyDescent="0.3">
      <c r="A35" s="254"/>
      <c r="B35" s="252"/>
    </row>
    <row r="36" spans="1:2" x14ac:dyDescent="0.3">
      <c r="A36" s="253"/>
      <c r="B36" s="252"/>
    </row>
    <row r="37" spans="1:2" x14ac:dyDescent="0.3">
      <c r="A37" s="255"/>
      <c r="B37" s="252"/>
    </row>
    <row r="38" spans="1:2" x14ac:dyDescent="0.3">
      <c r="A38" s="256"/>
      <c r="B38" s="252"/>
    </row>
    <row r="39" spans="1:2" x14ac:dyDescent="0.3">
      <c r="A39" s="255"/>
      <c r="B39" s="252"/>
    </row>
    <row r="40" spans="1:2" x14ac:dyDescent="0.3">
      <c r="A40" s="256"/>
      <c r="B40" s="252"/>
    </row>
    <row r="41" spans="1:2" x14ac:dyDescent="0.3">
      <c r="A41" s="255"/>
      <c r="B41" s="252"/>
    </row>
    <row r="42" spans="1:2" x14ac:dyDescent="0.3">
      <c r="A42" s="256"/>
      <c r="B42" s="252"/>
    </row>
    <row r="43" spans="1:2" x14ac:dyDescent="0.3">
      <c r="A43" s="255"/>
      <c r="B43" s="252"/>
    </row>
    <row r="44" spans="1:2" x14ac:dyDescent="0.3">
      <c r="A44" s="256"/>
      <c r="B44" s="252"/>
    </row>
    <row r="45" spans="1:2" x14ac:dyDescent="0.3">
      <c r="A45" s="255"/>
      <c r="B45" s="252"/>
    </row>
    <row r="46" spans="1:2" x14ac:dyDescent="0.3">
      <c r="A46" s="256"/>
      <c r="B46" s="252"/>
    </row>
    <row r="47" spans="1:2" x14ac:dyDescent="0.3">
      <c r="A47" s="254"/>
      <c r="B47" s="252"/>
    </row>
    <row r="48" spans="1:2" x14ac:dyDescent="0.3">
      <c r="A48" s="254"/>
      <c r="B48" s="252"/>
    </row>
    <row r="49" spans="1:2" x14ac:dyDescent="0.3">
      <c r="A49" s="254"/>
      <c r="B49" s="252"/>
    </row>
    <row r="50" spans="1:2" x14ac:dyDescent="0.3">
      <c r="A50" s="253"/>
      <c r="B50" s="252"/>
    </row>
    <row r="51" spans="1:2" x14ac:dyDescent="0.3">
      <c r="A51" s="254"/>
      <c r="B51" s="252"/>
    </row>
    <row r="52" spans="1:2" x14ac:dyDescent="0.3">
      <c r="A52" s="254"/>
      <c r="B52" s="252"/>
    </row>
    <row r="53" spans="1:2" x14ac:dyDescent="0.3">
      <c r="A53" s="254"/>
      <c r="B53" s="252"/>
    </row>
    <row r="54" spans="1:2" x14ac:dyDescent="0.3">
      <c r="A54" s="254"/>
      <c r="B54" s="252"/>
    </row>
    <row r="55" spans="1:2" x14ac:dyDescent="0.3">
      <c r="A55" s="253"/>
      <c r="B55" s="252"/>
    </row>
    <row r="56" spans="1:2" x14ac:dyDescent="0.3">
      <c r="A56" s="255"/>
      <c r="B56" s="252"/>
    </row>
    <row r="57" spans="1:2" x14ac:dyDescent="0.3">
      <c r="A57" s="255"/>
      <c r="B57" s="252"/>
    </row>
    <row r="58" spans="1:2" x14ac:dyDescent="0.3">
      <c r="A58" s="255"/>
      <c r="B58" s="252"/>
    </row>
    <row r="59" spans="1:2" x14ac:dyDescent="0.3">
      <c r="A59" s="255"/>
      <c r="B59" s="252"/>
    </row>
    <row r="60" spans="1:2" x14ac:dyDescent="0.3">
      <c r="A60" s="254"/>
      <c r="B60" s="252"/>
    </row>
    <row r="61" spans="1:2" x14ac:dyDescent="0.3">
      <c r="A61" s="254"/>
      <c r="B61" s="252"/>
    </row>
    <row r="62" spans="1:2" x14ac:dyDescent="0.3">
      <c r="A62" s="254"/>
      <c r="B62" s="252"/>
    </row>
    <row r="63" spans="1:2" x14ac:dyDescent="0.3">
      <c r="A63" s="253"/>
      <c r="B63" s="252"/>
    </row>
    <row r="64" spans="1:2" x14ac:dyDescent="0.3">
      <c r="A64" s="254"/>
      <c r="B64" s="252"/>
    </row>
    <row r="65" spans="1:2" x14ac:dyDescent="0.3">
      <c r="A65" s="254"/>
      <c r="B65" s="252"/>
    </row>
    <row r="66" spans="1:2" x14ac:dyDescent="0.3">
      <c r="A66" s="254"/>
      <c r="B66" s="252"/>
    </row>
    <row r="67" spans="1:2" x14ac:dyDescent="0.3">
      <c r="A67" s="254"/>
      <c r="B67" s="252"/>
    </row>
    <row r="68" spans="1:2" x14ac:dyDescent="0.3">
      <c r="A68" s="253"/>
      <c r="B68" s="252"/>
    </row>
    <row r="69" spans="1:2" x14ac:dyDescent="0.3">
      <c r="A69" s="255"/>
      <c r="B69" s="252"/>
    </row>
    <row r="70" spans="1:2" x14ac:dyDescent="0.3">
      <c r="A70" s="255"/>
      <c r="B70" s="252"/>
    </row>
    <row r="71" spans="1:2" x14ac:dyDescent="0.3">
      <c r="A71" s="255"/>
      <c r="B71" s="252"/>
    </row>
    <row r="72" spans="1:2" x14ac:dyDescent="0.3">
      <c r="A72" s="255"/>
      <c r="B72" s="252"/>
    </row>
    <row r="73" spans="1:2" x14ac:dyDescent="0.3">
      <c r="A73" s="255"/>
      <c r="B73" s="252"/>
    </row>
    <row r="74" spans="1:2" x14ac:dyDescent="0.3">
      <c r="A74" s="255"/>
      <c r="B74" s="252"/>
    </row>
    <row r="75" spans="1:2" x14ac:dyDescent="0.3">
      <c r="A75" s="254"/>
      <c r="B75" s="252"/>
    </row>
    <row r="76" spans="1:2" x14ac:dyDescent="0.3">
      <c r="A76" s="253"/>
      <c r="B76" s="25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ADF5-92BA-4892-9D93-5D6539C38BEB}">
  <sheetPr codeName="Sheet1">
    <outlinePr summaryBelow="0" summaryRight="0"/>
  </sheetPr>
  <dimension ref="A1:H59"/>
  <sheetViews>
    <sheetView showGridLines="0" zoomScaleNormal="100" workbookViewId="0">
      <selection activeCell="B1" sqref="B1"/>
    </sheetView>
  </sheetViews>
  <sheetFormatPr defaultRowHeight="18" customHeight="1" outlineLevelRow="1" x14ac:dyDescent="0.3"/>
  <cols>
    <col min="1" max="1" width="10.625" style="40" customWidth="1"/>
    <col min="2" max="2" width="68" style="40" customWidth="1"/>
    <col min="3" max="3" width="7" style="114" customWidth="1"/>
    <col min="7" max="16384" width="9" style="40"/>
  </cols>
  <sheetData>
    <row r="1" spans="1:8" s="509" customFormat="1" ht="37.5" customHeight="1" x14ac:dyDescent="0.7">
      <c r="A1" s="113"/>
      <c r="B1" s="113" t="s">
        <v>1257</v>
      </c>
      <c r="C1" s="507"/>
      <c r="D1" s="508"/>
      <c r="E1" s="508"/>
      <c r="F1" s="508"/>
    </row>
    <row r="2" spans="1:8" ht="18" customHeight="1" x14ac:dyDescent="0.3">
      <c r="A2" s="195"/>
      <c r="C2" s="194"/>
    </row>
    <row r="3" spans="1:8" ht="37.5" customHeight="1" x14ac:dyDescent="0.3">
      <c r="A3" s="322">
        <v>1</v>
      </c>
      <c r="B3" s="113" t="s">
        <v>1099</v>
      </c>
      <c r="C3" s="113" t="s">
        <v>1100</v>
      </c>
      <c r="H3" s="113" t="s">
        <v>1101</v>
      </c>
    </row>
    <row r="4" spans="1:8" ht="18" customHeight="1" x14ac:dyDescent="0.3">
      <c r="A4" s="322" t="s">
        <v>1068</v>
      </c>
      <c r="B4" s="194"/>
      <c r="C4" s="194"/>
    </row>
    <row r="5" spans="1:8" ht="18" customHeight="1" outlineLevel="1" x14ac:dyDescent="0.3">
      <c r="A5" s="322" t="s">
        <v>1069</v>
      </c>
      <c r="B5" s="194"/>
      <c r="C5" s="194"/>
    </row>
    <row r="6" spans="1:8" ht="18" customHeight="1" outlineLevel="1" x14ac:dyDescent="0.3">
      <c r="A6" s="322" t="s">
        <v>1070</v>
      </c>
      <c r="B6" s="194"/>
      <c r="C6" s="194"/>
    </row>
    <row r="7" spans="1:8" ht="18" customHeight="1" outlineLevel="1" x14ac:dyDescent="0.3">
      <c r="A7" s="322" t="s">
        <v>1071</v>
      </c>
      <c r="B7" s="194"/>
      <c r="C7" s="194"/>
    </row>
    <row r="8" spans="1:8" ht="18" customHeight="1" outlineLevel="1" x14ac:dyDescent="0.3">
      <c r="A8" s="322" t="s">
        <v>1072</v>
      </c>
      <c r="B8" s="194"/>
      <c r="C8" s="194"/>
    </row>
    <row r="9" spans="1:8" ht="18" customHeight="1" outlineLevel="1" x14ac:dyDescent="0.3">
      <c r="B9" s="194"/>
      <c r="C9" s="194"/>
    </row>
    <row r="10" spans="1:8" ht="18" customHeight="1" outlineLevel="1" x14ac:dyDescent="0.3">
      <c r="B10" s="194"/>
      <c r="C10" s="194"/>
    </row>
    <row r="11" spans="1:8" ht="18" customHeight="1" outlineLevel="1" x14ac:dyDescent="0.3">
      <c r="B11" s="194"/>
      <c r="C11" s="194"/>
    </row>
    <row r="12" spans="1:8" ht="18" customHeight="1" x14ac:dyDescent="0.3">
      <c r="B12" s="194"/>
      <c r="C12" s="194"/>
    </row>
    <row r="13" spans="1:8" ht="18" customHeight="1" outlineLevel="1" x14ac:dyDescent="0.3">
      <c r="B13" s="194"/>
      <c r="C13" s="194"/>
    </row>
    <row r="14" spans="1:8" ht="18" customHeight="1" outlineLevel="1" x14ac:dyDescent="0.3">
      <c r="B14" s="194"/>
      <c r="C14" s="194"/>
    </row>
    <row r="15" spans="1:8" ht="18" customHeight="1" outlineLevel="1" x14ac:dyDescent="0.3">
      <c r="B15" s="194"/>
      <c r="C15" s="194"/>
    </row>
    <row r="16" spans="1:8" ht="18" customHeight="1" outlineLevel="1" x14ac:dyDescent="0.3">
      <c r="B16" s="194"/>
      <c r="C16" s="194"/>
    </row>
    <row r="17" spans="2:3" ht="18" customHeight="1" outlineLevel="1" x14ac:dyDescent="0.3">
      <c r="B17" s="194"/>
      <c r="C17" s="194"/>
    </row>
    <row r="18" spans="2:3" ht="18" customHeight="1" outlineLevel="1" x14ac:dyDescent="0.3">
      <c r="B18" s="194"/>
      <c r="C18" s="194"/>
    </row>
    <row r="19" spans="2:3" ht="18" customHeight="1" outlineLevel="1" x14ac:dyDescent="0.3">
      <c r="B19" s="194"/>
      <c r="C19" s="194"/>
    </row>
    <row r="20" spans="2:3" ht="18" customHeight="1" outlineLevel="1" x14ac:dyDescent="0.3">
      <c r="B20" s="194"/>
      <c r="C20" s="194"/>
    </row>
    <row r="21" spans="2:3" ht="18" customHeight="1" outlineLevel="1" x14ac:dyDescent="0.3">
      <c r="B21" s="194"/>
      <c r="C21" s="194"/>
    </row>
    <row r="22" spans="2:3" ht="18" customHeight="1" outlineLevel="1" x14ac:dyDescent="0.3">
      <c r="B22" s="194"/>
      <c r="C22" s="194"/>
    </row>
    <row r="23" spans="2:3" ht="18" customHeight="1" outlineLevel="1" x14ac:dyDescent="0.3">
      <c r="B23" s="194"/>
      <c r="C23" s="194"/>
    </row>
    <row r="24" spans="2:3" ht="18" customHeight="1" outlineLevel="1" x14ac:dyDescent="0.3">
      <c r="B24" s="194"/>
      <c r="C24" s="194"/>
    </row>
    <row r="25" spans="2:3" ht="18" customHeight="1" outlineLevel="1" x14ac:dyDescent="0.3">
      <c r="B25" s="194"/>
      <c r="C25" s="194"/>
    </row>
    <row r="26" spans="2:3" ht="18" customHeight="1" outlineLevel="1" x14ac:dyDescent="0.3">
      <c r="B26" s="194"/>
      <c r="C26" s="194"/>
    </row>
    <row r="27" spans="2:3" ht="18" customHeight="1" outlineLevel="1" x14ac:dyDescent="0.3">
      <c r="B27" s="194"/>
      <c r="C27" s="194"/>
    </row>
    <row r="28" spans="2:3" ht="18" customHeight="1" x14ac:dyDescent="0.3">
      <c r="B28" s="194"/>
      <c r="C28" s="194"/>
    </row>
    <row r="29" spans="2:3" ht="18" customHeight="1" outlineLevel="1" x14ac:dyDescent="0.3">
      <c r="B29" s="194"/>
      <c r="C29" s="194"/>
    </row>
    <row r="30" spans="2:3" ht="18" customHeight="1" outlineLevel="1" x14ac:dyDescent="0.3">
      <c r="B30" s="194"/>
      <c r="C30" s="194"/>
    </row>
    <row r="31" spans="2:3" ht="18" customHeight="1" outlineLevel="1" x14ac:dyDescent="0.3">
      <c r="B31" s="194"/>
      <c r="C31" s="194"/>
    </row>
    <row r="32" spans="2:3" ht="18" customHeight="1" outlineLevel="1" x14ac:dyDescent="0.3">
      <c r="B32" s="194"/>
      <c r="C32" s="194"/>
    </row>
    <row r="33" spans="2:3" ht="18" customHeight="1" outlineLevel="1" x14ac:dyDescent="0.3">
      <c r="B33" s="194"/>
      <c r="C33" s="194"/>
    </row>
    <row r="34" spans="2:3" ht="18" customHeight="1" outlineLevel="1" x14ac:dyDescent="0.3">
      <c r="B34" s="194"/>
      <c r="C34" s="194"/>
    </row>
    <row r="35" spans="2:3" ht="18" customHeight="1" outlineLevel="1" x14ac:dyDescent="0.3">
      <c r="B35" s="194"/>
      <c r="C35" s="194"/>
    </row>
    <row r="36" spans="2:3" ht="18" customHeight="1" outlineLevel="1" x14ac:dyDescent="0.3">
      <c r="B36" s="194"/>
      <c r="C36" s="194"/>
    </row>
    <row r="37" spans="2:3" ht="18" customHeight="1" x14ac:dyDescent="0.3">
      <c r="B37" s="194"/>
      <c r="C37" s="194"/>
    </row>
    <row r="38" spans="2:3" ht="18" customHeight="1" outlineLevel="1" x14ac:dyDescent="0.3">
      <c r="B38" s="194"/>
      <c r="C38" s="194"/>
    </row>
    <row r="39" spans="2:3" ht="18" customHeight="1" outlineLevel="1" x14ac:dyDescent="0.3">
      <c r="B39" s="194"/>
      <c r="C39" s="194"/>
    </row>
    <row r="40" spans="2:3" ht="18" customHeight="1" outlineLevel="1" x14ac:dyDescent="0.3">
      <c r="B40" s="194"/>
      <c r="C40" s="194"/>
    </row>
    <row r="41" spans="2:3" ht="18" customHeight="1" outlineLevel="1" x14ac:dyDescent="0.3">
      <c r="B41" s="194"/>
      <c r="C41" s="194"/>
    </row>
    <row r="42" spans="2:3" ht="18" customHeight="1" outlineLevel="1" x14ac:dyDescent="0.3">
      <c r="B42" s="194"/>
      <c r="C42" s="194"/>
    </row>
    <row r="43" spans="2:3" ht="18" customHeight="1" outlineLevel="1" x14ac:dyDescent="0.3">
      <c r="B43" s="194"/>
      <c r="C43" s="194"/>
    </row>
    <row r="44" spans="2:3" ht="18" customHeight="1" outlineLevel="1" x14ac:dyDescent="0.3">
      <c r="B44" s="194"/>
      <c r="C44" s="194"/>
    </row>
    <row r="45" spans="2:3" ht="18" customHeight="1" outlineLevel="1" x14ac:dyDescent="0.3">
      <c r="B45" s="194"/>
      <c r="C45" s="194"/>
    </row>
    <row r="46" spans="2:3" ht="18" customHeight="1" outlineLevel="1" x14ac:dyDescent="0.3">
      <c r="B46" s="194"/>
      <c r="C46" s="194"/>
    </row>
    <row r="47" spans="2:3" ht="18" customHeight="1" outlineLevel="1" x14ac:dyDescent="0.3">
      <c r="B47" s="194"/>
      <c r="C47" s="194"/>
    </row>
    <row r="48" spans="2:3" ht="18" customHeight="1" outlineLevel="1" x14ac:dyDescent="0.3">
      <c r="B48" s="194"/>
      <c r="C48" s="194"/>
    </row>
    <row r="49" spans="2:3" ht="18" customHeight="1" outlineLevel="1" x14ac:dyDescent="0.3">
      <c r="B49" s="194"/>
      <c r="C49" s="194"/>
    </row>
    <row r="50" spans="2:3" ht="18" customHeight="1" outlineLevel="1" x14ac:dyDescent="0.3">
      <c r="B50" s="194"/>
      <c r="C50" s="194"/>
    </row>
    <row r="51" spans="2:3" ht="18" customHeight="1" x14ac:dyDescent="0.3">
      <c r="B51" s="114"/>
    </row>
    <row r="52" spans="2:3" ht="18" customHeight="1" x14ac:dyDescent="0.3">
      <c r="B52" s="114"/>
    </row>
    <row r="53" spans="2:3" ht="18" customHeight="1" x14ac:dyDescent="0.3">
      <c r="B53" s="114"/>
    </row>
    <row r="54" spans="2:3" ht="18" customHeight="1" x14ac:dyDescent="0.3">
      <c r="B54" s="114"/>
    </row>
    <row r="55" spans="2:3" ht="18" customHeight="1" x14ac:dyDescent="0.3">
      <c r="B55" s="114"/>
    </row>
    <row r="56" spans="2:3" ht="18" customHeight="1" x14ac:dyDescent="0.3">
      <c r="B56" s="114"/>
    </row>
    <row r="57" spans="2:3" ht="18" customHeight="1" x14ac:dyDescent="0.3">
      <c r="B57" s="114"/>
    </row>
    <row r="58" spans="2:3" ht="18" customHeight="1" x14ac:dyDescent="0.3">
      <c r="B58" s="114"/>
    </row>
    <row r="59" spans="2:3" ht="18" customHeight="1" x14ac:dyDescent="0.3">
      <c r="B59" s="114"/>
    </row>
  </sheetData>
  <sheetProtection formatCells="0" formatColumns="0" formatRows="0" insertColumns="0" insertRows="0" insertHyperlinks="0" deleteColumns="0" deleteRows="0" sort="0" autoFilter="0" pivotTables="0"/>
  <dataValidations count="2">
    <dataValidation type="list" allowBlank="1" showInputMessage="1" showErrorMessage="1" sqref="B1" xr:uid="{94EFA292-3FDB-48EC-B1E5-BD1D68F2C0A7}">
      <formula1>"Quan tri tong the, Quan ly Ban hang, Quan ly Luu kho, Quan ly Chi phi, Quan ly Giao dich, Quan ly hoat dong tai chinh &amp; khac"</formula1>
    </dataValidation>
    <dataValidation type="list" allowBlank="1" showInputMessage="1" showErrorMessage="1" sqref="A2" xr:uid="{34511242-EEBD-46BC-9E1A-8121D62876F6}">
      <formula1>"Update"</formula1>
    </dataValidation>
  </dataValidations>
  <hyperlinks>
    <hyperlink ref="H3" r:id="rId1" xr:uid="{55E74764-AF1D-443F-90F7-A5BD52C7C12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1" r:id="rId5" name="Drop Down 5">
              <controlPr defaultSize="0" autoLine="0" autoPict="0" macro="[0]!ThemeSelector">
                <anchor moveWithCells="1">
                  <from>
                    <xdr:col>7</xdr:col>
                    <xdr:colOff>57150</xdr:colOff>
                    <xdr:row>6</xdr:row>
                    <xdr:rowOff>133350</xdr:rowOff>
                  </from>
                  <to>
                    <xdr:col>9</xdr:col>
                    <xdr:colOff>447675</xdr:colOff>
                    <xdr:row>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9C30-5EA3-45EA-A527-C6194A5D96A4}">
  <sheetPr codeName="Sheet45">
    <outlinePr summaryBelow="0" summaryRight="0"/>
  </sheetPr>
  <dimension ref="A2:BL227"/>
  <sheetViews>
    <sheetView showGridLines="0" workbookViewId="0">
      <selection activeCell="E18" sqref="E18"/>
    </sheetView>
  </sheetViews>
  <sheetFormatPr defaultRowHeight="16.5" outlineLevelCol="1" x14ac:dyDescent="0.3"/>
  <cols>
    <col min="1" max="1" width="9" collapsed="1"/>
    <col min="2" max="3" width="9" style="40" hidden="1" customWidth="1" outlineLevel="1"/>
    <col min="4" max="4" width="9" style="40"/>
    <col min="5" max="5" width="8" style="112" bestFit="1" customWidth="1"/>
    <col min="8" max="8" width="13" style="44" bestFit="1" customWidth="1" collapsed="1"/>
    <col min="9" max="9" width="8.875" style="44" hidden="1" customWidth="1" outlineLevel="1"/>
    <col min="10" max="10" width="12.375" style="44" hidden="1" customWidth="1" outlineLevel="1"/>
    <col min="11" max="11" width="12.875" style="44" hidden="1" customWidth="1" outlineLevel="1"/>
    <col min="12" max="12" width="19.625" style="44" hidden="1" customWidth="1" outlineLevel="1"/>
    <col min="13" max="13" width="20.25" style="44" hidden="1" customWidth="1" outlineLevel="1"/>
    <col min="14" max="14" width="17.25" style="44" hidden="1" customWidth="1" outlineLevel="1"/>
    <col min="15" max="15" width="9.875" style="44" hidden="1" customWidth="1" outlineLevel="1"/>
    <col min="16" max="16" width="8.875" style="44" hidden="1" customWidth="1" outlineLevel="1"/>
    <col min="17" max="17" width="9" collapsed="1"/>
    <col min="19" max="19" width="13" style="44" bestFit="1" customWidth="1" collapsed="1"/>
    <col min="20" max="20" width="12.375" style="44" hidden="1" customWidth="1" outlineLevel="1"/>
    <col min="21" max="21" width="19.625" style="44" hidden="1" customWidth="1" outlineLevel="1"/>
    <col min="22" max="22" width="12.875" style="44" hidden="1" customWidth="1" outlineLevel="1"/>
    <col min="23" max="23" width="9.875" style="44" hidden="1" customWidth="1" outlineLevel="1"/>
    <col min="24" max="24" width="11.75" style="44" hidden="1" customWidth="1" outlineLevel="1"/>
    <col min="25" max="25" width="6.75" style="44" hidden="1" customWidth="1" outlineLevel="1"/>
    <col min="26" max="26" width="10.375" style="44" hidden="1" customWidth="1" outlineLevel="1"/>
    <col min="27" max="27" width="8.875" style="44" hidden="1" customWidth="1" outlineLevel="1"/>
    <col min="28" max="28" width="9" collapsed="1"/>
    <col min="29" max="29" width="13" style="91" bestFit="1" customWidth="1" collapsed="1"/>
    <col min="30" max="30" width="10.875" style="91" hidden="1" customWidth="1" outlineLevel="1"/>
    <col min="31" max="31" width="12.375" style="91" hidden="1" customWidth="1" outlineLevel="1"/>
    <col min="32" max="32" width="17.25" style="91" hidden="1" customWidth="1" outlineLevel="1"/>
    <col min="33" max="33" width="9.125" style="91" hidden="1" customWidth="1" outlineLevel="1"/>
    <col min="34" max="34" width="9.875" style="91" hidden="1" customWidth="1" outlineLevel="1"/>
    <col min="35" max="35" width="27.125" style="91" hidden="1" customWidth="1" outlineLevel="1"/>
    <col min="37" max="37" width="13" bestFit="1" customWidth="1" collapsed="1"/>
    <col min="38" max="38" width="9.25" hidden="1" customWidth="1" outlineLevel="1"/>
    <col min="39" max="39" width="12.125" hidden="1" customWidth="1" outlineLevel="1"/>
    <col min="40" max="40" width="7.5" hidden="1" customWidth="1" outlineLevel="1"/>
    <col min="41" max="41" width="20.75" hidden="1" customWidth="1" outlineLevel="1"/>
    <col min="42" max="42" width="24.375" hidden="1" customWidth="1" outlineLevel="1"/>
    <col min="43" max="43" width="15.75" hidden="1" customWidth="1" outlineLevel="1"/>
    <col min="45" max="45" width="13" style="7" bestFit="1" customWidth="1" collapsed="1"/>
    <col min="46" max="46" width="9.25" style="7" hidden="1" customWidth="1" outlineLevel="1"/>
    <col min="47" max="47" width="12.25" style="7" hidden="1" customWidth="1" outlineLevel="1"/>
    <col min="48" max="48" width="12.375" style="7" hidden="1" customWidth="1" outlineLevel="1"/>
    <col min="49" max="49" width="8.5" style="7" hidden="1" customWidth="1" outlineLevel="1"/>
    <col min="50" max="50" width="11.375" style="7" hidden="1" customWidth="1" outlineLevel="1"/>
    <col min="51" max="51" width="10" style="7" hidden="1" customWidth="1" outlineLevel="1"/>
    <col min="52" max="52" width="9.75" style="7" hidden="1" customWidth="1" outlineLevel="1"/>
    <col min="53" max="53" width="17.25" style="7" hidden="1" customWidth="1" outlineLevel="1"/>
    <col min="54" max="54" width="13.5" style="7" hidden="1" customWidth="1" outlineLevel="1"/>
    <col min="55" max="55" width="10.25" style="7" hidden="1" customWidth="1" outlineLevel="1"/>
    <col min="56" max="56" width="9.875" style="7" hidden="1" customWidth="1" outlineLevel="1"/>
    <col min="57" max="57" width="9.625" style="7" hidden="1" customWidth="1" outlineLevel="1"/>
    <col min="58" max="58" width="10.875" style="7" hidden="1" customWidth="1" outlineLevel="1"/>
    <col min="61" max="64" width="9" style="7"/>
  </cols>
  <sheetData>
    <row r="2" spans="2:63" x14ac:dyDescent="0.3">
      <c r="C2" s="121">
        <f>MIN(Table_Datafeed[Kỳ])</f>
        <v>44927</v>
      </c>
      <c r="E2" s="156">
        <f>MIN(E6:E1048576)</f>
        <v>45292</v>
      </c>
      <c r="H2" s="121">
        <f>DATE(YEAR(MIN(H6:H1048576)),MONTH(MIN(H6:H1048576)),1)</f>
        <v>45292</v>
      </c>
      <c r="S2" s="121">
        <f>DATE(YEAR(MIN(S6:S1048576)),MONTH(MIN(S6:S1048576)),1)</f>
        <v>45231</v>
      </c>
      <c r="AC2" s="96">
        <f>MIN(AC6:AC1048576)</f>
        <v>45296</v>
      </c>
      <c r="AK2" t="s">
        <v>19</v>
      </c>
      <c r="AS2" s="14">
        <f>MIN(AS6:AS1048576)</f>
        <v>45296</v>
      </c>
      <c r="BI2" s="7" t="s">
        <v>0</v>
      </c>
      <c r="BK2" s="7" t="s">
        <v>3</v>
      </c>
    </row>
    <row r="3" spans="2:63" x14ac:dyDescent="0.3">
      <c r="C3" s="121">
        <f>DATE(
YEAR(MAX(Table_Datafeed[Kỳ])),
MONTH(MAX(Table_Datafeed[Kỳ]))+1,
1)-1</f>
        <v>44957</v>
      </c>
      <c r="E3" s="156">
        <f>MAX(E6:E1048576)</f>
        <v>45536</v>
      </c>
      <c r="H3" s="121">
        <f>DATE(YEAR(MAX(H6:H1048576)),MONTH(MAX(H6:H1048576))+1,1)-1</f>
        <v>45657</v>
      </c>
      <c r="I3" s="121" t="str" cm="1">
        <f t="array" ref="I3">IF(
IFERROR(ROWS(
_xlfn.UNIQUE(_xlfn._xlws.FILTER(I6:I1048576,
NOT(ISBLANK(I6:I1048576))
))),0)=1,I6,"")</f>
        <v/>
      </c>
      <c r="K3" s="121" t="str" cm="1">
        <f t="array" ref="K3">IF(
IFERROR(ROWS(
_xlfn.UNIQUE(_xlfn._xlws.FILTER(K6:K1048576,
NOT(ISBLANK(K6:K1048576))
))),0)=1,K6,"")</f>
        <v/>
      </c>
      <c r="L3" s="121" t="str" cm="1">
        <f t="array" ref="L3">IF(
IFERROR(ROWS(
_xlfn.UNIQUE(_xlfn._xlws.FILTER(L6:L1048576,
NOT(ISBLANK(L6:L1048576))
))),0)=1,L6,"")</f>
        <v/>
      </c>
      <c r="M3" s="196"/>
      <c r="S3" s="121">
        <f>DATE(YEAR(MAX(S6:S1048576)),MONTH(MAX(S6:S1048576))+1,1)-1</f>
        <v>45412</v>
      </c>
      <c r="X3" s="196"/>
      <c r="AC3" s="96">
        <f>MAX(AC6:AC1048576)</f>
        <v>45529</v>
      </c>
      <c r="AK3" t="s">
        <v>20</v>
      </c>
      <c r="AS3" s="14">
        <f>MAX(AS6:AS1048576)</f>
        <v>45651</v>
      </c>
      <c r="BI3" s="14">
        <v>44927</v>
      </c>
      <c r="BK3" s="472">
        <v>44927</v>
      </c>
    </row>
    <row r="4" spans="2:63" x14ac:dyDescent="0.3">
      <c r="BI4" s="14">
        <v>44928</v>
      </c>
    </row>
    <row r="5" spans="2:63" x14ac:dyDescent="0.3">
      <c r="B5" s="91" t="s">
        <v>21</v>
      </c>
      <c r="C5" s="91" t="s">
        <v>22</v>
      </c>
      <c r="E5" s="464" t="s">
        <v>3</v>
      </c>
      <c r="H5" s="38" t="s">
        <v>23</v>
      </c>
      <c r="I5" s="38" t="s">
        <v>24</v>
      </c>
      <c r="J5" s="38" t="s">
        <v>25</v>
      </c>
      <c r="K5" s="38" t="s">
        <v>26</v>
      </c>
      <c r="L5" s="38" t="s">
        <v>27</v>
      </c>
      <c r="M5" s="38" t="s">
        <v>28</v>
      </c>
      <c r="N5" s="38" t="s">
        <v>898</v>
      </c>
      <c r="O5" s="38" t="s">
        <v>29</v>
      </c>
      <c r="P5" s="38" t="s">
        <v>30</v>
      </c>
      <c r="S5" s="38" t="s">
        <v>23</v>
      </c>
      <c r="T5" s="38" t="s">
        <v>25</v>
      </c>
      <c r="U5" s="38" t="s">
        <v>27</v>
      </c>
      <c r="V5" s="38" t="s">
        <v>26</v>
      </c>
      <c r="W5" s="38" t="s">
        <v>29</v>
      </c>
      <c r="X5" s="38" t="s">
        <v>31</v>
      </c>
      <c r="Y5" s="38" t="s">
        <v>32</v>
      </c>
      <c r="Z5" s="38" t="s">
        <v>33</v>
      </c>
      <c r="AA5" s="38" t="s">
        <v>30</v>
      </c>
      <c r="AC5" t="s">
        <v>23</v>
      </c>
      <c r="AD5" t="s">
        <v>34</v>
      </c>
      <c r="AE5" t="s">
        <v>25</v>
      </c>
      <c r="AF5" t="s">
        <v>898</v>
      </c>
      <c r="AG5" t="s">
        <v>35</v>
      </c>
      <c r="AH5" t="s">
        <v>29</v>
      </c>
      <c r="AI5" t="s">
        <v>36</v>
      </c>
      <c r="AK5" s="97" t="s">
        <v>23</v>
      </c>
      <c r="AL5" s="97" t="s">
        <v>1</v>
      </c>
      <c r="AM5" s="97" t="s">
        <v>37</v>
      </c>
      <c r="AN5" s="97" t="s">
        <v>38</v>
      </c>
      <c r="AO5" t="s">
        <v>39</v>
      </c>
      <c r="AP5" t="s">
        <v>40</v>
      </c>
      <c r="AQ5" t="s">
        <v>41</v>
      </c>
      <c r="AS5" t="s">
        <v>23</v>
      </c>
      <c r="AT5" t="s">
        <v>38</v>
      </c>
      <c r="AU5" t="s">
        <v>37</v>
      </c>
      <c r="AV5" t="s">
        <v>25</v>
      </c>
      <c r="AW5" t="s">
        <v>42</v>
      </c>
      <c r="AX5" t="s">
        <v>43</v>
      </c>
      <c r="AY5" t="s">
        <v>44</v>
      </c>
      <c r="AZ5" t="s">
        <v>45</v>
      </c>
      <c r="BA5" t="s">
        <v>898</v>
      </c>
      <c r="BB5" t="s">
        <v>46</v>
      </c>
      <c r="BC5" t="s">
        <v>47</v>
      </c>
      <c r="BD5" t="s">
        <v>48</v>
      </c>
      <c r="BE5" t="s">
        <v>49</v>
      </c>
      <c r="BF5" t="s">
        <v>50</v>
      </c>
      <c r="BI5" s="14">
        <v>44929</v>
      </c>
    </row>
    <row r="6" spans="2:63" x14ac:dyDescent="0.3">
      <c r="B6" s="91">
        <v>-999999999999</v>
      </c>
      <c r="C6" s="91" t="s">
        <v>51</v>
      </c>
      <c r="E6" s="465">
        <v>45292</v>
      </c>
      <c r="H6" s="463">
        <v>45296</v>
      </c>
      <c r="I6" s="38" t="s">
        <v>940</v>
      </c>
      <c r="J6" s="38" t="s">
        <v>1006</v>
      </c>
      <c r="K6" s="38" t="s">
        <v>997</v>
      </c>
      <c r="L6" s="38" t="s">
        <v>959</v>
      </c>
      <c r="M6" s="38">
        <v>12</v>
      </c>
      <c r="N6" s="38">
        <v>107600000</v>
      </c>
      <c r="O6" s="38" t="s">
        <v>29</v>
      </c>
      <c r="P6" s="38">
        <v>150</v>
      </c>
      <c r="S6" s="466">
        <v>45235</v>
      </c>
      <c r="T6" s="467" t="s">
        <v>1006</v>
      </c>
      <c r="U6" s="467" t="s">
        <v>953</v>
      </c>
      <c r="V6" s="467" t="s">
        <v>997</v>
      </c>
      <c r="W6" s="467" t="s">
        <v>29</v>
      </c>
      <c r="X6" s="467" t="s">
        <v>52</v>
      </c>
      <c r="Y6" s="467" t="s">
        <v>53</v>
      </c>
      <c r="Z6" s="38">
        <v>27170000</v>
      </c>
      <c r="AA6" s="38">
        <v>143</v>
      </c>
      <c r="AC6" s="462">
        <v>45296</v>
      </c>
      <c r="AD6" t="s">
        <v>949</v>
      </c>
      <c r="AE6" t="s">
        <v>1006</v>
      </c>
      <c r="AF6">
        <v>107600000</v>
      </c>
      <c r="AG6" t="s">
        <v>54</v>
      </c>
      <c r="AH6" t="s">
        <v>29</v>
      </c>
      <c r="AI6">
        <v>30000000</v>
      </c>
      <c r="AK6" s="98">
        <v>2024</v>
      </c>
      <c r="AL6" s="98" t="s">
        <v>55</v>
      </c>
      <c r="AM6" s="98" t="s">
        <v>55</v>
      </c>
      <c r="AN6" s="98" t="s">
        <v>56</v>
      </c>
      <c r="AO6">
        <v>1000000000</v>
      </c>
      <c r="AP6">
        <v>799600000</v>
      </c>
      <c r="AQ6">
        <v>0.79959999999999998</v>
      </c>
      <c r="AS6" s="461">
        <v>45296</v>
      </c>
      <c r="AT6" s="98" t="s">
        <v>949</v>
      </c>
      <c r="AU6" s="98" t="s">
        <v>54</v>
      </c>
      <c r="AV6" s="98" t="s">
        <v>1006</v>
      </c>
      <c r="AW6" s="98" t="s">
        <v>940</v>
      </c>
      <c r="AX6" s="98">
        <v>12</v>
      </c>
      <c r="AY6" s="98" t="s">
        <v>55</v>
      </c>
      <c r="AZ6" s="98">
        <v>0</v>
      </c>
      <c r="BA6" s="98">
        <v>107600000</v>
      </c>
      <c r="BB6" s="98" t="s">
        <v>29</v>
      </c>
      <c r="BC6" s="98" t="s">
        <v>52</v>
      </c>
      <c r="BD6" s="98" t="s">
        <v>55</v>
      </c>
      <c r="BE6" s="98" t="s">
        <v>1008</v>
      </c>
      <c r="BF6">
        <v>30000000</v>
      </c>
      <c r="BI6" s="14">
        <v>44930</v>
      </c>
    </row>
    <row r="7" spans="2:63" x14ac:dyDescent="0.3">
      <c r="B7" s="91">
        <v>-999999999</v>
      </c>
      <c r="C7" s="91" t="s">
        <v>57</v>
      </c>
      <c r="E7" s="465">
        <v>45323</v>
      </c>
      <c r="H7" s="463">
        <v>45296</v>
      </c>
      <c r="I7" s="38" t="s">
        <v>940</v>
      </c>
      <c r="J7" s="38"/>
      <c r="K7" s="38"/>
      <c r="L7" s="38"/>
      <c r="M7" s="38"/>
      <c r="N7" s="38"/>
      <c r="O7" s="38" t="s">
        <v>58</v>
      </c>
      <c r="P7" s="38">
        <v>112</v>
      </c>
      <c r="S7" s="466">
        <v>45235</v>
      </c>
      <c r="T7" s="38"/>
      <c r="U7" s="38"/>
      <c r="V7" s="38"/>
      <c r="W7" s="467" t="s">
        <v>58</v>
      </c>
      <c r="X7" s="467" t="s">
        <v>59</v>
      </c>
      <c r="Y7" s="467" t="s">
        <v>53</v>
      </c>
      <c r="Z7" s="38">
        <v>30780000</v>
      </c>
      <c r="AA7" s="38">
        <v>108</v>
      </c>
      <c r="AC7" s="462">
        <v>45296</v>
      </c>
      <c r="AD7" t="s">
        <v>949</v>
      </c>
      <c r="AE7" t="s">
        <v>1006</v>
      </c>
      <c r="AF7"/>
      <c r="AG7" t="s">
        <v>54</v>
      </c>
      <c r="AH7" t="s">
        <v>58</v>
      </c>
      <c r="AI7">
        <v>33600000</v>
      </c>
      <c r="AK7" s="98">
        <v>2024</v>
      </c>
      <c r="AL7" s="98" t="s">
        <v>55</v>
      </c>
      <c r="AM7" s="98" t="s">
        <v>55</v>
      </c>
      <c r="AN7" s="98" t="s">
        <v>60</v>
      </c>
      <c r="AO7">
        <v>1000000000</v>
      </c>
      <c r="AP7">
        <v>696200000</v>
      </c>
      <c r="AQ7">
        <v>0.69620000000000004</v>
      </c>
      <c r="AS7" s="461">
        <v>45296</v>
      </c>
      <c r="AT7" s="98" t="s">
        <v>949</v>
      </c>
      <c r="AU7" s="98" t="s">
        <v>54</v>
      </c>
      <c r="AV7" s="98" t="s">
        <v>1006</v>
      </c>
      <c r="AW7" s="98" t="s">
        <v>940</v>
      </c>
      <c r="AX7" s="98">
        <v>12</v>
      </c>
      <c r="AY7" s="98" t="s">
        <v>55</v>
      </c>
      <c r="AZ7"/>
      <c r="BA7"/>
      <c r="BB7" s="98" t="s">
        <v>58</v>
      </c>
      <c r="BC7" s="98" t="s">
        <v>59</v>
      </c>
      <c r="BD7" s="98" t="s">
        <v>55</v>
      </c>
      <c r="BE7" s="98" t="s">
        <v>1008</v>
      </c>
      <c r="BF7">
        <v>33600000</v>
      </c>
      <c r="BI7" s="14">
        <v>44931</v>
      </c>
    </row>
    <row r="8" spans="2:63" x14ac:dyDescent="0.3">
      <c r="B8" s="91">
        <v>-999999</v>
      </c>
      <c r="C8" s="91" t="s">
        <v>61</v>
      </c>
      <c r="E8" s="465">
        <v>45352</v>
      </c>
      <c r="H8" s="463">
        <v>45296</v>
      </c>
      <c r="I8" s="38" t="s">
        <v>940</v>
      </c>
      <c r="J8" s="38"/>
      <c r="K8" s="38"/>
      <c r="L8" s="38"/>
      <c r="M8" s="38"/>
      <c r="N8" s="38"/>
      <c r="O8" s="38" t="s">
        <v>62</v>
      </c>
      <c r="P8" s="38">
        <v>88</v>
      </c>
      <c r="S8" s="466">
        <v>45235</v>
      </c>
      <c r="T8" s="38"/>
      <c r="U8" s="38"/>
      <c r="V8" s="38"/>
      <c r="W8" s="467" t="s">
        <v>62</v>
      </c>
      <c r="X8" s="467" t="s">
        <v>63</v>
      </c>
      <c r="Y8" s="467" t="s">
        <v>53</v>
      </c>
      <c r="Z8" s="38">
        <v>39425000</v>
      </c>
      <c r="AA8" s="38">
        <v>83</v>
      </c>
      <c r="AC8" s="462">
        <v>45296</v>
      </c>
      <c r="AD8" t="s">
        <v>949</v>
      </c>
      <c r="AE8" t="s">
        <v>1006</v>
      </c>
      <c r="AF8"/>
      <c r="AG8" t="s">
        <v>54</v>
      </c>
      <c r="AH8" t="s">
        <v>62</v>
      </c>
      <c r="AI8">
        <v>44000000</v>
      </c>
      <c r="AK8" s="98">
        <v>2024</v>
      </c>
      <c r="AL8" s="98" t="s">
        <v>55</v>
      </c>
      <c r="AM8" s="98" t="s">
        <v>54</v>
      </c>
      <c r="AN8" s="98" t="s">
        <v>55</v>
      </c>
      <c r="AO8">
        <v>3600000000</v>
      </c>
      <c r="AP8">
        <v>3361400000</v>
      </c>
      <c r="AQ8">
        <v>0.93372222222222223</v>
      </c>
      <c r="AS8" s="461">
        <v>45296</v>
      </c>
      <c r="AT8" s="98" t="s">
        <v>949</v>
      </c>
      <c r="AU8" s="98" t="s">
        <v>54</v>
      </c>
      <c r="AV8" s="98" t="s">
        <v>1006</v>
      </c>
      <c r="AW8" s="98" t="s">
        <v>940</v>
      </c>
      <c r="AX8" s="98">
        <v>12</v>
      </c>
      <c r="AY8" s="98" t="s">
        <v>55</v>
      </c>
      <c r="AZ8"/>
      <c r="BA8"/>
      <c r="BB8" s="98" t="s">
        <v>62</v>
      </c>
      <c r="BC8" s="98" t="s">
        <v>63</v>
      </c>
      <c r="BD8" s="98" t="s">
        <v>55</v>
      </c>
      <c r="BE8" s="98" t="s">
        <v>1008</v>
      </c>
      <c r="BF8">
        <v>44000000</v>
      </c>
      <c r="BI8" s="14">
        <v>44932</v>
      </c>
    </row>
    <row r="9" spans="2:63" x14ac:dyDescent="0.3">
      <c r="B9" s="91">
        <v>-999</v>
      </c>
      <c r="C9" s="91" t="s">
        <v>64</v>
      </c>
      <c r="E9" s="465">
        <v>45383</v>
      </c>
      <c r="H9" s="463">
        <v>45306</v>
      </c>
      <c r="I9" s="38" t="s">
        <v>943</v>
      </c>
      <c r="J9" s="38" t="s">
        <v>1006</v>
      </c>
      <c r="K9" s="38" t="s">
        <v>1000</v>
      </c>
      <c r="L9" s="38" t="s">
        <v>960</v>
      </c>
      <c r="M9" s="38">
        <v>4</v>
      </c>
      <c r="N9" s="38">
        <v>109500000</v>
      </c>
      <c r="O9" s="38" t="s">
        <v>29</v>
      </c>
      <c r="P9" s="38">
        <v>152</v>
      </c>
      <c r="S9" s="466">
        <v>45245</v>
      </c>
      <c r="T9" s="467" t="s">
        <v>1005</v>
      </c>
      <c r="U9" s="467" t="s">
        <v>954</v>
      </c>
      <c r="V9" s="467" t="s">
        <v>999</v>
      </c>
      <c r="W9" s="467" t="s">
        <v>29</v>
      </c>
      <c r="X9" s="467" t="s">
        <v>52</v>
      </c>
      <c r="Y9" s="467" t="s">
        <v>53</v>
      </c>
      <c r="Z9" s="38">
        <v>26980000</v>
      </c>
      <c r="AA9" s="38">
        <v>142</v>
      </c>
      <c r="AC9" s="462">
        <v>45306</v>
      </c>
      <c r="AD9" t="s">
        <v>56</v>
      </c>
      <c r="AE9" t="s">
        <v>1006</v>
      </c>
      <c r="AF9">
        <v>109500000</v>
      </c>
      <c r="AG9" t="s">
        <v>54</v>
      </c>
      <c r="AH9" t="s">
        <v>29</v>
      </c>
      <c r="AI9">
        <v>30400000</v>
      </c>
      <c r="AK9" s="98">
        <v>2024</v>
      </c>
      <c r="AL9" s="98" t="s">
        <v>55</v>
      </c>
      <c r="AM9" s="98" t="s">
        <v>65</v>
      </c>
      <c r="AN9" s="98" t="s">
        <v>55</v>
      </c>
      <c r="AO9">
        <v>1800000000</v>
      </c>
      <c r="AP9">
        <v>1501100000</v>
      </c>
      <c r="AQ9">
        <v>0.83394444444444449</v>
      </c>
      <c r="AS9" s="461">
        <v>45306</v>
      </c>
      <c r="AT9" s="98" t="s">
        <v>56</v>
      </c>
      <c r="AU9" s="98" t="s">
        <v>54</v>
      </c>
      <c r="AV9" s="98" t="s">
        <v>1006</v>
      </c>
      <c r="AW9" s="98" t="s">
        <v>943</v>
      </c>
      <c r="AX9" s="98">
        <v>4</v>
      </c>
      <c r="AY9" s="98" t="s">
        <v>55</v>
      </c>
      <c r="AZ9" s="98">
        <v>0</v>
      </c>
      <c r="BA9" s="98">
        <v>109500000</v>
      </c>
      <c r="BB9" s="98" t="s">
        <v>29</v>
      </c>
      <c r="BC9" s="98" t="s">
        <v>52</v>
      </c>
      <c r="BD9" s="98" t="s">
        <v>55</v>
      </c>
      <c r="BE9" s="98" t="s">
        <v>1008</v>
      </c>
      <c r="BF9">
        <v>30400000</v>
      </c>
      <c r="BI9" s="14">
        <v>44933</v>
      </c>
    </row>
    <row r="10" spans="2:63" x14ac:dyDescent="0.3">
      <c r="B10" s="91">
        <v>1000</v>
      </c>
      <c r="C10" s="91" t="s">
        <v>61</v>
      </c>
      <c r="E10" s="465">
        <v>45413</v>
      </c>
      <c r="H10" s="463">
        <v>45306</v>
      </c>
      <c r="I10" s="38" t="s">
        <v>943</v>
      </c>
      <c r="J10" s="38"/>
      <c r="K10" s="38"/>
      <c r="L10" s="38"/>
      <c r="M10" s="38"/>
      <c r="N10" s="38"/>
      <c r="O10" s="38" t="s">
        <v>58</v>
      </c>
      <c r="P10" s="38">
        <v>112</v>
      </c>
      <c r="S10" s="466">
        <v>45245</v>
      </c>
      <c r="T10" s="38"/>
      <c r="U10" s="38"/>
      <c r="V10" s="38"/>
      <c r="W10" s="467" t="s">
        <v>58</v>
      </c>
      <c r="X10" s="467" t="s">
        <v>59</v>
      </c>
      <c r="Y10" s="467" t="s">
        <v>53</v>
      </c>
      <c r="Z10" s="38">
        <v>31065000</v>
      </c>
      <c r="AA10" s="38">
        <v>109</v>
      </c>
      <c r="AC10" s="462">
        <v>45306</v>
      </c>
      <c r="AD10" t="s">
        <v>56</v>
      </c>
      <c r="AE10" t="s">
        <v>1006</v>
      </c>
      <c r="AF10"/>
      <c r="AG10" t="s">
        <v>54</v>
      </c>
      <c r="AH10" t="s">
        <v>58</v>
      </c>
      <c r="AI10">
        <v>33600000</v>
      </c>
      <c r="AK10" s="98">
        <v>2024</v>
      </c>
      <c r="AL10" s="98">
        <v>1</v>
      </c>
      <c r="AM10" s="98" t="s">
        <v>55</v>
      </c>
      <c r="AN10" s="98" t="s">
        <v>56</v>
      </c>
      <c r="AO10">
        <v>150000000</v>
      </c>
      <c r="AP10">
        <v>109500000</v>
      </c>
      <c r="AQ10">
        <v>0.73</v>
      </c>
      <c r="AS10" s="461">
        <v>45306</v>
      </c>
      <c r="AT10" s="98" t="s">
        <v>56</v>
      </c>
      <c r="AU10" s="98" t="s">
        <v>54</v>
      </c>
      <c r="AV10" s="98" t="s">
        <v>1006</v>
      </c>
      <c r="AW10" s="98" t="s">
        <v>943</v>
      </c>
      <c r="AX10" s="98">
        <v>4</v>
      </c>
      <c r="AY10" s="98" t="s">
        <v>55</v>
      </c>
      <c r="AZ10"/>
      <c r="BA10"/>
      <c r="BB10" s="98" t="s">
        <v>58</v>
      </c>
      <c r="BC10" s="98" t="s">
        <v>59</v>
      </c>
      <c r="BD10" s="98" t="s">
        <v>55</v>
      </c>
      <c r="BE10" s="98" t="s">
        <v>1008</v>
      </c>
      <c r="BF10">
        <v>33600000</v>
      </c>
      <c r="BI10" s="14">
        <v>44934</v>
      </c>
    </row>
    <row r="11" spans="2:63" x14ac:dyDescent="0.3">
      <c r="B11" s="91">
        <v>1000000</v>
      </c>
      <c r="C11" s="91" t="s">
        <v>57</v>
      </c>
      <c r="E11" s="465">
        <v>45444</v>
      </c>
      <c r="H11" s="463">
        <v>45306</v>
      </c>
      <c r="I11" s="38" t="s">
        <v>943</v>
      </c>
      <c r="J11" s="38"/>
      <c r="K11" s="38"/>
      <c r="L11" s="38"/>
      <c r="M11" s="38"/>
      <c r="N11" s="38"/>
      <c r="O11" s="38" t="s">
        <v>62</v>
      </c>
      <c r="P11" s="38">
        <v>91</v>
      </c>
      <c r="S11" s="466">
        <v>45245</v>
      </c>
      <c r="T11" s="38"/>
      <c r="U11" s="38"/>
      <c r="V11" s="38"/>
      <c r="W11" s="467" t="s">
        <v>62</v>
      </c>
      <c r="X11" s="467" t="s">
        <v>63</v>
      </c>
      <c r="Y11" s="467" t="s">
        <v>53</v>
      </c>
      <c r="Z11" s="38">
        <v>40375000</v>
      </c>
      <c r="AA11" s="38">
        <v>85</v>
      </c>
      <c r="AC11" s="462">
        <v>45306</v>
      </c>
      <c r="AD11" t="s">
        <v>56</v>
      </c>
      <c r="AE11" t="s">
        <v>1006</v>
      </c>
      <c r="AF11"/>
      <c r="AG11" t="s">
        <v>54</v>
      </c>
      <c r="AH11" t="s">
        <v>62</v>
      </c>
      <c r="AI11">
        <v>45500000</v>
      </c>
      <c r="AK11" s="98">
        <v>2024</v>
      </c>
      <c r="AL11" s="98">
        <v>1</v>
      </c>
      <c r="AM11" s="98" t="s">
        <v>55</v>
      </c>
      <c r="AN11" s="98" t="s">
        <v>60</v>
      </c>
      <c r="AO11">
        <v>150000000</v>
      </c>
      <c r="AP11">
        <v>0</v>
      </c>
      <c r="AQ11">
        <v>0</v>
      </c>
      <c r="AS11" s="461">
        <v>45306</v>
      </c>
      <c r="AT11" s="98" t="s">
        <v>56</v>
      </c>
      <c r="AU11" s="98" t="s">
        <v>54</v>
      </c>
      <c r="AV11" s="98" t="s">
        <v>1006</v>
      </c>
      <c r="AW11" s="98" t="s">
        <v>943</v>
      </c>
      <c r="AX11" s="98">
        <v>4</v>
      </c>
      <c r="AY11" s="98" t="s">
        <v>55</v>
      </c>
      <c r="AZ11"/>
      <c r="BA11"/>
      <c r="BB11" s="98" t="s">
        <v>62</v>
      </c>
      <c r="BC11" s="98" t="s">
        <v>63</v>
      </c>
      <c r="BD11" s="98" t="s">
        <v>55</v>
      </c>
      <c r="BE11" s="98" t="s">
        <v>1008</v>
      </c>
      <c r="BF11">
        <v>45500000</v>
      </c>
      <c r="BI11" s="14">
        <v>44935</v>
      </c>
    </row>
    <row r="12" spans="2:63" x14ac:dyDescent="0.3">
      <c r="B12" s="91">
        <v>1000000000</v>
      </c>
      <c r="C12" s="91" t="s">
        <v>51</v>
      </c>
      <c r="E12" s="465">
        <v>45474</v>
      </c>
      <c r="H12" s="463">
        <v>45316</v>
      </c>
      <c r="I12" s="38" t="s">
        <v>942</v>
      </c>
      <c r="J12" s="38" t="s">
        <v>1005</v>
      </c>
      <c r="K12" s="38" t="s">
        <v>999</v>
      </c>
      <c r="L12" s="38" t="s">
        <v>961</v>
      </c>
      <c r="M12" s="38">
        <v>5</v>
      </c>
      <c r="N12" s="38">
        <v>113600000</v>
      </c>
      <c r="O12" s="38" t="s">
        <v>29</v>
      </c>
      <c r="P12" s="38">
        <v>157</v>
      </c>
      <c r="S12" s="466">
        <v>45255</v>
      </c>
      <c r="T12" s="467" t="s">
        <v>1006</v>
      </c>
      <c r="U12" s="467" t="s">
        <v>955</v>
      </c>
      <c r="V12" s="467" t="s">
        <v>997</v>
      </c>
      <c r="W12" s="467" t="s">
        <v>29</v>
      </c>
      <c r="X12" s="467" t="s">
        <v>52</v>
      </c>
      <c r="Y12" s="467" t="s">
        <v>53</v>
      </c>
      <c r="Z12" s="38">
        <v>26790000</v>
      </c>
      <c r="AA12" s="38">
        <v>141</v>
      </c>
      <c r="AC12" s="462">
        <v>45316</v>
      </c>
      <c r="AD12" t="s">
        <v>950</v>
      </c>
      <c r="AE12" t="s">
        <v>1005</v>
      </c>
      <c r="AF12">
        <v>113600000</v>
      </c>
      <c r="AG12" t="s">
        <v>65</v>
      </c>
      <c r="AH12" t="s">
        <v>29</v>
      </c>
      <c r="AI12">
        <v>31400000</v>
      </c>
      <c r="AK12" s="98">
        <v>2024</v>
      </c>
      <c r="AL12" s="98">
        <v>1</v>
      </c>
      <c r="AM12" s="98" t="s">
        <v>54</v>
      </c>
      <c r="AN12" s="98" t="s">
        <v>55</v>
      </c>
      <c r="AO12">
        <v>300000000</v>
      </c>
      <c r="AP12">
        <v>217100000</v>
      </c>
      <c r="AQ12">
        <v>0.72366666666666668</v>
      </c>
      <c r="AS12" s="461">
        <v>45316</v>
      </c>
      <c r="AT12" s="98" t="s">
        <v>950</v>
      </c>
      <c r="AU12" s="98" t="s">
        <v>65</v>
      </c>
      <c r="AV12" s="98" t="s">
        <v>1005</v>
      </c>
      <c r="AW12" s="98" t="s">
        <v>942</v>
      </c>
      <c r="AX12" s="98">
        <v>5</v>
      </c>
      <c r="AY12" s="98" t="s">
        <v>55</v>
      </c>
      <c r="AZ12" s="98">
        <v>0</v>
      </c>
      <c r="BA12" s="98">
        <v>113600000</v>
      </c>
      <c r="BB12" s="98" t="s">
        <v>29</v>
      </c>
      <c r="BC12" s="98" t="s">
        <v>52</v>
      </c>
      <c r="BD12" s="98" t="s">
        <v>55</v>
      </c>
      <c r="BE12" s="98" t="s">
        <v>1008</v>
      </c>
      <c r="BF12">
        <v>31400000</v>
      </c>
      <c r="BI12" s="14">
        <v>44936</v>
      </c>
    </row>
    <row r="13" spans="2:63" x14ac:dyDescent="0.3">
      <c r="E13" s="465">
        <v>45505</v>
      </c>
      <c r="H13" s="463">
        <v>45316</v>
      </c>
      <c r="I13" s="38" t="s">
        <v>942</v>
      </c>
      <c r="J13" s="38"/>
      <c r="K13" s="38"/>
      <c r="L13" s="38"/>
      <c r="M13" s="38"/>
      <c r="N13" s="38"/>
      <c r="O13" s="38" t="s">
        <v>58</v>
      </c>
      <c r="P13" s="38">
        <v>114</v>
      </c>
      <c r="S13" s="466">
        <v>45255</v>
      </c>
      <c r="T13" s="38"/>
      <c r="U13" s="38"/>
      <c r="V13" s="38"/>
      <c r="W13" s="467" t="s">
        <v>58</v>
      </c>
      <c r="X13" s="467" t="s">
        <v>59</v>
      </c>
      <c r="Y13" s="467" t="s">
        <v>53</v>
      </c>
      <c r="Z13" s="38">
        <v>30495000</v>
      </c>
      <c r="AA13" s="38">
        <v>107</v>
      </c>
      <c r="AC13" s="462">
        <v>45316</v>
      </c>
      <c r="AD13" t="s">
        <v>950</v>
      </c>
      <c r="AE13" t="s">
        <v>1005</v>
      </c>
      <c r="AF13"/>
      <c r="AG13" t="s">
        <v>65</v>
      </c>
      <c r="AH13" t="s">
        <v>58</v>
      </c>
      <c r="AI13">
        <v>34200000</v>
      </c>
      <c r="AK13" s="98">
        <v>2024</v>
      </c>
      <c r="AL13" s="98">
        <v>1</v>
      </c>
      <c r="AM13" s="98" t="s">
        <v>65</v>
      </c>
      <c r="AN13" s="98" t="s">
        <v>55</v>
      </c>
      <c r="AO13">
        <v>150000000</v>
      </c>
      <c r="AP13">
        <v>113600000</v>
      </c>
      <c r="AQ13">
        <v>0.7573333333333333</v>
      </c>
      <c r="AS13" s="461">
        <v>45316</v>
      </c>
      <c r="AT13" s="98" t="s">
        <v>950</v>
      </c>
      <c r="AU13" s="98" t="s">
        <v>65</v>
      </c>
      <c r="AV13" s="98" t="s">
        <v>1005</v>
      </c>
      <c r="AW13" s="98" t="s">
        <v>942</v>
      </c>
      <c r="AX13" s="98">
        <v>5</v>
      </c>
      <c r="AY13" s="98" t="s">
        <v>55</v>
      </c>
      <c r="AZ13"/>
      <c r="BA13"/>
      <c r="BB13" s="98" t="s">
        <v>58</v>
      </c>
      <c r="BC13" s="98" t="s">
        <v>59</v>
      </c>
      <c r="BD13" s="98" t="s">
        <v>55</v>
      </c>
      <c r="BE13" s="98" t="s">
        <v>1008</v>
      </c>
      <c r="BF13">
        <v>34200000</v>
      </c>
      <c r="BI13" s="14">
        <v>44937</v>
      </c>
    </row>
    <row r="14" spans="2:63" x14ac:dyDescent="0.3">
      <c r="E14" s="465">
        <v>45536</v>
      </c>
      <c r="H14" s="463">
        <v>45316</v>
      </c>
      <c r="I14" s="38" t="s">
        <v>942</v>
      </c>
      <c r="J14" s="38"/>
      <c r="K14" s="38"/>
      <c r="L14" s="38"/>
      <c r="M14" s="38"/>
      <c r="N14" s="38"/>
      <c r="O14" s="38" t="s">
        <v>62</v>
      </c>
      <c r="P14" s="38">
        <v>96</v>
      </c>
      <c r="S14" s="466">
        <v>45255</v>
      </c>
      <c r="T14" s="38"/>
      <c r="U14" s="38"/>
      <c r="V14" s="38"/>
      <c r="W14" s="467" t="s">
        <v>62</v>
      </c>
      <c r="X14" s="467" t="s">
        <v>63</v>
      </c>
      <c r="Y14" s="467" t="s">
        <v>53</v>
      </c>
      <c r="Z14" s="38">
        <v>41325000</v>
      </c>
      <c r="AA14" s="38">
        <v>87</v>
      </c>
      <c r="AC14" s="462">
        <v>45316</v>
      </c>
      <c r="AD14" t="s">
        <v>950</v>
      </c>
      <c r="AE14" t="s">
        <v>1005</v>
      </c>
      <c r="AF14"/>
      <c r="AG14" t="s">
        <v>65</v>
      </c>
      <c r="AH14" t="s">
        <v>62</v>
      </c>
      <c r="AI14">
        <v>48000000</v>
      </c>
      <c r="AK14" s="98">
        <v>2024</v>
      </c>
      <c r="AL14" s="98">
        <v>2</v>
      </c>
      <c r="AM14" s="98" t="s">
        <v>55</v>
      </c>
      <c r="AN14" s="98" t="s">
        <v>56</v>
      </c>
      <c r="AO14">
        <v>150000000</v>
      </c>
      <c r="AP14">
        <v>0</v>
      </c>
      <c r="AQ14">
        <v>0</v>
      </c>
      <c r="AS14" s="461">
        <v>45316</v>
      </c>
      <c r="AT14" s="98" t="s">
        <v>950</v>
      </c>
      <c r="AU14" s="98" t="s">
        <v>65</v>
      </c>
      <c r="AV14" s="98" t="s">
        <v>1005</v>
      </c>
      <c r="AW14" s="98" t="s">
        <v>942</v>
      </c>
      <c r="AX14" s="98">
        <v>5</v>
      </c>
      <c r="AY14" s="98" t="s">
        <v>55</v>
      </c>
      <c r="AZ14"/>
      <c r="BA14"/>
      <c r="BB14" s="98" t="s">
        <v>62</v>
      </c>
      <c r="BC14" s="98" t="s">
        <v>63</v>
      </c>
      <c r="BD14" s="98" t="s">
        <v>55</v>
      </c>
      <c r="BE14" s="98" t="s">
        <v>1008</v>
      </c>
      <c r="BF14">
        <v>48000000</v>
      </c>
      <c r="BI14" s="14">
        <v>44938</v>
      </c>
    </row>
    <row r="15" spans="2:63" x14ac:dyDescent="0.3">
      <c r="E15"/>
      <c r="H15" s="463">
        <v>45327</v>
      </c>
      <c r="I15" s="38" t="s">
        <v>944</v>
      </c>
      <c r="J15" s="38" t="s">
        <v>1005</v>
      </c>
      <c r="K15" s="38" t="s">
        <v>1001</v>
      </c>
      <c r="L15" s="38" t="s">
        <v>962</v>
      </c>
      <c r="M15" s="38">
        <v>1</v>
      </c>
      <c r="N15" s="38">
        <v>114200000</v>
      </c>
      <c r="O15" s="38" t="s">
        <v>29</v>
      </c>
      <c r="P15" s="38">
        <v>159</v>
      </c>
      <c r="S15" s="466">
        <v>45265</v>
      </c>
      <c r="T15" s="467" t="s">
        <v>1006</v>
      </c>
      <c r="U15" s="467" t="s">
        <v>956</v>
      </c>
      <c r="V15" s="467" t="s">
        <v>1000</v>
      </c>
      <c r="W15" s="467" t="s">
        <v>29</v>
      </c>
      <c r="X15" s="467" t="s">
        <v>52</v>
      </c>
      <c r="Y15" s="467" t="s">
        <v>53</v>
      </c>
      <c r="Z15" s="38">
        <v>27930000</v>
      </c>
      <c r="AA15" s="38">
        <v>147</v>
      </c>
      <c r="AC15" s="462">
        <v>45327</v>
      </c>
      <c r="AD15" t="s">
        <v>949</v>
      </c>
      <c r="AE15" t="s">
        <v>1005</v>
      </c>
      <c r="AF15">
        <v>114200000</v>
      </c>
      <c r="AG15" t="s">
        <v>54</v>
      </c>
      <c r="AH15" t="s">
        <v>29</v>
      </c>
      <c r="AI15">
        <v>31800000</v>
      </c>
      <c r="AK15" s="98">
        <v>2024</v>
      </c>
      <c r="AL15" s="98">
        <v>2</v>
      </c>
      <c r="AM15" s="98" t="s">
        <v>55</v>
      </c>
      <c r="AN15" s="98" t="s">
        <v>60</v>
      </c>
      <c r="AO15">
        <v>150000000</v>
      </c>
      <c r="AP15">
        <v>0</v>
      </c>
      <c r="AQ15">
        <v>0</v>
      </c>
      <c r="AS15" s="461">
        <v>45327</v>
      </c>
      <c r="AT15" s="98" t="s">
        <v>949</v>
      </c>
      <c r="AU15" s="98" t="s">
        <v>54</v>
      </c>
      <c r="AV15" s="98" t="s">
        <v>1005</v>
      </c>
      <c r="AW15" s="98" t="s">
        <v>944</v>
      </c>
      <c r="AX15" s="98">
        <v>1</v>
      </c>
      <c r="AY15" s="98" t="s">
        <v>55</v>
      </c>
      <c r="AZ15" s="98">
        <v>0</v>
      </c>
      <c r="BA15" s="98">
        <v>114200000</v>
      </c>
      <c r="BB15" s="98" t="s">
        <v>29</v>
      </c>
      <c r="BC15" s="98" t="s">
        <v>52</v>
      </c>
      <c r="BD15" s="98" t="s">
        <v>55</v>
      </c>
      <c r="BE15" s="98" t="s">
        <v>1008</v>
      </c>
      <c r="BF15">
        <v>31800000</v>
      </c>
      <c r="BI15" s="14">
        <v>44939</v>
      </c>
    </row>
    <row r="16" spans="2:63" x14ac:dyDescent="0.3">
      <c r="E16"/>
      <c r="H16" s="463">
        <v>45327</v>
      </c>
      <c r="I16" s="38" t="s">
        <v>944</v>
      </c>
      <c r="J16" s="38"/>
      <c r="K16" s="38"/>
      <c r="L16" s="38"/>
      <c r="M16" s="38"/>
      <c r="N16" s="38"/>
      <c r="O16" s="38" t="s">
        <v>58</v>
      </c>
      <c r="P16" s="38">
        <v>113</v>
      </c>
      <c r="S16" s="466">
        <v>45265</v>
      </c>
      <c r="T16" s="38"/>
      <c r="U16" s="38"/>
      <c r="V16" s="38"/>
      <c r="W16" s="467" t="s">
        <v>58</v>
      </c>
      <c r="X16" s="467" t="s">
        <v>59</v>
      </c>
      <c r="Y16" s="467" t="s">
        <v>53</v>
      </c>
      <c r="Z16" s="38">
        <v>31065000</v>
      </c>
      <c r="AA16" s="38">
        <v>109</v>
      </c>
      <c r="AC16" s="462">
        <v>45327</v>
      </c>
      <c r="AD16" t="s">
        <v>949</v>
      </c>
      <c r="AE16" t="s">
        <v>1005</v>
      </c>
      <c r="AF16"/>
      <c r="AG16" t="s">
        <v>54</v>
      </c>
      <c r="AH16" t="s">
        <v>58</v>
      </c>
      <c r="AI16">
        <v>33900000</v>
      </c>
      <c r="AK16" s="98">
        <v>2024</v>
      </c>
      <c r="AL16" s="98">
        <v>2</v>
      </c>
      <c r="AM16" s="98" t="s">
        <v>54</v>
      </c>
      <c r="AN16" s="98" t="s">
        <v>55</v>
      </c>
      <c r="AO16">
        <v>300000000</v>
      </c>
      <c r="AP16">
        <v>228100000</v>
      </c>
      <c r="AQ16">
        <v>0.76033333333333331</v>
      </c>
      <c r="AS16" s="461">
        <v>45327</v>
      </c>
      <c r="AT16" s="98" t="s">
        <v>949</v>
      </c>
      <c r="AU16" s="98" t="s">
        <v>54</v>
      </c>
      <c r="AV16" s="98" t="s">
        <v>1005</v>
      </c>
      <c r="AW16" s="98" t="s">
        <v>944</v>
      </c>
      <c r="AX16" s="98">
        <v>1</v>
      </c>
      <c r="AY16" s="98" t="s">
        <v>55</v>
      </c>
      <c r="AZ16"/>
      <c r="BA16"/>
      <c r="BB16" s="98" t="s">
        <v>58</v>
      </c>
      <c r="BC16" s="98" t="s">
        <v>59</v>
      </c>
      <c r="BD16" s="98" t="s">
        <v>55</v>
      </c>
      <c r="BE16" s="98" t="s">
        <v>1008</v>
      </c>
      <c r="BF16">
        <v>33900000</v>
      </c>
      <c r="BI16" s="14">
        <v>44940</v>
      </c>
    </row>
    <row r="17" spans="5:61" x14ac:dyDescent="0.3">
      <c r="E17"/>
      <c r="H17" s="463">
        <v>45327</v>
      </c>
      <c r="I17" s="38" t="s">
        <v>944</v>
      </c>
      <c r="J17" s="38"/>
      <c r="K17" s="38"/>
      <c r="L17" s="38"/>
      <c r="M17" s="38"/>
      <c r="N17" s="38"/>
      <c r="O17" s="38" t="s">
        <v>62</v>
      </c>
      <c r="P17" s="38">
        <v>97</v>
      </c>
      <c r="S17" s="466">
        <v>45265</v>
      </c>
      <c r="T17" s="38"/>
      <c r="U17" s="38"/>
      <c r="V17" s="38"/>
      <c r="W17" s="467" t="s">
        <v>62</v>
      </c>
      <c r="X17" s="467" t="s">
        <v>63</v>
      </c>
      <c r="Y17" s="467" t="s">
        <v>53</v>
      </c>
      <c r="Z17" s="38">
        <v>40850000</v>
      </c>
      <c r="AA17" s="38">
        <v>86</v>
      </c>
      <c r="AC17" s="462">
        <v>45327</v>
      </c>
      <c r="AD17" t="s">
        <v>949</v>
      </c>
      <c r="AE17" t="s">
        <v>1005</v>
      </c>
      <c r="AF17"/>
      <c r="AG17" t="s">
        <v>54</v>
      </c>
      <c r="AH17" t="s">
        <v>62</v>
      </c>
      <c r="AI17">
        <v>48500000</v>
      </c>
      <c r="AK17" s="98">
        <v>2024</v>
      </c>
      <c r="AL17" s="98">
        <v>2</v>
      </c>
      <c r="AM17" s="98" t="s">
        <v>65</v>
      </c>
      <c r="AN17" s="98" t="s">
        <v>55</v>
      </c>
      <c r="AO17">
        <v>150000000</v>
      </c>
      <c r="AP17">
        <v>115800000</v>
      </c>
      <c r="AQ17">
        <v>0.77200000000000002</v>
      </c>
      <c r="AS17" s="461">
        <v>45327</v>
      </c>
      <c r="AT17" s="98" t="s">
        <v>949</v>
      </c>
      <c r="AU17" s="98" t="s">
        <v>54</v>
      </c>
      <c r="AV17" s="98" t="s">
        <v>1005</v>
      </c>
      <c r="AW17" s="98" t="s">
        <v>944</v>
      </c>
      <c r="AX17" s="98">
        <v>1</v>
      </c>
      <c r="AY17" s="98" t="s">
        <v>55</v>
      </c>
      <c r="AZ17"/>
      <c r="BA17"/>
      <c r="BB17" s="98" t="s">
        <v>62</v>
      </c>
      <c r="BC17" s="98" t="s">
        <v>63</v>
      </c>
      <c r="BD17" s="98" t="s">
        <v>55</v>
      </c>
      <c r="BE17" s="98" t="s">
        <v>1008</v>
      </c>
      <c r="BF17">
        <v>48500000</v>
      </c>
      <c r="BI17" s="14">
        <v>44941</v>
      </c>
    </row>
    <row r="18" spans="5:61" x14ac:dyDescent="0.3">
      <c r="E18"/>
      <c r="H18" s="463">
        <v>45337</v>
      </c>
      <c r="I18" s="38" t="s">
        <v>944</v>
      </c>
      <c r="J18" s="38" t="s">
        <v>1005</v>
      </c>
      <c r="K18" s="38" t="s">
        <v>1001</v>
      </c>
      <c r="L18" s="38" t="s">
        <v>963</v>
      </c>
      <c r="M18" s="38">
        <v>2</v>
      </c>
      <c r="N18" s="38">
        <v>115800000</v>
      </c>
      <c r="O18" s="38" t="s">
        <v>29</v>
      </c>
      <c r="P18" s="38">
        <v>165</v>
      </c>
      <c r="S18" s="466">
        <v>45275</v>
      </c>
      <c r="T18" s="467" t="s">
        <v>1006</v>
      </c>
      <c r="U18" s="467" t="s">
        <v>957</v>
      </c>
      <c r="V18" s="467" t="s">
        <v>998</v>
      </c>
      <c r="W18" s="467" t="s">
        <v>29</v>
      </c>
      <c r="X18" s="467" t="s">
        <v>52</v>
      </c>
      <c r="Y18" s="467" t="s">
        <v>53</v>
      </c>
      <c r="Z18" s="38">
        <v>28120000</v>
      </c>
      <c r="AA18" s="38">
        <v>148</v>
      </c>
      <c r="AC18" s="462">
        <v>45337</v>
      </c>
      <c r="AD18" t="s">
        <v>949</v>
      </c>
      <c r="AE18" t="s">
        <v>1005</v>
      </c>
      <c r="AF18">
        <v>115800000</v>
      </c>
      <c r="AG18" t="s">
        <v>65</v>
      </c>
      <c r="AH18" t="s">
        <v>29</v>
      </c>
      <c r="AI18">
        <v>33000000</v>
      </c>
      <c r="AK18" s="98">
        <v>2024</v>
      </c>
      <c r="AL18" s="98">
        <v>3</v>
      </c>
      <c r="AM18" s="98" t="s">
        <v>55</v>
      </c>
      <c r="AN18" s="98" t="s">
        <v>56</v>
      </c>
      <c r="AO18">
        <v>150000000</v>
      </c>
      <c r="AP18">
        <v>113500000</v>
      </c>
      <c r="AQ18">
        <v>0.75666666666666671</v>
      </c>
      <c r="AS18" s="461">
        <v>45337</v>
      </c>
      <c r="AT18" s="98" t="s">
        <v>949</v>
      </c>
      <c r="AU18" s="98" t="s">
        <v>65</v>
      </c>
      <c r="AV18" s="98" t="s">
        <v>1005</v>
      </c>
      <c r="AW18" s="98" t="s">
        <v>944</v>
      </c>
      <c r="AX18" s="98">
        <v>2</v>
      </c>
      <c r="AY18" s="98" t="s">
        <v>55</v>
      </c>
      <c r="AZ18" s="98">
        <v>0</v>
      </c>
      <c r="BA18" s="98">
        <v>115800000</v>
      </c>
      <c r="BB18" s="98" t="s">
        <v>29</v>
      </c>
      <c r="BC18" s="98" t="s">
        <v>52</v>
      </c>
      <c r="BD18" s="98" t="s">
        <v>55</v>
      </c>
      <c r="BE18" s="98" t="s">
        <v>1008</v>
      </c>
      <c r="BF18">
        <v>33000000</v>
      </c>
      <c r="BI18" s="14">
        <v>44942</v>
      </c>
    </row>
    <row r="19" spans="5:61" x14ac:dyDescent="0.3">
      <c r="E19"/>
      <c r="H19" s="463">
        <v>45337</v>
      </c>
      <c r="I19" s="38" t="s">
        <v>944</v>
      </c>
      <c r="J19" s="38"/>
      <c r="K19" s="38"/>
      <c r="L19" s="38"/>
      <c r="M19" s="38"/>
      <c r="N19" s="38"/>
      <c r="O19" s="38" t="s">
        <v>58</v>
      </c>
      <c r="P19" s="38">
        <v>116</v>
      </c>
      <c r="S19" s="466">
        <v>45275</v>
      </c>
      <c r="T19" s="38"/>
      <c r="U19" s="38"/>
      <c r="V19" s="38"/>
      <c r="W19" s="467" t="s">
        <v>58</v>
      </c>
      <c r="X19" s="467" t="s">
        <v>59</v>
      </c>
      <c r="Y19" s="467" t="s">
        <v>53</v>
      </c>
      <c r="Z19" s="38">
        <v>30780000</v>
      </c>
      <c r="AA19" s="38">
        <v>108</v>
      </c>
      <c r="AC19" s="462">
        <v>45337</v>
      </c>
      <c r="AD19" t="s">
        <v>949</v>
      </c>
      <c r="AE19" t="s">
        <v>1005</v>
      </c>
      <c r="AF19"/>
      <c r="AG19" t="s">
        <v>65</v>
      </c>
      <c r="AH19" t="s">
        <v>58</v>
      </c>
      <c r="AI19">
        <v>34800000</v>
      </c>
      <c r="AK19" s="98">
        <v>2024</v>
      </c>
      <c r="AL19" s="98">
        <v>3</v>
      </c>
      <c r="AM19" s="98" t="s">
        <v>55</v>
      </c>
      <c r="AN19" s="98" t="s">
        <v>60</v>
      </c>
      <c r="AO19">
        <v>150000000</v>
      </c>
      <c r="AP19">
        <v>0</v>
      </c>
      <c r="AQ19">
        <v>0</v>
      </c>
      <c r="AS19" s="461">
        <v>45337</v>
      </c>
      <c r="AT19" s="98" t="s">
        <v>949</v>
      </c>
      <c r="AU19" s="98" t="s">
        <v>65</v>
      </c>
      <c r="AV19" s="98" t="s">
        <v>1005</v>
      </c>
      <c r="AW19" s="98" t="s">
        <v>944</v>
      </c>
      <c r="AX19" s="98">
        <v>2</v>
      </c>
      <c r="AY19" s="98" t="s">
        <v>55</v>
      </c>
      <c r="AZ19"/>
      <c r="BA19"/>
      <c r="BB19" s="98" t="s">
        <v>58</v>
      </c>
      <c r="BC19" s="98" t="s">
        <v>59</v>
      </c>
      <c r="BD19" s="98" t="s">
        <v>55</v>
      </c>
      <c r="BE19" s="98" t="s">
        <v>1008</v>
      </c>
      <c r="BF19">
        <v>34800000</v>
      </c>
      <c r="BI19" s="14">
        <v>44943</v>
      </c>
    </row>
    <row r="20" spans="5:61" x14ac:dyDescent="0.3">
      <c r="E20"/>
      <c r="H20" s="463">
        <v>45337</v>
      </c>
      <c r="I20" s="38" t="s">
        <v>944</v>
      </c>
      <c r="J20" s="38"/>
      <c r="K20" s="38"/>
      <c r="L20" s="38"/>
      <c r="M20" s="38"/>
      <c r="N20" s="38"/>
      <c r="O20" s="38" t="s">
        <v>62</v>
      </c>
      <c r="P20" s="38">
        <v>96</v>
      </c>
      <c r="S20" s="466">
        <v>45275</v>
      </c>
      <c r="T20" s="38"/>
      <c r="U20" s="38"/>
      <c r="V20" s="38"/>
      <c r="W20" s="467" t="s">
        <v>62</v>
      </c>
      <c r="X20" s="467" t="s">
        <v>63</v>
      </c>
      <c r="Y20" s="467" t="s">
        <v>53</v>
      </c>
      <c r="Z20" s="38">
        <v>39900000</v>
      </c>
      <c r="AA20" s="38">
        <v>84</v>
      </c>
      <c r="AC20" s="462">
        <v>45337</v>
      </c>
      <c r="AD20" t="s">
        <v>949</v>
      </c>
      <c r="AE20" t="s">
        <v>1005</v>
      </c>
      <c r="AF20"/>
      <c r="AG20" t="s">
        <v>65</v>
      </c>
      <c r="AH20" t="s">
        <v>62</v>
      </c>
      <c r="AI20">
        <v>48000000</v>
      </c>
      <c r="AK20" s="98">
        <v>2024</v>
      </c>
      <c r="AL20" s="98">
        <v>3</v>
      </c>
      <c r="AM20" s="98" t="s">
        <v>54</v>
      </c>
      <c r="AN20" s="98" t="s">
        <v>55</v>
      </c>
      <c r="AO20">
        <v>300000000</v>
      </c>
      <c r="AP20">
        <v>226700000</v>
      </c>
      <c r="AQ20">
        <v>0.75566666666666671</v>
      </c>
      <c r="AS20" s="461">
        <v>45337</v>
      </c>
      <c r="AT20" s="98" t="s">
        <v>949</v>
      </c>
      <c r="AU20" s="98" t="s">
        <v>65</v>
      </c>
      <c r="AV20" s="98" t="s">
        <v>1005</v>
      </c>
      <c r="AW20" s="98" t="s">
        <v>944</v>
      </c>
      <c r="AX20" s="98">
        <v>2</v>
      </c>
      <c r="AY20" s="98" t="s">
        <v>55</v>
      </c>
      <c r="AZ20"/>
      <c r="BA20"/>
      <c r="BB20" s="98" t="s">
        <v>62</v>
      </c>
      <c r="BC20" s="98" t="s">
        <v>63</v>
      </c>
      <c r="BD20" s="98" t="s">
        <v>55</v>
      </c>
      <c r="BE20" s="98" t="s">
        <v>1008</v>
      </c>
      <c r="BF20">
        <v>48000000</v>
      </c>
      <c r="BI20" s="14">
        <v>44944</v>
      </c>
    </row>
    <row r="21" spans="5:61" x14ac:dyDescent="0.3">
      <c r="E21"/>
      <c r="H21" s="463">
        <v>45347</v>
      </c>
      <c r="I21" s="38" t="s">
        <v>945</v>
      </c>
      <c r="J21" s="38" t="s">
        <v>1006</v>
      </c>
      <c r="K21" s="38" t="s">
        <v>1002</v>
      </c>
      <c r="L21" s="38" t="s">
        <v>964</v>
      </c>
      <c r="M21" s="38">
        <v>1</v>
      </c>
      <c r="N21" s="38">
        <v>113900000</v>
      </c>
      <c r="O21" s="38" t="s">
        <v>29</v>
      </c>
      <c r="P21" s="38">
        <v>162</v>
      </c>
      <c r="S21" s="466">
        <v>45285</v>
      </c>
      <c r="T21" s="467" t="s">
        <v>1005</v>
      </c>
      <c r="U21" s="467" t="s">
        <v>958</v>
      </c>
      <c r="V21" s="467" t="s">
        <v>996</v>
      </c>
      <c r="W21" s="467" t="s">
        <v>29</v>
      </c>
      <c r="X21" s="467" t="s">
        <v>52</v>
      </c>
      <c r="Y21" s="467" t="s">
        <v>53</v>
      </c>
      <c r="Z21" s="38">
        <v>28310000</v>
      </c>
      <c r="AA21" s="38">
        <v>149</v>
      </c>
      <c r="AC21" s="462">
        <v>45347</v>
      </c>
      <c r="AD21" t="s">
        <v>952</v>
      </c>
      <c r="AE21" t="s">
        <v>1006</v>
      </c>
      <c r="AF21">
        <v>113900000</v>
      </c>
      <c r="AG21" t="s">
        <v>54</v>
      </c>
      <c r="AH21" t="s">
        <v>29</v>
      </c>
      <c r="AI21">
        <v>32400000</v>
      </c>
      <c r="AK21" s="98">
        <v>2024</v>
      </c>
      <c r="AL21" s="98">
        <v>3</v>
      </c>
      <c r="AM21" s="98" t="s">
        <v>65</v>
      </c>
      <c r="AN21" s="98" t="s">
        <v>55</v>
      </c>
      <c r="AO21">
        <v>150000000</v>
      </c>
      <c r="AP21">
        <v>112200000</v>
      </c>
      <c r="AQ21">
        <v>0.748</v>
      </c>
      <c r="AS21" s="461">
        <v>45347</v>
      </c>
      <c r="AT21" s="98" t="s">
        <v>952</v>
      </c>
      <c r="AU21" s="98" t="s">
        <v>54</v>
      </c>
      <c r="AV21" s="98" t="s">
        <v>1006</v>
      </c>
      <c r="AW21" s="98" t="s">
        <v>945</v>
      </c>
      <c r="AX21" s="98">
        <v>1</v>
      </c>
      <c r="AY21" s="98" t="s">
        <v>55</v>
      </c>
      <c r="AZ21" s="98">
        <v>0</v>
      </c>
      <c r="BA21" s="98">
        <v>113900000</v>
      </c>
      <c r="BB21" s="98" t="s">
        <v>29</v>
      </c>
      <c r="BC21" s="98" t="s">
        <v>52</v>
      </c>
      <c r="BD21" s="98" t="s">
        <v>55</v>
      </c>
      <c r="BE21" s="98" t="s">
        <v>1008</v>
      </c>
      <c r="BF21">
        <v>32400000</v>
      </c>
      <c r="BI21" s="14">
        <v>44945</v>
      </c>
    </row>
    <row r="22" spans="5:61" x14ac:dyDescent="0.3">
      <c r="E22"/>
      <c r="H22" s="463">
        <v>45347</v>
      </c>
      <c r="I22" s="38" t="s">
        <v>945</v>
      </c>
      <c r="J22" s="38"/>
      <c r="K22" s="38"/>
      <c r="L22" s="38"/>
      <c r="M22" s="38"/>
      <c r="N22" s="38"/>
      <c r="O22" s="38" t="s">
        <v>58</v>
      </c>
      <c r="P22" s="38">
        <v>115</v>
      </c>
      <c r="S22" s="466">
        <v>45285</v>
      </c>
      <c r="T22" s="38"/>
      <c r="U22" s="38"/>
      <c r="V22" s="38"/>
      <c r="W22" s="467" t="s">
        <v>58</v>
      </c>
      <c r="X22" s="467" t="s">
        <v>59</v>
      </c>
      <c r="Y22" s="467" t="s">
        <v>53</v>
      </c>
      <c r="Z22" s="38">
        <v>30780000</v>
      </c>
      <c r="AA22" s="38">
        <v>108</v>
      </c>
      <c r="AC22" s="462">
        <v>45347</v>
      </c>
      <c r="AD22" t="s">
        <v>952</v>
      </c>
      <c r="AE22" t="s">
        <v>1006</v>
      </c>
      <c r="AF22"/>
      <c r="AG22" t="s">
        <v>54</v>
      </c>
      <c r="AH22" t="s">
        <v>58</v>
      </c>
      <c r="AI22">
        <v>34500000</v>
      </c>
      <c r="AK22" s="98">
        <v>2024</v>
      </c>
      <c r="AL22" s="98">
        <v>4</v>
      </c>
      <c r="AM22" s="98" t="s">
        <v>55</v>
      </c>
      <c r="AN22" s="98" t="s">
        <v>56</v>
      </c>
      <c r="AO22">
        <v>150000000</v>
      </c>
      <c r="AP22">
        <v>0</v>
      </c>
      <c r="AQ22">
        <v>0</v>
      </c>
      <c r="AS22" s="461">
        <v>45347</v>
      </c>
      <c r="AT22" s="98" t="s">
        <v>952</v>
      </c>
      <c r="AU22" s="98" t="s">
        <v>54</v>
      </c>
      <c r="AV22" s="98" t="s">
        <v>1006</v>
      </c>
      <c r="AW22" s="98" t="s">
        <v>945</v>
      </c>
      <c r="AX22" s="98">
        <v>1</v>
      </c>
      <c r="AY22" s="98" t="s">
        <v>55</v>
      </c>
      <c r="AZ22"/>
      <c r="BA22"/>
      <c r="BB22" s="98" t="s">
        <v>58</v>
      </c>
      <c r="BC22" s="98" t="s">
        <v>59</v>
      </c>
      <c r="BD22" s="98" t="s">
        <v>55</v>
      </c>
      <c r="BE22" s="98" t="s">
        <v>1008</v>
      </c>
      <c r="BF22">
        <v>34500000</v>
      </c>
      <c r="BI22" s="14">
        <v>44946</v>
      </c>
    </row>
    <row r="23" spans="5:61" x14ac:dyDescent="0.3">
      <c r="E23"/>
      <c r="H23" s="463">
        <v>45347</v>
      </c>
      <c r="I23" s="38" t="s">
        <v>945</v>
      </c>
      <c r="J23" s="38"/>
      <c r="K23" s="38"/>
      <c r="L23" s="38"/>
      <c r="M23" s="38"/>
      <c r="N23" s="38"/>
      <c r="O23" s="38" t="s">
        <v>62</v>
      </c>
      <c r="P23" s="38">
        <v>94</v>
      </c>
      <c r="S23" s="466">
        <v>45285</v>
      </c>
      <c r="T23" s="38"/>
      <c r="U23" s="38"/>
      <c r="V23" s="38"/>
      <c r="W23" s="467" t="s">
        <v>62</v>
      </c>
      <c r="X23" s="467" t="s">
        <v>63</v>
      </c>
      <c r="Y23" s="467" t="s">
        <v>53</v>
      </c>
      <c r="Z23" s="38">
        <v>41325000</v>
      </c>
      <c r="AA23" s="38">
        <v>87</v>
      </c>
      <c r="AC23" s="462">
        <v>45347</v>
      </c>
      <c r="AD23" t="s">
        <v>952</v>
      </c>
      <c r="AE23" t="s">
        <v>1006</v>
      </c>
      <c r="AF23"/>
      <c r="AG23" t="s">
        <v>54</v>
      </c>
      <c r="AH23" t="s">
        <v>62</v>
      </c>
      <c r="AI23">
        <v>47000000</v>
      </c>
      <c r="AK23" s="98">
        <v>2024</v>
      </c>
      <c r="AL23" s="98">
        <v>4</v>
      </c>
      <c r="AM23" s="98" t="s">
        <v>55</v>
      </c>
      <c r="AN23" s="98" t="s">
        <v>60</v>
      </c>
      <c r="AO23">
        <v>150000000</v>
      </c>
      <c r="AP23">
        <v>121300000</v>
      </c>
      <c r="AQ23">
        <v>0.80866666666666664</v>
      </c>
      <c r="AS23" s="461">
        <v>45347</v>
      </c>
      <c r="AT23" s="98" t="s">
        <v>952</v>
      </c>
      <c r="AU23" s="98" t="s">
        <v>54</v>
      </c>
      <c r="AV23" s="98" t="s">
        <v>1006</v>
      </c>
      <c r="AW23" s="98" t="s">
        <v>945</v>
      </c>
      <c r="AX23" s="98">
        <v>1</v>
      </c>
      <c r="AY23" s="98" t="s">
        <v>55</v>
      </c>
      <c r="AZ23"/>
      <c r="BA23"/>
      <c r="BB23" s="98" t="s">
        <v>62</v>
      </c>
      <c r="BC23" s="98" t="s">
        <v>63</v>
      </c>
      <c r="BD23" s="98" t="s">
        <v>55</v>
      </c>
      <c r="BE23" s="98" t="s">
        <v>1008</v>
      </c>
      <c r="BF23">
        <v>47000000</v>
      </c>
      <c r="BI23" s="14">
        <v>44947</v>
      </c>
    </row>
    <row r="24" spans="5:61" x14ac:dyDescent="0.3">
      <c r="E24"/>
      <c r="H24" s="463">
        <v>45356</v>
      </c>
      <c r="I24" s="38" t="s">
        <v>940</v>
      </c>
      <c r="J24" s="38" t="s">
        <v>1006</v>
      </c>
      <c r="K24" s="38" t="s">
        <v>997</v>
      </c>
      <c r="L24" s="38" t="s">
        <v>965</v>
      </c>
      <c r="M24" s="38">
        <v>13</v>
      </c>
      <c r="N24" s="38">
        <v>113500000</v>
      </c>
      <c r="O24" s="38" t="s">
        <v>29</v>
      </c>
      <c r="P24" s="38">
        <v>164</v>
      </c>
      <c r="S24" s="466">
        <v>45296</v>
      </c>
      <c r="T24" s="467" t="s">
        <v>1006</v>
      </c>
      <c r="U24" s="467" t="s">
        <v>959</v>
      </c>
      <c r="V24" s="467" t="s">
        <v>997</v>
      </c>
      <c r="W24" s="467" t="s">
        <v>29</v>
      </c>
      <c r="X24" s="467" t="s">
        <v>52</v>
      </c>
      <c r="Y24" s="467" t="s">
        <v>53</v>
      </c>
      <c r="Z24" s="38">
        <v>30000000</v>
      </c>
      <c r="AA24" s="38">
        <v>150</v>
      </c>
      <c r="AC24" s="462">
        <v>45356</v>
      </c>
      <c r="AD24" t="s">
        <v>56</v>
      </c>
      <c r="AE24" t="s">
        <v>1006</v>
      </c>
      <c r="AF24">
        <v>113500000</v>
      </c>
      <c r="AG24" t="s">
        <v>54</v>
      </c>
      <c r="AH24" t="s">
        <v>29</v>
      </c>
      <c r="AI24">
        <v>32800000</v>
      </c>
      <c r="AK24" s="98">
        <v>2024</v>
      </c>
      <c r="AL24" s="98">
        <v>4</v>
      </c>
      <c r="AM24" s="98" t="s">
        <v>54</v>
      </c>
      <c r="AN24" s="98" t="s">
        <v>55</v>
      </c>
      <c r="AO24">
        <v>300000000</v>
      </c>
      <c r="AP24">
        <v>355100000</v>
      </c>
      <c r="AQ24">
        <v>1.1836666666666666</v>
      </c>
      <c r="AS24" s="461">
        <v>45356</v>
      </c>
      <c r="AT24" s="98" t="s">
        <v>56</v>
      </c>
      <c r="AU24" s="98" t="s">
        <v>54</v>
      </c>
      <c r="AV24" s="98" t="s">
        <v>1006</v>
      </c>
      <c r="AW24" s="98" t="s">
        <v>940</v>
      </c>
      <c r="AX24" s="98">
        <v>13</v>
      </c>
      <c r="AY24" s="98" t="s">
        <v>55</v>
      </c>
      <c r="AZ24" s="98">
        <v>0</v>
      </c>
      <c r="BA24" s="98">
        <v>113500000</v>
      </c>
      <c r="BB24" s="98" t="s">
        <v>29</v>
      </c>
      <c r="BC24" s="98" t="s">
        <v>52</v>
      </c>
      <c r="BD24" s="98" t="s">
        <v>55</v>
      </c>
      <c r="BE24" s="98" t="s">
        <v>1008</v>
      </c>
      <c r="BF24">
        <v>32800000</v>
      </c>
      <c r="BI24" s="14">
        <v>44948</v>
      </c>
    </row>
    <row r="25" spans="5:61" x14ac:dyDescent="0.3">
      <c r="E25"/>
      <c r="H25" s="463">
        <v>45356</v>
      </c>
      <c r="I25" s="38" t="s">
        <v>940</v>
      </c>
      <c r="J25" s="38"/>
      <c r="K25" s="38"/>
      <c r="L25" s="38"/>
      <c r="M25" s="38"/>
      <c r="N25" s="38"/>
      <c r="O25" s="38" t="s">
        <v>58</v>
      </c>
      <c r="P25" s="38">
        <v>114</v>
      </c>
      <c r="S25" s="466">
        <v>45296</v>
      </c>
      <c r="T25" s="38"/>
      <c r="U25" s="38"/>
      <c r="V25" s="38"/>
      <c r="W25" s="467" t="s">
        <v>58</v>
      </c>
      <c r="X25" s="467" t="s">
        <v>59</v>
      </c>
      <c r="Y25" s="467" t="s">
        <v>53</v>
      </c>
      <c r="Z25" s="38">
        <v>33600000</v>
      </c>
      <c r="AA25" s="38">
        <v>112</v>
      </c>
      <c r="AC25" s="462">
        <v>45356</v>
      </c>
      <c r="AD25" t="s">
        <v>56</v>
      </c>
      <c r="AE25" t="s">
        <v>1006</v>
      </c>
      <c r="AF25"/>
      <c r="AG25" t="s">
        <v>54</v>
      </c>
      <c r="AH25" t="s">
        <v>58</v>
      </c>
      <c r="AI25">
        <v>34200000</v>
      </c>
      <c r="AK25" s="98">
        <v>2024</v>
      </c>
      <c r="AL25" s="98">
        <v>4</v>
      </c>
      <c r="AM25" s="98" t="s">
        <v>65</v>
      </c>
      <c r="AN25" s="98" t="s">
        <v>55</v>
      </c>
      <c r="AO25">
        <v>150000000</v>
      </c>
      <c r="AP25">
        <v>0</v>
      </c>
      <c r="AQ25">
        <v>0</v>
      </c>
      <c r="AS25" s="461">
        <v>45356</v>
      </c>
      <c r="AT25" s="98" t="s">
        <v>56</v>
      </c>
      <c r="AU25" s="98" t="s">
        <v>54</v>
      </c>
      <c r="AV25" s="98" t="s">
        <v>1006</v>
      </c>
      <c r="AW25" s="98" t="s">
        <v>940</v>
      </c>
      <c r="AX25" s="98">
        <v>13</v>
      </c>
      <c r="AY25" s="98" t="s">
        <v>55</v>
      </c>
      <c r="AZ25"/>
      <c r="BA25"/>
      <c r="BB25" s="98" t="s">
        <v>58</v>
      </c>
      <c r="BC25" s="98" t="s">
        <v>59</v>
      </c>
      <c r="BD25" s="98" t="s">
        <v>55</v>
      </c>
      <c r="BE25" s="98" t="s">
        <v>1008</v>
      </c>
      <c r="BF25">
        <v>34200000</v>
      </c>
      <c r="BI25" s="14">
        <v>44949</v>
      </c>
    </row>
    <row r="26" spans="5:61" x14ac:dyDescent="0.3">
      <c r="E26"/>
      <c r="H26" s="463">
        <v>45356</v>
      </c>
      <c r="I26" s="38" t="s">
        <v>940</v>
      </c>
      <c r="J26" s="38"/>
      <c r="K26" s="38"/>
      <c r="L26" s="38"/>
      <c r="M26" s="38"/>
      <c r="N26" s="38"/>
      <c r="O26" s="38" t="s">
        <v>62</v>
      </c>
      <c r="P26" s="38">
        <v>93</v>
      </c>
      <c r="S26" s="466">
        <v>45296</v>
      </c>
      <c r="T26" s="38"/>
      <c r="U26" s="38"/>
      <c r="V26" s="38"/>
      <c r="W26" s="467" t="s">
        <v>62</v>
      </c>
      <c r="X26" s="467" t="s">
        <v>63</v>
      </c>
      <c r="Y26" s="467" t="s">
        <v>53</v>
      </c>
      <c r="Z26" s="38">
        <v>44000000</v>
      </c>
      <c r="AA26" s="38">
        <v>88</v>
      </c>
      <c r="AC26" s="462">
        <v>45356</v>
      </c>
      <c r="AD26" t="s">
        <v>56</v>
      </c>
      <c r="AE26" t="s">
        <v>1006</v>
      </c>
      <c r="AF26"/>
      <c r="AG26" t="s">
        <v>54</v>
      </c>
      <c r="AH26" t="s">
        <v>62</v>
      </c>
      <c r="AI26">
        <v>46500000</v>
      </c>
      <c r="AK26" s="98">
        <v>2024</v>
      </c>
      <c r="AL26" s="98">
        <v>5</v>
      </c>
      <c r="AM26" s="98" t="s">
        <v>55</v>
      </c>
      <c r="AN26" s="98" t="s">
        <v>56</v>
      </c>
      <c r="AO26">
        <v>150000000</v>
      </c>
      <c r="AP26">
        <v>126900000</v>
      </c>
      <c r="AQ26">
        <v>0.84599999999999997</v>
      </c>
      <c r="AS26" s="461">
        <v>45356</v>
      </c>
      <c r="AT26" s="98" t="s">
        <v>56</v>
      </c>
      <c r="AU26" s="98" t="s">
        <v>54</v>
      </c>
      <c r="AV26" s="98" t="s">
        <v>1006</v>
      </c>
      <c r="AW26" s="98" t="s">
        <v>940</v>
      </c>
      <c r="AX26" s="98">
        <v>13</v>
      </c>
      <c r="AY26" s="98" t="s">
        <v>55</v>
      </c>
      <c r="AZ26"/>
      <c r="BA26"/>
      <c r="BB26" s="98" t="s">
        <v>62</v>
      </c>
      <c r="BC26" s="98" t="s">
        <v>63</v>
      </c>
      <c r="BD26" s="98" t="s">
        <v>55</v>
      </c>
      <c r="BE26" s="98" t="s">
        <v>1008</v>
      </c>
      <c r="BF26">
        <v>46500000</v>
      </c>
      <c r="BI26" s="14">
        <v>44950</v>
      </c>
    </row>
    <row r="27" spans="5:61" x14ac:dyDescent="0.3">
      <c r="E27"/>
      <c r="H27" s="463">
        <v>45366</v>
      </c>
      <c r="I27" s="38" t="s">
        <v>939</v>
      </c>
      <c r="J27" s="38" t="s">
        <v>1005</v>
      </c>
      <c r="K27" s="38" t="s">
        <v>996</v>
      </c>
      <c r="L27" s="38" t="s">
        <v>966</v>
      </c>
      <c r="M27" s="38">
        <v>11</v>
      </c>
      <c r="N27" s="38">
        <v>113200000</v>
      </c>
      <c r="O27" s="38" t="s">
        <v>29</v>
      </c>
      <c r="P27" s="38">
        <v>161</v>
      </c>
      <c r="S27" s="466">
        <v>45306</v>
      </c>
      <c r="T27" s="467" t="s">
        <v>1006</v>
      </c>
      <c r="U27" s="467" t="s">
        <v>960</v>
      </c>
      <c r="V27" s="467" t="s">
        <v>1000</v>
      </c>
      <c r="W27" s="467" t="s">
        <v>29</v>
      </c>
      <c r="X27" s="467" t="s">
        <v>52</v>
      </c>
      <c r="Y27" s="467" t="s">
        <v>53</v>
      </c>
      <c r="Z27" s="38">
        <v>30400000</v>
      </c>
      <c r="AA27" s="38">
        <v>152</v>
      </c>
      <c r="AC27" s="462">
        <v>45366</v>
      </c>
      <c r="AD27" t="s">
        <v>950</v>
      </c>
      <c r="AE27" t="s">
        <v>1005</v>
      </c>
      <c r="AF27">
        <v>113200000</v>
      </c>
      <c r="AG27" t="s">
        <v>54</v>
      </c>
      <c r="AH27" t="s">
        <v>29</v>
      </c>
      <c r="AI27">
        <v>32200000</v>
      </c>
      <c r="AK27" s="98">
        <v>2024</v>
      </c>
      <c r="AL27" s="98">
        <v>5</v>
      </c>
      <c r="AM27" s="98" t="s">
        <v>55</v>
      </c>
      <c r="AN27" s="98" t="s">
        <v>60</v>
      </c>
      <c r="AO27">
        <v>150000000</v>
      </c>
      <c r="AP27">
        <v>122900000</v>
      </c>
      <c r="AQ27">
        <v>0.81933333333333336</v>
      </c>
      <c r="AS27" s="461">
        <v>45366</v>
      </c>
      <c r="AT27" s="98" t="s">
        <v>950</v>
      </c>
      <c r="AU27" s="98" t="s">
        <v>54</v>
      </c>
      <c r="AV27" s="98" t="s">
        <v>1005</v>
      </c>
      <c r="AW27" s="98" t="s">
        <v>939</v>
      </c>
      <c r="AX27" s="98">
        <v>11</v>
      </c>
      <c r="AY27" s="98" t="s">
        <v>55</v>
      </c>
      <c r="AZ27" s="98">
        <v>0</v>
      </c>
      <c r="BA27" s="98">
        <v>113200000</v>
      </c>
      <c r="BB27" s="98" t="s">
        <v>29</v>
      </c>
      <c r="BC27" s="98" t="s">
        <v>52</v>
      </c>
      <c r="BD27" s="98" t="s">
        <v>55</v>
      </c>
      <c r="BE27" s="98" t="s">
        <v>1008</v>
      </c>
      <c r="BF27">
        <v>32200000</v>
      </c>
      <c r="BI27" s="14">
        <v>44951</v>
      </c>
    </row>
    <row r="28" spans="5:61" x14ac:dyDescent="0.3">
      <c r="E28"/>
      <c r="H28" s="463">
        <v>45366</v>
      </c>
      <c r="I28" s="38" t="s">
        <v>939</v>
      </c>
      <c r="J28" s="38"/>
      <c r="K28" s="38"/>
      <c r="L28" s="38"/>
      <c r="M28" s="38"/>
      <c r="N28" s="38"/>
      <c r="O28" s="38" t="s">
        <v>58</v>
      </c>
      <c r="P28" s="38">
        <v>115</v>
      </c>
      <c r="S28" s="466">
        <v>45306</v>
      </c>
      <c r="T28" s="38"/>
      <c r="U28" s="38"/>
      <c r="V28" s="38"/>
      <c r="W28" s="467" t="s">
        <v>58</v>
      </c>
      <c r="X28" s="467" t="s">
        <v>59</v>
      </c>
      <c r="Y28" s="467" t="s">
        <v>53</v>
      </c>
      <c r="Z28" s="38">
        <v>33600000</v>
      </c>
      <c r="AA28" s="38">
        <v>112</v>
      </c>
      <c r="AC28" s="462">
        <v>45366</v>
      </c>
      <c r="AD28" t="s">
        <v>950</v>
      </c>
      <c r="AE28" t="s">
        <v>1005</v>
      </c>
      <c r="AF28"/>
      <c r="AG28" t="s">
        <v>54</v>
      </c>
      <c r="AH28" t="s">
        <v>58</v>
      </c>
      <c r="AI28">
        <v>34500000</v>
      </c>
      <c r="AK28" s="98">
        <v>2024</v>
      </c>
      <c r="AL28" s="98">
        <v>5</v>
      </c>
      <c r="AM28" s="98" t="s">
        <v>54</v>
      </c>
      <c r="AN28" s="98" t="s">
        <v>55</v>
      </c>
      <c r="AO28">
        <v>300000000</v>
      </c>
      <c r="AP28">
        <v>126600000</v>
      </c>
      <c r="AQ28">
        <v>0.42199999999999999</v>
      </c>
      <c r="AS28" s="461">
        <v>45366</v>
      </c>
      <c r="AT28" s="98" t="s">
        <v>950</v>
      </c>
      <c r="AU28" s="98" t="s">
        <v>54</v>
      </c>
      <c r="AV28" s="98" t="s">
        <v>1005</v>
      </c>
      <c r="AW28" s="98" t="s">
        <v>939</v>
      </c>
      <c r="AX28" s="98">
        <v>11</v>
      </c>
      <c r="AY28" s="98" t="s">
        <v>55</v>
      </c>
      <c r="AZ28"/>
      <c r="BA28"/>
      <c r="BB28" s="98" t="s">
        <v>58</v>
      </c>
      <c r="BC28" s="98" t="s">
        <v>59</v>
      </c>
      <c r="BD28" s="98" t="s">
        <v>55</v>
      </c>
      <c r="BE28" s="98" t="s">
        <v>1008</v>
      </c>
      <c r="BF28">
        <v>34500000</v>
      </c>
      <c r="BI28" s="14">
        <v>44952</v>
      </c>
    </row>
    <row r="29" spans="5:61" x14ac:dyDescent="0.3">
      <c r="E29"/>
      <c r="H29" s="463">
        <v>45366</v>
      </c>
      <c r="I29" s="38" t="s">
        <v>939</v>
      </c>
      <c r="J29" s="38"/>
      <c r="K29" s="38"/>
      <c r="L29" s="38"/>
      <c r="M29" s="38"/>
      <c r="N29" s="38"/>
      <c r="O29" s="38" t="s">
        <v>62</v>
      </c>
      <c r="P29" s="38">
        <v>93</v>
      </c>
      <c r="S29" s="466">
        <v>45306</v>
      </c>
      <c r="T29" s="38"/>
      <c r="U29" s="38"/>
      <c r="V29" s="38"/>
      <c r="W29" s="467" t="s">
        <v>62</v>
      </c>
      <c r="X29" s="467" t="s">
        <v>63</v>
      </c>
      <c r="Y29" s="467" t="s">
        <v>53</v>
      </c>
      <c r="Z29" s="38">
        <v>45500000</v>
      </c>
      <c r="AA29" s="38">
        <v>91</v>
      </c>
      <c r="AC29" s="462">
        <v>45366</v>
      </c>
      <c r="AD29" t="s">
        <v>950</v>
      </c>
      <c r="AE29" t="s">
        <v>1005</v>
      </c>
      <c r="AF29"/>
      <c r="AG29" t="s">
        <v>54</v>
      </c>
      <c r="AH29" t="s">
        <v>62</v>
      </c>
      <c r="AI29">
        <v>46500000</v>
      </c>
      <c r="AK29" s="98">
        <v>2024</v>
      </c>
      <c r="AL29" s="98">
        <v>5</v>
      </c>
      <c r="AM29" s="98" t="s">
        <v>65</v>
      </c>
      <c r="AN29" s="98" t="s">
        <v>55</v>
      </c>
      <c r="AO29">
        <v>150000000</v>
      </c>
      <c r="AP29">
        <v>249800000</v>
      </c>
      <c r="AQ29">
        <v>1.6653333333333333</v>
      </c>
      <c r="AS29" s="461">
        <v>45366</v>
      </c>
      <c r="AT29" s="98" t="s">
        <v>950</v>
      </c>
      <c r="AU29" s="98" t="s">
        <v>54</v>
      </c>
      <c r="AV29" s="98" t="s">
        <v>1005</v>
      </c>
      <c r="AW29" s="98" t="s">
        <v>939</v>
      </c>
      <c r="AX29" s="98">
        <v>11</v>
      </c>
      <c r="AY29" s="98" t="s">
        <v>55</v>
      </c>
      <c r="AZ29"/>
      <c r="BA29"/>
      <c r="BB29" s="98" t="s">
        <v>62</v>
      </c>
      <c r="BC29" s="98" t="s">
        <v>63</v>
      </c>
      <c r="BD29" s="98" t="s">
        <v>55</v>
      </c>
      <c r="BE29" s="98" t="s">
        <v>1008</v>
      </c>
      <c r="BF29">
        <v>46500000</v>
      </c>
      <c r="BI29" s="14">
        <v>44953</v>
      </c>
    </row>
    <row r="30" spans="5:61" x14ac:dyDescent="0.3">
      <c r="H30" s="463">
        <v>45376</v>
      </c>
      <c r="I30" s="38" t="s">
        <v>943</v>
      </c>
      <c r="J30" s="38" t="s">
        <v>1006</v>
      </c>
      <c r="K30" s="38" t="s">
        <v>1000</v>
      </c>
      <c r="L30" s="38" t="s">
        <v>967</v>
      </c>
      <c r="M30" s="38">
        <v>5</v>
      </c>
      <c r="N30" s="38">
        <v>112200000</v>
      </c>
      <c r="O30" s="38" t="s">
        <v>29</v>
      </c>
      <c r="P30" s="38">
        <v>164</v>
      </c>
      <c r="S30" s="466">
        <v>45316</v>
      </c>
      <c r="T30" s="467" t="s">
        <v>1005</v>
      </c>
      <c r="U30" s="467" t="s">
        <v>961</v>
      </c>
      <c r="V30" s="467" t="s">
        <v>999</v>
      </c>
      <c r="W30" s="467" t="s">
        <v>29</v>
      </c>
      <c r="X30" s="467" t="s">
        <v>52</v>
      </c>
      <c r="Y30" s="467" t="s">
        <v>53</v>
      </c>
      <c r="Z30" s="38">
        <v>31400000</v>
      </c>
      <c r="AA30" s="38">
        <v>157</v>
      </c>
      <c r="AC30" s="462">
        <v>45376</v>
      </c>
      <c r="AD30" t="s">
        <v>949</v>
      </c>
      <c r="AE30" t="s">
        <v>1006</v>
      </c>
      <c r="AF30">
        <v>112200000</v>
      </c>
      <c r="AG30" t="s">
        <v>65</v>
      </c>
      <c r="AH30" t="s">
        <v>29</v>
      </c>
      <c r="AI30">
        <v>32800000</v>
      </c>
      <c r="AK30" s="98">
        <v>2024</v>
      </c>
      <c r="AL30" s="98">
        <v>6</v>
      </c>
      <c r="AM30" s="98" t="s">
        <v>55</v>
      </c>
      <c r="AN30" s="98" t="s">
        <v>56</v>
      </c>
      <c r="AO30">
        <v>150000000</v>
      </c>
      <c r="AP30">
        <v>0</v>
      </c>
      <c r="AQ30">
        <v>0</v>
      </c>
      <c r="AS30" s="461">
        <v>45376</v>
      </c>
      <c r="AT30" s="98" t="s">
        <v>949</v>
      </c>
      <c r="AU30" s="98" t="s">
        <v>65</v>
      </c>
      <c r="AV30" s="98" t="s">
        <v>1006</v>
      </c>
      <c r="AW30" s="98" t="s">
        <v>943</v>
      </c>
      <c r="AX30" s="98">
        <v>5</v>
      </c>
      <c r="AY30" s="98" t="s">
        <v>55</v>
      </c>
      <c r="AZ30" s="98">
        <v>0</v>
      </c>
      <c r="BA30" s="98">
        <v>112200000</v>
      </c>
      <c r="BB30" s="98" t="s">
        <v>29</v>
      </c>
      <c r="BC30" s="98" t="s">
        <v>52</v>
      </c>
      <c r="BD30" s="98" t="s">
        <v>55</v>
      </c>
      <c r="BE30" s="98" t="s">
        <v>1008</v>
      </c>
      <c r="BF30">
        <v>32800000</v>
      </c>
      <c r="BI30" s="14">
        <v>44954</v>
      </c>
    </row>
    <row r="31" spans="5:61" x14ac:dyDescent="0.3">
      <c r="H31" s="463">
        <v>45376</v>
      </c>
      <c r="I31" s="38" t="s">
        <v>943</v>
      </c>
      <c r="J31" s="38"/>
      <c r="K31" s="38"/>
      <c r="L31" s="38"/>
      <c r="M31" s="38"/>
      <c r="N31" s="38"/>
      <c r="O31" s="38" t="s">
        <v>58</v>
      </c>
      <c r="P31" s="38">
        <v>113</v>
      </c>
      <c r="S31" s="466">
        <v>45316</v>
      </c>
      <c r="T31" s="38"/>
      <c r="U31" s="38"/>
      <c r="V31" s="38"/>
      <c r="W31" s="467" t="s">
        <v>58</v>
      </c>
      <c r="X31" s="467" t="s">
        <v>59</v>
      </c>
      <c r="Y31" s="467" t="s">
        <v>53</v>
      </c>
      <c r="Z31" s="38">
        <v>34200000</v>
      </c>
      <c r="AA31" s="38">
        <v>114</v>
      </c>
      <c r="AC31" s="462">
        <v>45376</v>
      </c>
      <c r="AD31" t="s">
        <v>949</v>
      </c>
      <c r="AE31" t="s">
        <v>1006</v>
      </c>
      <c r="AF31"/>
      <c r="AG31" t="s">
        <v>65</v>
      </c>
      <c r="AH31" t="s">
        <v>58</v>
      </c>
      <c r="AI31">
        <v>33900000</v>
      </c>
      <c r="AK31" s="98">
        <v>2024</v>
      </c>
      <c r="AL31" s="98">
        <v>6</v>
      </c>
      <c r="AM31" s="98" t="s">
        <v>55</v>
      </c>
      <c r="AN31" s="98" t="s">
        <v>60</v>
      </c>
      <c r="AO31">
        <v>150000000</v>
      </c>
      <c r="AP31">
        <v>0</v>
      </c>
      <c r="AQ31">
        <v>0</v>
      </c>
      <c r="AS31" s="461">
        <v>45376</v>
      </c>
      <c r="AT31" s="98" t="s">
        <v>949</v>
      </c>
      <c r="AU31" s="98" t="s">
        <v>65</v>
      </c>
      <c r="AV31" s="98" t="s">
        <v>1006</v>
      </c>
      <c r="AW31" s="98" t="s">
        <v>943</v>
      </c>
      <c r="AX31" s="98">
        <v>5</v>
      </c>
      <c r="AY31" s="98" t="s">
        <v>55</v>
      </c>
      <c r="AZ31"/>
      <c r="BA31"/>
      <c r="BB31" s="98" t="s">
        <v>58</v>
      </c>
      <c r="BC31" s="98" t="s">
        <v>59</v>
      </c>
      <c r="BD31" s="98" t="s">
        <v>55</v>
      </c>
      <c r="BE31" s="98" t="s">
        <v>1008</v>
      </c>
      <c r="BF31">
        <v>33900000</v>
      </c>
      <c r="BI31" s="14">
        <v>44955</v>
      </c>
    </row>
    <row r="32" spans="5:61" x14ac:dyDescent="0.3">
      <c r="H32" s="463">
        <v>45376</v>
      </c>
      <c r="I32" s="38" t="s">
        <v>943</v>
      </c>
      <c r="J32" s="38"/>
      <c r="K32" s="38"/>
      <c r="L32" s="38"/>
      <c r="M32" s="38"/>
      <c r="N32" s="38"/>
      <c r="O32" s="38" t="s">
        <v>62</v>
      </c>
      <c r="P32" s="38">
        <v>91</v>
      </c>
      <c r="S32" s="466">
        <v>45316</v>
      </c>
      <c r="T32" s="38"/>
      <c r="U32" s="38"/>
      <c r="V32" s="38"/>
      <c r="W32" s="467" t="s">
        <v>62</v>
      </c>
      <c r="X32" s="467" t="s">
        <v>63</v>
      </c>
      <c r="Y32" s="467" t="s">
        <v>53</v>
      </c>
      <c r="Z32" s="38">
        <v>48000000</v>
      </c>
      <c r="AA32" s="38">
        <v>96</v>
      </c>
      <c r="AC32" s="462">
        <v>45376</v>
      </c>
      <c r="AD32" t="s">
        <v>949</v>
      </c>
      <c r="AE32" t="s">
        <v>1006</v>
      </c>
      <c r="AF32"/>
      <c r="AG32" t="s">
        <v>65</v>
      </c>
      <c r="AH32" t="s">
        <v>62</v>
      </c>
      <c r="AI32">
        <v>45500000</v>
      </c>
      <c r="AK32" s="98">
        <v>2024</v>
      </c>
      <c r="AL32" s="98">
        <v>6</v>
      </c>
      <c r="AM32" s="98" t="s">
        <v>54</v>
      </c>
      <c r="AN32" s="98" t="s">
        <v>55</v>
      </c>
      <c r="AO32">
        <v>300000000</v>
      </c>
      <c r="AP32">
        <v>384600000</v>
      </c>
      <c r="AQ32">
        <v>1.282</v>
      </c>
      <c r="AS32" s="461">
        <v>45376</v>
      </c>
      <c r="AT32" s="98" t="s">
        <v>949</v>
      </c>
      <c r="AU32" s="98" t="s">
        <v>65</v>
      </c>
      <c r="AV32" s="98" t="s">
        <v>1006</v>
      </c>
      <c r="AW32" s="98" t="s">
        <v>943</v>
      </c>
      <c r="AX32" s="98">
        <v>5</v>
      </c>
      <c r="AY32" s="98" t="s">
        <v>55</v>
      </c>
      <c r="AZ32"/>
      <c r="BA32"/>
      <c r="BB32" s="98" t="s">
        <v>62</v>
      </c>
      <c r="BC32" s="98" t="s">
        <v>63</v>
      </c>
      <c r="BD32" s="98" t="s">
        <v>55</v>
      </c>
      <c r="BE32" s="98" t="s">
        <v>1008</v>
      </c>
      <c r="BF32">
        <v>45500000</v>
      </c>
      <c r="BI32" s="14">
        <v>44956</v>
      </c>
    </row>
    <row r="33" spans="8:61" x14ac:dyDescent="0.3">
      <c r="H33" s="463">
        <v>45387</v>
      </c>
      <c r="I33" s="38" t="s">
        <v>941</v>
      </c>
      <c r="J33" s="38" t="s">
        <v>1006</v>
      </c>
      <c r="K33" s="38" t="s">
        <v>998</v>
      </c>
      <c r="L33" s="38" t="s">
        <v>968</v>
      </c>
      <c r="M33" s="38">
        <v>9</v>
      </c>
      <c r="N33" s="38">
        <v>115200000</v>
      </c>
      <c r="O33" s="38" t="s">
        <v>29</v>
      </c>
      <c r="P33" s="38">
        <v>172</v>
      </c>
      <c r="S33" s="466">
        <v>45327</v>
      </c>
      <c r="T33" s="467" t="s">
        <v>1005</v>
      </c>
      <c r="U33" s="467" t="s">
        <v>962</v>
      </c>
      <c r="V33" s="467" t="s">
        <v>1001</v>
      </c>
      <c r="W33" s="467" t="s">
        <v>29</v>
      </c>
      <c r="X33" s="467" t="s">
        <v>52</v>
      </c>
      <c r="Y33" s="467" t="s">
        <v>53</v>
      </c>
      <c r="Z33" s="38">
        <v>31800000</v>
      </c>
      <c r="AA33" s="38">
        <v>159</v>
      </c>
      <c r="AC33" s="462">
        <v>45387</v>
      </c>
      <c r="AD33" t="s">
        <v>951</v>
      </c>
      <c r="AE33" t="s">
        <v>1006</v>
      </c>
      <c r="AF33">
        <v>115200000</v>
      </c>
      <c r="AG33" t="s">
        <v>54</v>
      </c>
      <c r="AH33" t="s">
        <v>29</v>
      </c>
      <c r="AI33">
        <v>34400000</v>
      </c>
      <c r="AK33" s="98">
        <v>2024</v>
      </c>
      <c r="AL33" s="98">
        <v>6</v>
      </c>
      <c r="AM33" s="98" t="s">
        <v>65</v>
      </c>
      <c r="AN33" s="98" t="s">
        <v>55</v>
      </c>
      <c r="AO33">
        <v>150000000</v>
      </c>
      <c r="AP33">
        <v>0</v>
      </c>
      <c r="AQ33">
        <v>0</v>
      </c>
      <c r="AS33" s="461">
        <v>45387</v>
      </c>
      <c r="AT33" s="98" t="s">
        <v>951</v>
      </c>
      <c r="AU33" s="98" t="s">
        <v>54</v>
      </c>
      <c r="AV33" s="98" t="s">
        <v>1006</v>
      </c>
      <c r="AW33" s="98" t="s">
        <v>941</v>
      </c>
      <c r="AX33" s="98">
        <v>9</v>
      </c>
      <c r="AY33" s="98" t="s">
        <v>55</v>
      </c>
      <c r="AZ33" s="98">
        <v>0</v>
      </c>
      <c r="BA33" s="98">
        <v>115200000</v>
      </c>
      <c r="BB33" s="98" t="s">
        <v>29</v>
      </c>
      <c r="BC33" s="98" t="s">
        <v>52</v>
      </c>
      <c r="BD33" s="98" t="s">
        <v>55</v>
      </c>
      <c r="BE33" s="98" t="s">
        <v>1008</v>
      </c>
      <c r="BF33">
        <v>34400000</v>
      </c>
      <c r="BI33" s="14">
        <v>44957</v>
      </c>
    </row>
    <row r="34" spans="8:61" x14ac:dyDescent="0.3">
      <c r="H34" s="463">
        <v>45387</v>
      </c>
      <c r="I34" s="38" t="s">
        <v>941</v>
      </c>
      <c r="J34" s="38"/>
      <c r="K34" s="38"/>
      <c r="L34" s="38"/>
      <c r="M34" s="38"/>
      <c r="N34" s="38"/>
      <c r="O34" s="38" t="s">
        <v>58</v>
      </c>
      <c r="P34" s="38">
        <v>116</v>
      </c>
      <c r="S34" s="466">
        <v>45327</v>
      </c>
      <c r="T34" s="38"/>
      <c r="U34" s="38"/>
      <c r="V34" s="38"/>
      <c r="W34" s="467" t="s">
        <v>58</v>
      </c>
      <c r="X34" s="467" t="s">
        <v>59</v>
      </c>
      <c r="Y34" s="467" t="s">
        <v>53</v>
      </c>
      <c r="Z34" s="38">
        <v>33900000</v>
      </c>
      <c r="AA34" s="38">
        <v>113</v>
      </c>
      <c r="AC34" s="462">
        <v>45387</v>
      </c>
      <c r="AD34" t="s">
        <v>951</v>
      </c>
      <c r="AE34" t="s">
        <v>1006</v>
      </c>
      <c r="AF34"/>
      <c r="AG34" t="s">
        <v>54</v>
      </c>
      <c r="AH34" t="s">
        <v>58</v>
      </c>
      <c r="AI34">
        <v>34800000</v>
      </c>
      <c r="AK34" s="98">
        <v>2024</v>
      </c>
      <c r="AL34" s="98">
        <v>7</v>
      </c>
      <c r="AM34" s="98" t="s">
        <v>55</v>
      </c>
      <c r="AN34" s="98" t="s">
        <v>56</v>
      </c>
      <c r="AO34">
        <v>150000000</v>
      </c>
      <c r="AP34">
        <v>131700000</v>
      </c>
      <c r="AQ34">
        <v>0.878</v>
      </c>
      <c r="AS34" s="461">
        <v>45387</v>
      </c>
      <c r="AT34" s="98" t="s">
        <v>951</v>
      </c>
      <c r="AU34" s="98" t="s">
        <v>54</v>
      </c>
      <c r="AV34" s="98" t="s">
        <v>1006</v>
      </c>
      <c r="AW34" s="98" t="s">
        <v>941</v>
      </c>
      <c r="AX34" s="98">
        <v>9</v>
      </c>
      <c r="AY34" s="98" t="s">
        <v>55</v>
      </c>
      <c r="AZ34"/>
      <c r="BA34"/>
      <c r="BB34" s="98" t="s">
        <v>58</v>
      </c>
      <c r="BC34" s="98" t="s">
        <v>59</v>
      </c>
      <c r="BD34" s="98" t="s">
        <v>55</v>
      </c>
      <c r="BE34" s="98" t="s">
        <v>1008</v>
      </c>
      <c r="BF34">
        <v>34800000</v>
      </c>
    </row>
    <row r="35" spans="8:61" x14ac:dyDescent="0.3">
      <c r="H35" s="463">
        <v>45387</v>
      </c>
      <c r="I35" s="38" t="s">
        <v>941</v>
      </c>
      <c r="J35" s="38"/>
      <c r="K35" s="38"/>
      <c r="L35" s="38"/>
      <c r="M35" s="38"/>
      <c r="N35" s="38"/>
      <c r="O35" s="38" t="s">
        <v>62</v>
      </c>
      <c r="P35" s="38">
        <v>92</v>
      </c>
      <c r="S35" s="466">
        <v>45327</v>
      </c>
      <c r="T35" s="38"/>
      <c r="U35" s="38"/>
      <c r="V35" s="38"/>
      <c r="W35" s="467" t="s">
        <v>62</v>
      </c>
      <c r="X35" s="467" t="s">
        <v>63</v>
      </c>
      <c r="Y35" s="467" t="s">
        <v>53</v>
      </c>
      <c r="Z35" s="38">
        <v>48500000</v>
      </c>
      <c r="AA35" s="38">
        <v>97</v>
      </c>
      <c r="AC35" s="462">
        <v>45387</v>
      </c>
      <c r="AD35" t="s">
        <v>951</v>
      </c>
      <c r="AE35" t="s">
        <v>1006</v>
      </c>
      <c r="AF35"/>
      <c r="AG35" t="s">
        <v>54</v>
      </c>
      <c r="AH35" t="s">
        <v>62</v>
      </c>
      <c r="AI35">
        <v>46000000</v>
      </c>
      <c r="AK35" s="98">
        <v>2024</v>
      </c>
      <c r="AL35" s="98">
        <v>7</v>
      </c>
      <c r="AM35" s="98" t="s">
        <v>55</v>
      </c>
      <c r="AN35" s="98" t="s">
        <v>60</v>
      </c>
      <c r="AO35">
        <v>150000000</v>
      </c>
      <c r="AP35">
        <v>0</v>
      </c>
      <c r="AQ35">
        <v>0</v>
      </c>
      <c r="AS35" s="461">
        <v>45387</v>
      </c>
      <c r="AT35" s="98" t="s">
        <v>951</v>
      </c>
      <c r="AU35" s="98" t="s">
        <v>54</v>
      </c>
      <c r="AV35" s="98" t="s">
        <v>1006</v>
      </c>
      <c r="AW35" s="98" t="s">
        <v>941</v>
      </c>
      <c r="AX35" s="98">
        <v>9</v>
      </c>
      <c r="AY35" s="98" t="s">
        <v>55</v>
      </c>
      <c r="AZ35"/>
      <c r="BA35"/>
      <c r="BB35" s="98" t="s">
        <v>62</v>
      </c>
      <c r="BC35" s="98" t="s">
        <v>63</v>
      </c>
      <c r="BD35" s="98" t="s">
        <v>55</v>
      </c>
      <c r="BE35" s="98" t="s">
        <v>1008</v>
      </c>
      <c r="BF35">
        <v>46000000</v>
      </c>
    </row>
    <row r="36" spans="8:61" x14ac:dyDescent="0.3">
      <c r="H36" s="463">
        <v>45397</v>
      </c>
      <c r="I36" s="38" t="s">
        <v>941</v>
      </c>
      <c r="J36" s="38" t="s">
        <v>1006</v>
      </c>
      <c r="K36" s="38" t="s">
        <v>998</v>
      </c>
      <c r="L36" s="38" t="s">
        <v>969</v>
      </c>
      <c r="M36" s="38">
        <v>10</v>
      </c>
      <c r="N36" s="38">
        <v>118600000</v>
      </c>
      <c r="O36" s="38" t="s">
        <v>29</v>
      </c>
      <c r="P36" s="38">
        <v>169</v>
      </c>
      <c r="S36" s="466">
        <v>45337</v>
      </c>
      <c r="T36" s="467" t="s">
        <v>1005</v>
      </c>
      <c r="U36" s="467" t="s">
        <v>963</v>
      </c>
      <c r="V36" s="467" t="s">
        <v>1001</v>
      </c>
      <c r="W36" s="467" t="s">
        <v>29</v>
      </c>
      <c r="X36" s="467" t="s">
        <v>52</v>
      </c>
      <c r="Y36" s="467" t="s">
        <v>53</v>
      </c>
      <c r="Z36" s="38">
        <v>33000000</v>
      </c>
      <c r="AA36" s="38">
        <v>165</v>
      </c>
      <c r="AC36" s="462">
        <v>45397</v>
      </c>
      <c r="AD36" t="s">
        <v>949</v>
      </c>
      <c r="AE36" t="s">
        <v>1006</v>
      </c>
      <c r="AF36">
        <v>118600000</v>
      </c>
      <c r="AG36" t="s">
        <v>54</v>
      </c>
      <c r="AH36" t="s">
        <v>29</v>
      </c>
      <c r="AI36">
        <v>33800000</v>
      </c>
      <c r="AK36" s="98">
        <v>2024</v>
      </c>
      <c r="AL36" s="98">
        <v>7</v>
      </c>
      <c r="AM36" s="98" t="s">
        <v>54</v>
      </c>
      <c r="AN36" s="98" t="s">
        <v>55</v>
      </c>
      <c r="AO36">
        <v>300000000</v>
      </c>
      <c r="AP36">
        <v>266000000</v>
      </c>
      <c r="AQ36">
        <v>0.88666666666666671</v>
      </c>
      <c r="AS36" s="461">
        <v>45397</v>
      </c>
      <c r="AT36" s="98" t="s">
        <v>949</v>
      </c>
      <c r="AU36" s="98" t="s">
        <v>54</v>
      </c>
      <c r="AV36" s="98" t="s">
        <v>1006</v>
      </c>
      <c r="AW36" s="98" t="s">
        <v>941</v>
      </c>
      <c r="AX36" s="98">
        <v>10</v>
      </c>
      <c r="AY36" s="98" t="s">
        <v>55</v>
      </c>
      <c r="AZ36" s="98">
        <v>0</v>
      </c>
      <c r="BA36" s="98">
        <v>118600000</v>
      </c>
      <c r="BB36" s="98" t="s">
        <v>29</v>
      </c>
      <c r="BC36" s="98" t="s">
        <v>52</v>
      </c>
      <c r="BD36" s="98" t="s">
        <v>55</v>
      </c>
      <c r="BE36" s="98" t="s">
        <v>1008</v>
      </c>
      <c r="BF36">
        <v>33800000</v>
      </c>
    </row>
    <row r="37" spans="8:61" x14ac:dyDescent="0.3">
      <c r="H37" s="463">
        <v>45397</v>
      </c>
      <c r="I37" s="38" t="s">
        <v>941</v>
      </c>
      <c r="J37" s="38"/>
      <c r="K37" s="38"/>
      <c r="L37" s="38"/>
      <c r="M37" s="38"/>
      <c r="N37" s="38"/>
      <c r="O37" s="38" t="s">
        <v>58</v>
      </c>
      <c r="P37" s="38">
        <v>121</v>
      </c>
      <c r="S37" s="466">
        <v>45337</v>
      </c>
      <c r="T37" s="38"/>
      <c r="U37" s="38"/>
      <c r="V37" s="38"/>
      <c r="W37" s="467" t="s">
        <v>58</v>
      </c>
      <c r="X37" s="467" t="s">
        <v>59</v>
      </c>
      <c r="Y37" s="467" t="s">
        <v>53</v>
      </c>
      <c r="Z37" s="38">
        <v>34800000</v>
      </c>
      <c r="AA37" s="38">
        <v>116</v>
      </c>
      <c r="AC37" s="462">
        <v>45397</v>
      </c>
      <c r="AD37" t="s">
        <v>949</v>
      </c>
      <c r="AE37" t="s">
        <v>1006</v>
      </c>
      <c r="AF37"/>
      <c r="AG37" t="s">
        <v>54</v>
      </c>
      <c r="AH37" t="s">
        <v>58</v>
      </c>
      <c r="AI37">
        <v>36300000</v>
      </c>
      <c r="AK37" s="98">
        <v>2024</v>
      </c>
      <c r="AL37" s="98">
        <v>7</v>
      </c>
      <c r="AM37" s="98" t="s">
        <v>65</v>
      </c>
      <c r="AN37" s="98" t="s">
        <v>55</v>
      </c>
      <c r="AO37">
        <v>150000000</v>
      </c>
      <c r="AP37">
        <v>130900000</v>
      </c>
      <c r="AQ37">
        <v>0.8726666666666667</v>
      </c>
      <c r="AS37" s="461">
        <v>45397</v>
      </c>
      <c r="AT37" s="98" t="s">
        <v>949</v>
      </c>
      <c r="AU37" s="98" t="s">
        <v>54</v>
      </c>
      <c r="AV37" s="98" t="s">
        <v>1006</v>
      </c>
      <c r="AW37" s="98" t="s">
        <v>941</v>
      </c>
      <c r="AX37" s="98">
        <v>10</v>
      </c>
      <c r="AY37" s="98" t="s">
        <v>55</v>
      </c>
      <c r="AZ37"/>
      <c r="BA37"/>
      <c r="BB37" s="98" t="s">
        <v>58</v>
      </c>
      <c r="BC37" s="98" t="s">
        <v>59</v>
      </c>
      <c r="BD37" s="98" t="s">
        <v>55</v>
      </c>
      <c r="BE37" s="98" t="s">
        <v>1008</v>
      </c>
      <c r="BF37">
        <v>36300000</v>
      </c>
    </row>
    <row r="38" spans="8:61" x14ac:dyDescent="0.3">
      <c r="H38" s="463">
        <v>45397</v>
      </c>
      <c r="I38" s="38" t="s">
        <v>941</v>
      </c>
      <c r="J38" s="38"/>
      <c r="K38" s="38"/>
      <c r="L38" s="38"/>
      <c r="M38" s="38"/>
      <c r="N38" s="38"/>
      <c r="O38" s="38" t="s">
        <v>62</v>
      </c>
      <c r="P38" s="38">
        <v>97</v>
      </c>
      <c r="S38" s="466">
        <v>45337</v>
      </c>
      <c r="T38" s="38"/>
      <c r="U38" s="38"/>
      <c r="V38" s="38"/>
      <c r="W38" s="467" t="s">
        <v>62</v>
      </c>
      <c r="X38" s="467" t="s">
        <v>63</v>
      </c>
      <c r="Y38" s="467" t="s">
        <v>53</v>
      </c>
      <c r="Z38" s="38">
        <v>48000000</v>
      </c>
      <c r="AA38" s="38">
        <v>96</v>
      </c>
      <c r="AC38" s="462">
        <v>45397</v>
      </c>
      <c r="AD38" t="s">
        <v>949</v>
      </c>
      <c r="AE38" t="s">
        <v>1006</v>
      </c>
      <c r="AF38"/>
      <c r="AG38" t="s">
        <v>54</v>
      </c>
      <c r="AH38" t="s">
        <v>62</v>
      </c>
      <c r="AI38">
        <v>48500000</v>
      </c>
      <c r="AK38" s="98">
        <v>2024</v>
      </c>
      <c r="AL38" s="98">
        <v>8</v>
      </c>
      <c r="AM38" s="98" t="s">
        <v>55</v>
      </c>
      <c r="AN38" s="98" t="s">
        <v>56</v>
      </c>
      <c r="AO38">
        <v>150000000</v>
      </c>
      <c r="AP38">
        <v>0</v>
      </c>
      <c r="AQ38">
        <v>0</v>
      </c>
      <c r="AS38" s="461">
        <v>45397</v>
      </c>
      <c r="AT38" s="98" t="s">
        <v>949</v>
      </c>
      <c r="AU38" s="98" t="s">
        <v>54</v>
      </c>
      <c r="AV38" s="98" t="s">
        <v>1006</v>
      </c>
      <c r="AW38" s="98" t="s">
        <v>941</v>
      </c>
      <c r="AX38" s="98">
        <v>10</v>
      </c>
      <c r="AY38" s="98" t="s">
        <v>55</v>
      </c>
      <c r="AZ38"/>
      <c r="BA38"/>
      <c r="BB38" s="98" t="s">
        <v>62</v>
      </c>
      <c r="BC38" s="98" t="s">
        <v>63</v>
      </c>
      <c r="BD38" s="98" t="s">
        <v>55</v>
      </c>
      <c r="BE38" s="98" t="s">
        <v>1008</v>
      </c>
      <c r="BF38">
        <v>48500000</v>
      </c>
    </row>
    <row r="39" spans="8:61" x14ac:dyDescent="0.3">
      <c r="H39" s="463">
        <v>45407</v>
      </c>
      <c r="I39" s="38" t="s">
        <v>942</v>
      </c>
      <c r="J39" s="38" t="s">
        <v>1005</v>
      </c>
      <c r="K39" s="38" t="s">
        <v>999</v>
      </c>
      <c r="L39" s="38" t="s">
        <v>970</v>
      </c>
      <c r="M39" s="38">
        <v>6</v>
      </c>
      <c r="N39" s="38">
        <v>121300000</v>
      </c>
      <c r="O39" s="38" t="s">
        <v>29</v>
      </c>
      <c r="P39" s="38">
        <v>171</v>
      </c>
      <c r="S39" s="466">
        <v>45347</v>
      </c>
      <c r="T39" s="467" t="s">
        <v>1006</v>
      </c>
      <c r="U39" s="467" t="s">
        <v>964</v>
      </c>
      <c r="V39" s="467" t="s">
        <v>1002</v>
      </c>
      <c r="W39" s="467" t="s">
        <v>29</v>
      </c>
      <c r="X39" s="467" t="s">
        <v>52</v>
      </c>
      <c r="Y39" s="467" t="s">
        <v>53</v>
      </c>
      <c r="Z39" s="38">
        <v>32400000</v>
      </c>
      <c r="AA39" s="38">
        <v>162</v>
      </c>
      <c r="AC39" s="462">
        <v>45407</v>
      </c>
      <c r="AD39" t="s">
        <v>60</v>
      </c>
      <c r="AE39" t="s">
        <v>1005</v>
      </c>
      <c r="AF39">
        <v>121300000</v>
      </c>
      <c r="AG39" t="s">
        <v>54</v>
      </c>
      <c r="AH39" t="s">
        <v>29</v>
      </c>
      <c r="AI39">
        <v>34200000</v>
      </c>
      <c r="AK39" s="98">
        <v>2024</v>
      </c>
      <c r="AL39" s="98">
        <v>8</v>
      </c>
      <c r="AM39" s="98" t="s">
        <v>55</v>
      </c>
      <c r="AN39" s="98" t="s">
        <v>60</v>
      </c>
      <c r="AO39">
        <v>150000000</v>
      </c>
      <c r="AP39">
        <v>0</v>
      </c>
      <c r="AQ39">
        <v>0</v>
      </c>
      <c r="AS39" s="461">
        <v>45407</v>
      </c>
      <c r="AT39" s="98" t="s">
        <v>60</v>
      </c>
      <c r="AU39" s="98" t="s">
        <v>54</v>
      </c>
      <c r="AV39" s="98" t="s">
        <v>1005</v>
      </c>
      <c r="AW39" s="98" t="s">
        <v>942</v>
      </c>
      <c r="AX39" s="98">
        <v>6</v>
      </c>
      <c r="AY39" s="98" t="s">
        <v>55</v>
      </c>
      <c r="AZ39" s="98">
        <v>0</v>
      </c>
      <c r="BA39" s="98">
        <v>121300000</v>
      </c>
      <c r="BB39" s="98" t="s">
        <v>29</v>
      </c>
      <c r="BC39" s="98" t="s">
        <v>52</v>
      </c>
      <c r="BD39" s="98" t="s">
        <v>55</v>
      </c>
      <c r="BE39" s="98" t="s">
        <v>1008</v>
      </c>
      <c r="BF39">
        <v>34200000</v>
      </c>
    </row>
    <row r="40" spans="8:61" x14ac:dyDescent="0.3">
      <c r="H40" s="463">
        <v>45407</v>
      </c>
      <c r="I40" s="38" t="s">
        <v>942</v>
      </c>
      <c r="J40" s="38"/>
      <c r="K40" s="38"/>
      <c r="L40" s="38"/>
      <c r="M40" s="38"/>
      <c r="N40" s="38"/>
      <c r="O40" s="38" t="s">
        <v>58</v>
      </c>
      <c r="P40" s="38">
        <v>127</v>
      </c>
      <c r="S40" s="466">
        <v>45347</v>
      </c>
      <c r="T40" s="38"/>
      <c r="U40" s="38"/>
      <c r="V40" s="38"/>
      <c r="W40" s="467" t="s">
        <v>58</v>
      </c>
      <c r="X40" s="467" t="s">
        <v>59</v>
      </c>
      <c r="Y40" s="467" t="s">
        <v>53</v>
      </c>
      <c r="Z40" s="38">
        <v>34500000</v>
      </c>
      <c r="AA40" s="38">
        <v>115</v>
      </c>
      <c r="AC40" s="462">
        <v>45407</v>
      </c>
      <c r="AD40" t="s">
        <v>60</v>
      </c>
      <c r="AE40" t="s">
        <v>1005</v>
      </c>
      <c r="AF40"/>
      <c r="AG40" t="s">
        <v>54</v>
      </c>
      <c r="AH40" t="s">
        <v>58</v>
      </c>
      <c r="AI40">
        <v>38100000</v>
      </c>
      <c r="AK40" s="98">
        <v>2024</v>
      </c>
      <c r="AL40" s="98">
        <v>8</v>
      </c>
      <c r="AM40" s="98" t="s">
        <v>54</v>
      </c>
      <c r="AN40" s="98" t="s">
        <v>55</v>
      </c>
      <c r="AO40">
        <v>300000000</v>
      </c>
      <c r="AP40">
        <v>280800000</v>
      </c>
      <c r="AQ40">
        <v>0.93600000000000005</v>
      </c>
      <c r="AS40" s="461">
        <v>45407</v>
      </c>
      <c r="AT40" s="98" t="s">
        <v>60</v>
      </c>
      <c r="AU40" s="98" t="s">
        <v>54</v>
      </c>
      <c r="AV40" s="98" t="s">
        <v>1005</v>
      </c>
      <c r="AW40" s="98" t="s">
        <v>942</v>
      </c>
      <c r="AX40" s="98">
        <v>6</v>
      </c>
      <c r="AY40" s="98" t="s">
        <v>55</v>
      </c>
      <c r="AZ40"/>
      <c r="BA40"/>
      <c r="BB40" s="98" t="s">
        <v>58</v>
      </c>
      <c r="BC40" s="98" t="s">
        <v>59</v>
      </c>
      <c r="BD40" s="98" t="s">
        <v>55</v>
      </c>
      <c r="BE40" s="98" t="s">
        <v>1008</v>
      </c>
      <c r="BF40">
        <v>38100000</v>
      </c>
    </row>
    <row r="41" spans="8:61" x14ac:dyDescent="0.3">
      <c r="H41" s="463">
        <v>45407</v>
      </c>
      <c r="I41" s="38" t="s">
        <v>942</v>
      </c>
      <c r="J41" s="38"/>
      <c r="K41" s="38"/>
      <c r="L41" s="38"/>
      <c r="M41" s="38"/>
      <c r="N41" s="38"/>
      <c r="O41" s="38" t="s">
        <v>62</v>
      </c>
      <c r="P41" s="38">
        <v>98</v>
      </c>
      <c r="S41" s="466">
        <v>45347</v>
      </c>
      <c r="T41" s="38"/>
      <c r="U41" s="38"/>
      <c r="V41" s="38"/>
      <c r="W41" s="467" t="s">
        <v>62</v>
      </c>
      <c r="X41" s="467" t="s">
        <v>63</v>
      </c>
      <c r="Y41" s="467" t="s">
        <v>53</v>
      </c>
      <c r="Z41" s="38">
        <v>47000000</v>
      </c>
      <c r="AA41" s="38">
        <v>94</v>
      </c>
      <c r="AC41" s="462">
        <v>45407</v>
      </c>
      <c r="AD41" t="s">
        <v>60</v>
      </c>
      <c r="AE41" t="s">
        <v>1005</v>
      </c>
      <c r="AF41"/>
      <c r="AG41" t="s">
        <v>54</v>
      </c>
      <c r="AH41" t="s">
        <v>62</v>
      </c>
      <c r="AI41">
        <v>49000000</v>
      </c>
      <c r="AK41" s="98">
        <v>2024</v>
      </c>
      <c r="AL41" s="98">
        <v>8</v>
      </c>
      <c r="AM41" s="98" t="s">
        <v>65</v>
      </c>
      <c r="AN41" s="98" t="s">
        <v>55</v>
      </c>
      <c r="AO41">
        <v>150000000</v>
      </c>
      <c r="AP41">
        <v>140200000</v>
      </c>
      <c r="AQ41">
        <v>0.93466666666666665</v>
      </c>
      <c r="AS41" s="461">
        <v>45407</v>
      </c>
      <c r="AT41" s="98" t="s">
        <v>60</v>
      </c>
      <c r="AU41" s="98" t="s">
        <v>54</v>
      </c>
      <c r="AV41" s="98" t="s">
        <v>1005</v>
      </c>
      <c r="AW41" s="98" t="s">
        <v>942</v>
      </c>
      <c r="AX41" s="98">
        <v>6</v>
      </c>
      <c r="AY41" s="98" t="s">
        <v>55</v>
      </c>
      <c r="AZ41"/>
      <c r="BA41"/>
      <c r="BB41" s="98" t="s">
        <v>62</v>
      </c>
      <c r="BC41" s="98" t="s">
        <v>63</v>
      </c>
      <c r="BD41" s="98" t="s">
        <v>55</v>
      </c>
      <c r="BE41" s="98" t="s">
        <v>1008</v>
      </c>
      <c r="BF41">
        <v>49000000</v>
      </c>
    </row>
    <row r="42" spans="8:61" x14ac:dyDescent="0.3">
      <c r="H42" s="463">
        <v>45417</v>
      </c>
      <c r="I42" s="38" t="s">
        <v>940</v>
      </c>
      <c r="J42" s="38" t="s">
        <v>1006</v>
      </c>
      <c r="K42" s="38" t="s">
        <v>997</v>
      </c>
      <c r="L42" s="38" t="s">
        <v>971</v>
      </c>
      <c r="M42" s="38">
        <v>14</v>
      </c>
      <c r="N42" s="38">
        <v>122900000</v>
      </c>
      <c r="O42" s="38" t="s">
        <v>29</v>
      </c>
      <c r="P42" s="38">
        <v>174</v>
      </c>
      <c r="S42" s="466">
        <v>45356</v>
      </c>
      <c r="T42" s="467" t="s">
        <v>1006</v>
      </c>
      <c r="U42" s="467" t="s">
        <v>965</v>
      </c>
      <c r="V42" s="467" t="s">
        <v>997</v>
      </c>
      <c r="W42" s="467" t="s">
        <v>29</v>
      </c>
      <c r="X42" s="467" t="s">
        <v>52</v>
      </c>
      <c r="Y42" s="467" t="s">
        <v>53</v>
      </c>
      <c r="Z42" s="38">
        <v>32800000</v>
      </c>
      <c r="AA42" s="38">
        <v>164</v>
      </c>
      <c r="AC42" s="462">
        <v>45417</v>
      </c>
      <c r="AD42" t="s">
        <v>60</v>
      </c>
      <c r="AE42" t="s">
        <v>1006</v>
      </c>
      <c r="AF42">
        <v>122900000</v>
      </c>
      <c r="AG42" t="s">
        <v>65</v>
      </c>
      <c r="AH42" t="s">
        <v>29</v>
      </c>
      <c r="AI42">
        <v>34800000</v>
      </c>
      <c r="AK42" s="98">
        <v>2024</v>
      </c>
      <c r="AL42" s="98">
        <v>9</v>
      </c>
      <c r="AM42" s="98" t="s">
        <v>55</v>
      </c>
      <c r="AN42" s="98" t="s">
        <v>56</v>
      </c>
      <c r="AO42">
        <v>150000000</v>
      </c>
      <c r="AP42">
        <v>0</v>
      </c>
      <c r="AQ42">
        <v>0</v>
      </c>
      <c r="AS42" s="461">
        <v>45417</v>
      </c>
      <c r="AT42" s="98" t="s">
        <v>60</v>
      </c>
      <c r="AU42" s="98" t="s">
        <v>65</v>
      </c>
      <c r="AV42" s="98" t="s">
        <v>1006</v>
      </c>
      <c r="AW42" s="98" t="s">
        <v>940</v>
      </c>
      <c r="AX42" s="98">
        <v>14</v>
      </c>
      <c r="AY42" s="98" t="s">
        <v>55</v>
      </c>
      <c r="AZ42" s="98">
        <v>0</v>
      </c>
      <c r="BA42" s="98">
        <v>122900000</v>
      </c>
      <c r="BB42" s="98" t="s">
        <v>29</v>
      </c>
      <c r="BC42" s="98" t="s">
        <v>52</v>
      </c>
      <c r="BD42" s="98" t="s">
        <v>55</v>
      </c>
      <c r="BE42" s="98" t="s">
        <v>1008</v>
      </c>
      <c r="BF42">
        <v>34800000</v>
      </c>
    </row>
    <row r="43" spans="8:61" x14ac:dyDescent="0.3">
      <c r="H43" s="463">
        <v>45417</v>
      </c>
      <c r="I43" s="38" t="s">
        <v>940</v>
      </c>
      <c r="J43" s="38"/>
      <c r="K43" s="38"/>
      <c r="L43" s="38"/>
      <c r="M43" s="38"/>
      <c r="N43" s="38"/>
      <c r="O43" s="38" t="s">
        <v>58</v>
      </c>
      <c r="P43" s="38">
        <v>132</v>
      </c>
      <c r="S43" s="466">
        <v>45356</v>
      </c>
      <c r="T43" s="38"/>
      <c r="U43" s="38"/>
      <c r="V43" s="38"/>
      <c r="W43" s="467" t="s">
        <v>58</v>
      </c>
      <c r="X43" s="467" t="s">
        <v>59</v>
      </c>
      <c r="Y43" s="467" t="s">
        <v>53</v>
      </c>
      <c r="Z43" s="38">
        <v>34200000</v>
      </c>
      <c r="AA43" s="38">
        <v>114</v>
      </c>
      <c r="AC43" s="462">
        <v>45417</v>
      </c>
      <c r="AD43" t="s">
        <v>60</v>
      </c>
      <c r="AE43" t="s">
        <v>1006</v>
      </c>
      <c r="AF43"/>
      <c r="AG43" t="s">
        <v>65</v>
      </c>
      <c r="AH43" t="s">
        <v>58</v>
      </c>
      <c r="AI43">
        <v>39600000</v>
      </c>
      <c r="AK43" s="98">
        <v>2024</v>
      </c>
      <c r="AL43" s="98">
        <v>9</v>
      </c>
      <c r="AM43" s="98" t="s">
        <v>55</v>
      </c>
      <c r="AN43" s="98" t="s">
        <v>60</v>
      </c>
      <c r="AO43">
        <v>150000000</v>
      </c>
      <c r="AP43">
        <v>292800000</v>
      </c>
      <c r="AQ43">
        <v>1.952</v>
      </c>
      <c r="AS43" s="461">
        <v>45417</v>
      </c>
      <c r="AT43" s="98" t="s">
        <v>60</v>
      </c>
      <c r="AU43" s="98" t="s">
        <v>65</v>
      </c>
      <c r="AV43" s="98" t="s">
        <v>1006</v>
      </c>
      <c r="AW43" s="98" t="s">
        <v>940</v>
      </c>
      <c r="AX43" s="98">
        <v>14</v>
      </c>
      <c r="AY43" s="98" t="s">
        <v>55</v>
      </c>
      <c r="AZ43"/>
      <c r="BA43"/>
      <c r="BB43" s="98" t="s">
        <v>58</v>
      </c>
      <c r="BC43" s="98" t="s">
        <v>59</v>
      </c>
      <c r="BD43" s="98" t="s">
        <v>55</v>
      </c>
      <c r="BE43" s="98" t="s">
        <v>1008</v>
      </c>
      <c r="BF43">
        <v>39600000</v>
      </c>
    </row>
    <row r="44" spans="8:61" x14ac:dyDescent="0.3">
      <c r="H44" s="463">
        <v>45417</v>
      </c>
      <c r="I44" s="38" t="s">
        <v>940</v>
      </c>
      <c r="J44" s="38"/>
      <c r="K44" s="38"/>
      <c r="L44" s="38"/>
      <c r="M44" s="38"/>
      <c r="N44" s="38"/>
      <c r="O44" s="38" t="s">
        <v>62</v>
      </c>
      <c r="P44" s="38">
        <v>97</v>
      </c>
      <c r="S44" s="466">
        <v>45356</v>
      </c>
      <c r="T44" s="38"/>
      <c r="U44" s="38"/>
      <c r="V44" s="38"/>
      <c r="W44" s="467" t="s">
        <v>62</v>
      </c>
      <c r="X44" s="467" t="s">
        <v>63</v>
      </c>
      <c r="Y44" s="467" t="s">
        <v>53</v>
      </c>
      <c r="Z44" s="38">
        <v>46500000</v>
      </c>
      <c r="AA44" s="38">
        <v>93</v>
      </c>
      <c r="AC44" s="462">
        <v>45417</v>
      </c>
      <c r="AD44" t="s">
        <v>60</v>
      </c>
      <c r="AE44" t="s">
        <v>1006</v>
      </c>
      <c r="AF44"/>
      <c r="AG44" t="s">
        <v>65</v>
      </c>
      <c r="AH44" t="s">
        <v>62</v>
      </c>
      <c r="AI44">
        <v>48500000</v>
      </c>
      <c r="AK44" s="98">
        <v>2024</v>
      </c>
      <c r="AL44" s="98">
        <v>9</v>
      </c>
      <c r="AM44" s="98" t="s">
        <v>54</v>
      </c>
      <c r="AN44" s="98" t="s">
        <v>55</v>
      </c>
      <c r="AO44">
        <v>300000000</v>
      </c>
      <c r="AP44">
        <v>296600000</v>
      </c>
      <c r="AQ44">
        <v>0.98866666666666669</v>
      </c>
      <c r="AS44" s="461">
        <v>45417</v>
      </c>
      <c r="AT44" s="98" t="s">
        <v>60</v>
      </c>
      <c r="AU44" s="98" t="s">
        <v>65</v>
      </c>
      <c r="AV44" s="98" t="s">
        <v>1006</v>
      </c>
      <c r="AW44" s="98" t="s">
        <v>940</v>
      </c>
      <c r="AX44" s="98">
        <v>14</v>
      </c>
      <c r="AY44" s="98" t="s">
        <v>55</v>
      </c>
      <c r="AZ44"/>
      <c r="BA44"/>
      <c r="BB44" s="98" t="s">
        <v>62</v>
      </c>
      <c r="BC44" s="98" t="s">
        <v>63</v>
      </c>
      <c r="BD44" s="98" t="s">
        <v>55</v>
      </c>
      <c r="BE44" s="98" t="s">
        <v>1008</v>
      </c>
      <c r="BF44">
        <v>48500000</v>
      </c>
    </row>
    <row r="45" spans="8:61" x14ac:dyDescent="0.3">
      <c r="H45" s="463">
        <v>45427</v>
      </c>
      <c r="I45" s="38" t="s">
        <v>939</v>
      </c>
      <c r="J45" s="38" t="s">
        <v>1005</v>
      </c>
      <c r="K45" s="38" t="s">
        <v>996</v>
      </c>
      <c r="L45" s="38" t="s">
        <v>972</v>
      </c>
      <c r="M45" s="38">
        <v>12</v>
      </c>
      <c r="N45" s="38">
        <v>126600000</v>
      </c>
      <c r="O45" s="38" t="s">
        <v>29</v>
      </c>
      <c r="P45" s="38">
        <v>183</v>
      </c>
      <c r="S45" s="466">
        <v>45366</v>
      </c>
      <c r="T45" s="467" t="s">
        <v>1005</v>
      </c>
      <c r="U45" s="467" t="s">
        <v>966</v>
      </c>
      <c r="V45" s="467" t="s">
        <v>996</v>
      </c>
      <c r="W45" s="467" t="s">
        <v>29</v>
      </c>
      <c r="X45" s="467" t="s">
        <v>52</v>
      </c>
      <c r="Y45" s="467" t="s">
        <v>53</v>
      </c>
      <c r="Z45" s="38">
        <v>32200000</v>
      </c>
      <c r="AA45" s="38">
        <v>161</v>
      </c>
      <c r="AC45" s="462">
        <v>45427</v>
      </c>
      <c r="AD45" t="s">
        <v>949</v>
      </c>
      <c r="AE45" t="s">
        <v>1005</v>
      </c>
      <c r="AF45">
        <v>126600000</v>
      </c>
      <c r="AG45" t="s">
        <v>54</v>
      </c>
      <c r="AH45" t="s">
        <v>29</v>
      </c>
      <c r="AI45">
        <v>36600000</v>
      </c>
      <c r="AK45" s="98">
        <v>2024</v>
      </c>
      <c r="AL45" s="98">
        <v>9</v>
      </c>
      <c r="AM45" s="98" t="s">
        <v>65</v>
      </c>
      <c r="AN45" s="98" t="s">
        <v>55</v>
      </c>
      <c r="AO45">
        <v>150000000</v>
      </c>
      <c r="AP45">
        <v>146100000</v>
      </c>
      <c r="AQ45">
        <v>0.97399999999999998</v>
      </c>
      <c r="AS45" s="461">
        <v>45427</v>
      </c>
      <c r="AT45" s="98" t="s">
        <v>949</v>
      </c>
      <c r="AU45" s="98" t="s">
        <v>54</v>
      </c>
      <c r="AV45" s="98" t="s">
        <v>1005</v>
      </c>
      <c r="AW45" s="98" t="s">
        <v>939</v>
      </c>
      <c r="AX45" s="98">
        <v>12</v>
      </c>
      <c r="AY45" s="98" t="s">
        <v>55</v>
      </c>
      <c r="AZ45" s="98">
        <v>0</v>
      </c>
      <c r="BA45" s="98">
        <v>126600000</v>
      </c>
      <c r="BB45" s="98" t="s">
        <v>29</v>
      </c>
      <c r="BC45" s="98" t="s">
        <v>52</v>
      </c>
      <c r="BD45" s="98" t="s">
        <v>55</v>
      </c>
      <c r="BE45" s="98" t="s">
        <v>1008</v>
      </c>
      <c r="BF45">
        <v>36600000</v>
      </c>
    </row>
    <row r="46" spans="8:61" x14ac:dyDescent="0.3">
      <c r="H46" s="463">
        <v>45427</v>
      </c>
      <c r="I46" s="38" t="s">
        <v>939</v>
      </c>
      <c r="J46" s="38"/>
      <c r="K46" s="38"/>
      <c r="L46" s="38"/>
      <c r="M46" s="38"/>
      <c r="N46" s="38"/>
      <c r="O46" s="38" t="s">
        <v>58</v>
      </c>
      <c r="P46" s="38">
        <v>135</v>
      </c>
      <c r="S46" s="466">
        <v>45366</v>
      </c>
      <c r="T46" s="38"/>
      <c r="U46" s="38"/>
      <c r="V46" s="38"/>
      <c r="W46" s="467" t="s">
        <v>58</v>
      </c>
      <c r="X46" s="467" t="s">
        <v>59</v>
      </c>
      <c r="Y46" s="467" t="s">
        <v>53</v>
      </c>
      <c r="Z46" s="38">
        <v>34500000</v>
      </c>
      <c r="AA46" s="38">
        <v>115</v>
      </c>
      <c r="AC46" s="462">
        <v>45427</v>
      </c>
      <c r="AD46" t="s">
        <v>949</v>
      </c>
      <c r="AE46" t="s">
        <v>1005</v>
      </c>
      <c r="AF46"/>
      <c r="AG46" t="s">
        <v>54</v>
      </c>
      <c r="AH46" t="s">
        <v>58</v>
      </c>
      <c r="AI46">
        <v>40500000</v>
      </c>
      <c r="AK46" s="98">
        <v>2024</v>
      </c>
      <c r="AL46" s="98">
        <v>10</v>
      </c>
      <c r="AM46" s="98" t="s">
        <v>55</v>
      </c>
      <c r="AN46" s="98" t="s">
        <v>56</v>
      </c>
      <c r="AO46">
        <v>150000000</v>
      </c>
      <c r="AP46">
        <v>155100000</v>
      </c>
      <c r="AQ46">
        <v>1.034</v>
      </c>
      <c r="AS46" s="461">
        <v>45427</v>
      </c>
      <c r="AT46" s="98" t="s">
        <v>949</v>
      </c>
      <c r="AU46" s="98" t="s">
        <v>54</v>
      </c>
      <c r="AV46" s="98" t="s">
        <v>1005</v>
      </c>
      <c r="AW46" s="98" t="s">
        <v>939</v>
      </c>
      <c r="AX46" s="98">
        <v>12</v>
      </c>
      <c r="AY46" s="98" t="s">
        <v>55</v>
      </c>
      <c r="AZ46"/>
      <c r="BA46"/>
      <c r="BB46" s="98" t="s">
        <v>58</v>
      </c>
      <c r="BC46" s="98" t="s">
        <v>59</v>
      </c>
      <c r="BD46" s="98" t="s">
        <v>55</v>
      </c>
      <c r="BE46" s="98" t="s">
        <v>1008</v>
      </c>
      <c r="BF46">
        <v>40500000</v>
      </c>
    </row>
    <row r="47" spans="8:61" x14ac:dyDescent="0.3">
      <c r="H47" s="463">
        <v>45427</v>
      </c>
      <c r="I47" s="38" t="s">
        <v>939</v>
      </c>
      <c r="J47" s="38"/>
      <c r="K47" s="38"/>
      <c r="L47" s="38"/>
      <c r="M47" s="38"/>
      <c r="N47" s="38"/>
      <c r="O47" s="38" t="s">
        <v>62</v>
      </c>
      <c r="P47" s="38">
        <v>99</v>
      </c>
      <c r="S47" s="466">
        <v>45366</v>
      </c>
      <c r="T47" s="38"/>
      <c r="U47" s="38"/>
      <c r="V47" s="38"/>
      <c r="W47" s="467" t="s">
        <v>62</v>
      </c>
      <c r="X47" s="467" t="s">
        <v>63</v>
      </c>
      <c r="Y47" s="467" t="s">
        <v>53</v>
      </c>
      <c r="Z47" s="38">
        <v>46500000</v>
      </c>
      <c r="AA47" s="38">
        <v>93</v>
      </c>
      <c r="AC47" s="462">
        <v>45427</v>
      </c>
      <c r="AD47" t="s">
        <v>949</v>
      </c>
      <c r="AE47" t="s">
        <v>1005</v>
      </c>
      <c r="AF47"/>
      <c r="AG47" t="s">
        <v>54</v>
      </c>
      <c r="AH47" t="s">
        <v>62</v>
      </c>
      <c r="AI47">
        <v>49500000</v>
      </c>
      <c r="AK47" s="98">
        <v>2024</v>
      </c>
      <c r="AL47" s="98">
        <v>10</v>
      </c>
      <c r="AM47" s="98" t="s">
        <v>55</v>
      </c>
      <c r="AN47" s="98" t="s">
        <v>60</v>
      </c>
      <c r="AO47">
        <v>150000000</v>
      </c>
      <c r="AP47">
        <v>159200000</v>
      </c>
      <c r="AQ47">
        <v>1.0613333333333332</v>
      </c>
      <c r="AS47" s="461">
        <v>45427</v>
      </c>
      <c r="AT47" s="98" t="s">
        <v>949</v>
      </c>
      <c r="AU47" s="98" t="s">
        <v>54</v>
      </c>
      <c r="AV47" s="98" t="s">
        <v>1005</v>
      </c>
      <c r="AW47" s="98" t="s">
        <v>939</v>
      </c>
      <c r="AX47" s="98">
        <v>12</v>
      </c>
      <c r="AY47" s="98" t="s">
        <v>55</v>
      </c>
      <c r="AZ47"/>
      <c r="BA47"/>
      <c r="BB47" s="98" t="s">
        <v>62</v>
      </c>
      <c r="BC47" s="98" t="s">
        <v>63</v>
      </c>
      <c r="BD47" s="98" t="s">
        <v>55</v>
      </c>
      <c r="BE47" s="98" t="s">
        <v>1008</v>
      </c>
      <c r="BF47">
        <v>49500000</v>
      </c>
    </row>
    <row r="48" spans="8:61" x14ac:dyDescent="0.3">
      <c r="H48" s="463">
        <v>45437</v>
      </c>
      <c r="I48" s="38" t="s">
        <v>944</v>
      </c>
      <c r="J48" s="38" t="s">
        <v>1005</v>
      </c>
      <c r="K48" s="38" t="s">
        <v>1001</v>
      </c>
      <c r="L48" s="38" t="s">
        <v>973</v>
      </c>
      <c r="M48" s="38">
        <v>3</v>
      </c>
      <c r="N48" s="38">
        <v>126900000</v>
      </c>
      <c r="O48" s="38" t="s">
        <v>29</v>
      </c>
      <c r="P48" s="38">
        <v>185</v>
      </c>
      <c r="S48" s="466">
        <v>45376</v>
      </c>
      <c r="T48" s="467" t="s">
        <v>1006</v>
      </c>
      <c r="U48" s="467" t="s">
        <v>967</v>
      </c>
      <c r="V48" s="467" t="s">
        <v>1000</v>
      </c>
      <c r="W48" s="467" t="s">
        <v>29</v>
      </c>
      <c r="X48" s="467" t="s">
        <v>52</v>
      </c>
      <c r="Y48" s="467" t="s">
        <v>53</v>
      </c>
      <c r="Z48" s="38">
        <v>32800000</v>
      </c>
      <c r="AA48" s="38">
        <v>164</v>
      </c>
      <c r="AC48" s="462">
        <v>45437</v>
      </c>
      <c r="AD48" t="s">
        <v>56</v>
      </c>
      <c r="AE48" t="s">
        <v>1005</v>
      </c>
      <c r="AF48">
        <v>126900000</v>
      </c>
      <c r="AG48" t="s">
        <v>65</v>
      </c>
      <c r="AH48" t="s">
        <v>29</v>
      </c>
      <c r="AI48">
        <v>37000000</v>
      </c>
      <c r="AK48" s="98">
        <v>2024</v>
      </c>
      <c r="AL48" s="98">
        <v>10</v>
      </c>
      <c r="AM48" s="98" t="s">
        <v>54</v>
      </c>
      <c r="AN48" s="98" t="s">
        <v>55</v>
      </c>
      <c r="AO48">
        <v>300000000</v>
      </c>
      <c r="AP48">
        <v>314300000</v>
      </c>
      <c r="AQ48">
        <v>1.0476666666666667</v>
      </c>
      <c r="AS48" s="461">
        <v>45437</v>
      </c>
      <c r="AT48" s="98" t="s">
        <v>56</v>
      </c>
      <c r="AU48" s="98" t="s">
        <v>65</v>
      </c>
      <c r="AV48" s="98" t="s">
        <v>1005</v>
      </c>
      <c r="AW48" s="98" t="s">
        <v>944</v>
      </c>
      <c r="AX48" s="98">
        <v>3</v>
      </c>
      <c r="AY48" s="98" t="s">
        <v>55</v>
      </c>
      <c r="AZ48" s="98">
        <v>0</v>
      </c>
      <c r="BA48" s="98">
        <v>126900000</v>
      </c>
      <c r="BB48" s="98" t="s">
        <v>29</v>
      </c>
      <c r="BC48" s="98" t="s">
        <v>52</v>
      </c>
      <c r="BD48" s="98" t="s">
        <v>55</v>
      </c>
      <c r="BE48" s="98" t="s">
        <v>1008</v>
      </c>
      <c r="BF48">
        <v>37000000</v>
      </c>
    </row>
    <row r="49" spans="8:58" x14ac:dyDescent="0.3">
      <c r="H49" s="463">
        <v>45437</v>
      </c>
      <c r="I49" s="38" t="s">
        <v>944</v>
      </c>
      <c r="J49" s="38"/>
      <c r="K49" s="38"/>
      <c r="L49" s="38"/>
      <c r="M49" s="38"/>
      <c r="N49" s="38"/>
      <c r="O49" s="38" t="s">
        <v>58</v>
      </c>
      <c r="P49" s="38">
        <v>138</v>
      </c>
      <c r="S49" s="466">
        <v>45376</v>
      </c>
      <c r="T49" s="38"/>
      <c r="U49" s="38"/>
      <c r="V49" s="38"/>
      <c r="W49" s="467" t="s">
        <v>58</v>
      </c>
      <c r="X49" s="467" t="s">
        <v>59</v>
      </c>
      <c r="Y49" s="467" t="s">
        <v>53</v>
      </c>
      <c r="Z49" s="38">
        <v>33900000</v>
      </c>
      <c r="AA49" s="38">
        <v>113</v>
      </c>
      <c r="AC49" s="462">
        <v>45437</v>
      </c>
      <c r="AD49" t="s">
        <v>56</v>
      </c>
      <c r="AE49" t="s">
        <v>1005</v>
      </c>
      <c r="AF49"/>
      <c r="AG49" t="s">
        <v>65</v>
      </c>
      <c r="AH49" t="s">
        <v>58</v>
      </c>
      <c r="AI49">
        <v>41400000</v>
      </c>
      <c r="AK49" s="98">
        <v>2024</v>
      </c>
      <c r="AL49" s="98">
        <v>10</v>
      </c>
      <c r="AM49" s="98" t="s">
        <v>65</v>
      </c>
      <c r="AN49" s="98" t="s">
        <v>55</v>
      </c>
      <c r="AO49">
        <v>150000000</v>
      </c>
      <c r="AP49">
        <v>155000000</v>
      </c>
      <c r="AQ49">
        <v>1.0333333333333334</v>
      </c>
      <c r="AS49" s="461">
        <v>45437</v>
      </c>
      <c r="AT49" s="98" t="s">
        <v>56</v>
      </c>
      <c r="AU49" s="98" t="s">
        <v>65</v>
      </c>
      <c r="AV49" s="98" t="s">
        <v>1005</v>
      </c>
      <c r="AW49" s="98" t="s">
        <v>944</v>
      </c>
      <c r="AX49" s="98">
        <v>3</v>
      </c>
      <c r="AY49" s="98" t="s">
        <v>55</v>
      </c>
      <c r="AZ49"/>
      <c r="BA49"/>
      <c r="BB49" s="98" t="s">
        <v>58</v>
      </c>
      <c r="BC49" s="98" t="s">
        <v>59</v>
      </c>
      <c r="BD49" s="98" t="s">
        <v>55</v>
      </c>
      <c r="BE49" s="98" t="s">
        <v>1008</v>
      </c>
      <c r="BF49">
        <v>41400000</v>
      </c>
    </row>
    <row r="50" spans="8:58" x14ac:dyDescent="0.3">
      <c r="H50" s="463">
        <v>45437</v>
      </c>
      <c r="I50" s="38" t="s">
        <v>944</v>
      </c>
      <c r="J50" s="38"/>
      <c r="K50" s="38"/>
      <c r="L50" s="38"/>
      <c r="M50" s="38"/>
      <c r="N50" s="38"/>
      <c r="O50" s="38" t="s">
        <v>62</v>
      </c>
      <c r="P50" s="38">
        <v>97</v>
      </c>
      <c r="S50" s="466">
        <v>45376</v>
      </c>
      <c r="T50" s="38"/>
      <c r="U50" s="38"/>
      <c r="V50" s="38"/>
      <c r="W50" s="467" t="s">
        <v>62</v>
      </c>
      <c r="X50" s="467" t="s">
        <v>63</v>
      </c>
      <c r="Y50" s="467" t="s">
        <v>53</v>
      </c>
      <c r="Z50" s="38">
        <v>45500000</v>
      </c>
      <c r="AA50" s="38">
        <v>91</v>
      </c>
      <c r="AC50" s="462">
        <v>45437</v>
      </c>
      <c r="AD50" t="s">
        <v>56</v>
      </c>
      <c r="AE50" t="s">
        <v>1005</v>
      </c>
      <c r="AF50"/>
      <c r="AG50" t="s">
        <v>65</v>
      </c>
      <c r="AH50" t="s">
        <v>62</v>
      </c>
      <c r="AI50">
        <v>48500000</v>
      </c>
      <c r="AK50" s="98">
        <v>2024</v>
      </c>
      <c r="AL50" s="98">
        <v>11</v>
      </c>
      <c r="AM50" s="98" t="s">
        <v>55</v>
      </c>
      <c r="AN50" s="98" t="s">
        <v>56</v>
      </c>
      <c r="AO50">
        <v>150000000</v>
      </c>
      <c r="AP50">
        <v>0</v>
      </c>
      <c r="AQ50">
        <v>0</v>
      </c>
      <c r="AS50" s="461">
        <v>45437</v>
      </c>
      <c r="AT50" s="98" t="s">
        <v>56</v>
      </c>
      <c r="AU50" s="98" t="s">
        <v>65</v>
      </c>
      <c r="AV50" s="98" t="s">
        <v>1005</v>
      </c>
      <c r="AW50" s="98" t="s">
        <v>944</v>
      </c>
      <c r="AX50" s="98">
        <v>3</v>
      </c>
      <c r="AY50" s="98" t="s">
        <v>55</v>
      </c>
      <c r="AZ50"/>
      <c r="BA50"/>
      <c r="BB50" s="98" t="s">
        <v>62</v>
      </c>
      <c r="BC50" s="98" t="s">
        <v>63</v>
      </c>
      <c r="BD50" s="98" t="s">
        <v>55</v>
      </c>
      <c r="BE50" s="98" t="s">
        <v>1008</v>
      </c>
      <c r="BF50">
        <v>48500000</v>
      </c>
    </row>
    <row r="51" spans="8:58" x14ac:dyDescent="0.3">
      <c r="H51" s="463">
        <v>45448</v>
      </c>
      <c r="I51" s="38" t="s">
        <v>940</v>
      </c>
      <c r="J51" s="38" t="s">
        <v>1006</v>
      </c>
      <c r="K51" s="38" t="s">
        <v>997</v>
      </c>
      <c r="L51" s="38" t="s">
        <v>974</v>
      </c>
      <c r="M51" s="38">
        <v>15</v>
      </c>
      <c r="N51" s="38">
        <v>127700000</v>
      </c>
      <c r="O51" s="38" t="s">
        <v>29</v>
      </c>
      <c r="P51" s="38">
        <v>189</v>
      </c>
      <c r="S51" s="466">
        <v>45387</v>
      </c>
      <c r="T51" s="467" t="s">
        <v>1006</v>
      </c>
      <c r="U51" s="467" t="s">
        <v>968</v>
      </c>
      <c r="V51" s="467" t="s">
        <v>998</v>
      </c>
      <c r="W51" s="467" t="s">
        <v>29</v>
      </c>
      <c r="X51" s="467" t="s">
        <v>52</v>
      </c>
      <c r="Y51" s="467" t="s">
        <v>53</v>
      </c>
      <c r="Z51" s="38">
        <v>34400000</v>
      </c>
      <c r="AA51" s="38">
        <v>172</v>
      </c>
      <c r="AC51" s="462">
        <v>45448</v>
      </c>
      <c r="AD51" t="s">
        <v>950</v>
      </c>
      <c r="AE51" t="s">
        <v>1006</v>
      </c>
      <c r="AF51">
        <v>127700000</v>
      </c>
      <c r="AG51" t="s">
        <v>54</v>
      </c>
      <c r="AH51" t="s">
        <v>29</v>
      </c>
      <c r="AI51">
        <v>37800000</v>
      </c>
      <c r="AK51" s="98">
        <v>2024</v>
      </c>
      <c r="AL51" s="98">
        <v>11</v>
      </c>
      <c r="AM51" s="98" t="s">
        <v>55</v>
      </c>
      <c r="AN51" s="98" t="s">
        <v>60</v>
      </c>
      <c r="AO51">
        <v>150000000</v>
      </c>
      <c r="AP51">
        <v>0</v>
      </c>
      <c r="AQ51">
        <v>0</v>
      </c>
      <c r="AS51" s="461">
        <v>45448</v>
      </c>
      <c r="AT51" s="98" t="s">
        <v>950</v>
      </c>
      <c r="AU51" s="98" t="s">
        <v>54</v>
      </c>
      <c r="AV51" s="98" t="s">
        <v>1006</v>
      </c>
      <c r="AW51" s="98" t="s">
        <v>940</v>
      </c>
      <c r="AX51" s="98">
        <v>15</v>
      </c>
      <c r="AY51" s="98" t="s">
        <v>55</v>
      </c>
      <c r="AZ51" s="98">
        <v>0</v>
      </c>
      <c r="BA51" s="98">
        <v>127700000</v>
      </c>
      <c r="BB51" s="98" t="s">
        <v>29</v>
      </c>
      <c r="BC51" s="98" t="s">
        <v>52</v>
      </c>
      <c r="BD51" s="98" t="s">
        <v>55</v>
      </c>
      <c r="BE51" s="98" t="s">
        <v>1008</v>
      </c>
      <c r="BF51">
        <v>37800000</v>
      </c>
    </row>
    <row r="52" spans="8:58" x14ac:dyDescent="0.3">
      <c r="H52" s="463">
        <v>45448</v>
      </c>
      <c r="I52" s="38" t="s">
        <v>940</v>
      </c>
      <c r="J52" s="38"/>
      <c r="K52" s="38"/>
      <c r="L52" s="38"/>
      <c r="M52" s="38"/>
      <c r="N52" s="38"/>
      <c r="O52" s="38" t="s">
        <v>58</v>
      </c>
      <c r="P52" s="38">
        <v>138</v>
      </c>
      <c r="S52" s="466">
        <v>45387</v>
      </c>
      <c r="T52" s="38"/>
      <c r="U52" s="38"/>
      <c r="V52" s="38"/>
      <c r="W52" s="467" t="s">
        <v>58</v>
      </c>
      <c r="X52" s="467" t="s">
        <v>59</v>
      </c>
      <c r="Y52" s="467" t="s">
        <v>53</v>
      </c>
      <c r="Z52" s="38">
        <v>34800000</v>
      </c>
      <c r="AA52" s="38">
        <v>116</v>
      </c>
      <c r="AC52" s="462">
        <v>45448</v>
      </c>
      <c r="AD52" t="s">
        <v>950</v>
      </c>
      <c r="AE52" t="s">
        <v>1006</v>
      </c>
      <c r="AF52"/>
      <c r="AG52" t="s">
        <v>54</v>
      </c>
      <c r="AH52" t="s">
        <v>58</v>
      </c>
      <c r="AI52">
        <v>41400000</v>
      </c>
      <c r="AK52" s="98">
        <v>2024</v>
      </c>
      <c r="AL52" s="98">
        <v>11</v>
      </c>
      <c r="AM52" s="98" t="s">
        <v>54</v>
      </c>
      <c r="AN52" s="98" t="s">
        <v>55</v>
      </c>
      <c r="AO52">
        <v>300000000</v>
      </c>
      <c r="AP52">
        <v>324600000</v>
      </c>
      <c r="AQ52">
        <v>1.0820000000000001</v>
      </c>
      <c r="AS52" s="461">
        <v>45448</v>
      </c>
      <c r="AT52" s="98" t="s">
        <v>950</v>
      </c>
      <c r="AU52" s="98" t="s">
        <v>54</v>
      </c>
      <c r="AV52" s="98" t="s">
        <v>1006</v>
      </c>
      <c r="AW52" s="98" t="s">
        <v>940</v>
      </c>
      <c r="AX52" s="98">
        <v>15</v>
      </c>
      <c r="AY52" s="98" t="s">
        <v>55</v>
      </c>
      <c r="AZ52"/>
      <c r="BA52"/>
      <c r="BB52" s="98" t="s">
        <v>58</v>
      </c>
      <c r="BC52" s="98" t="s">
        <v>59</v>
      </c>
      <c r="BD52" s="98" t="s">
        <v>55</v>
      </c>
      <c r="BE52" s="98" t="s">
        <v>1008</v>
      </c>
      <c r="BF52">
        <v>41400000</v>
      </c>
    </row>
    <row r="53" spans="8:58" x14ac:dyDescent="0.3">
      <c r="H53" s="463">
        <v>45448</v>
      </c>
      <c r="I53" s="38" t="s">
        <v>940</v>
      </c>
      <c r="J53" s="38"/>
      <c r="K53" s="38"/>
      <c r="L53" s="38"/>
      <c r="M53" s="38"/>
      <c r="N53" s="38"/>
      <c r="O53" s="38" t="s">
        <v>62</v>
      </c>
      <c r="P53" s="38">
        <v>97</v>
      </c>
      <c r="S53" s="466">
        <v>45387</v>
      </c>
      <c r="T53" s="38"/>
      <c r="U53" s="38"/>
      <c r="V53" s="38"/>
      <c r="W53" s="467" t="s">
        <v>62</v>
      </c>
      <c r="X53" s="467" t="s">
        <v>63</v>
      </c>
      <c r="Y53" s="467" t="s">
        <v>53</v>
      </c>
      <c r="Z53" s="38">
        <v>46000000</v>
      </c>
      <c r="AA53" s="38">
        <v>92</v>
      </c>
      <c r="AC53" s="462">
        <v>45448</v>
      </c>
      <c r="AD53" t="s">
        <v>950</v>
      </c>
      <c r="AE53" t="s">
        <v>1006</v>
      </c>
      <c r="AF53"/>
      <c r="AG53" t="s">
        <v>54</v>
      </c>
      <c r="AH53" t="s">
        <v>62</v>
      </c>
      <c r="AI53">
        <v>48500000</v>
      </c>
      <c r="AK53" s="98">
        <v>2024</v>
      </c>
      <c r="AL53" s="98">
        <v>11</v>
      </c>
      <c r="AM53" s="98" t="s">
        <v>65</v>
      </c>
      <c r="AN53" s="98" t="s">
        <v>55</v>
      </c>
      <c r="AO53">
        <v>150000000</v>
      </c>
      <c r="AP53">
        <v>167600000</v>
      </c>
      <c r="AQ53">
        <v>1.1173333333333333</v>
      </c>
      <c r="AS53" s="461">
        <v>45448</v>
      </c>
      <c r="AT53" s="98" t="s">
        <v>950</v>
      </c>
      <c r="AU53" s="98" t="s">
        <v>54</v>
      </c>
      <c r="AV53" s="98" t="s">
        <v>1006</v>
      </c>
      <c r="AW53" s="98" t="s">
        <v>940</v>
      </c>
      <c r="AX53" s="98">
        <v>15</v>
      </c>
      <c r="AY53" s="98" t="s">
        <v>55</v>
      </c>
      <c r="AZ53"/>
      <c r="BA53"/>
      <c r="BB53" s="98" t="s">
        <v>62</v>
      </c>
      <c r="BC53" s="98" t="s">
        <v>63</v>
      </c>
      <c r="BD53" s="98" t="s">
        <v>55</v>
      </c>
      <c r="BE53" s="98" t="s">
        <v>1008</v>
      </c>
      <c r="BF53">
        <v>48500000</v>
      </c>
    </row>
    <row r="54" spans="8:58" x14ac:dyDescent="0.3">
      <c r="H54" s="463">
        <v>45458</v>
      </c>
      <c r="I54" s="38" t="s">
        <v>942</v>
      </c>
      <c r="J54" s="38" t="s">
        <v>1005</v>
      </c>
      <c r="K54" s="38" t="s">
        <v>999</v>
      </c>
      <c r="L54" s="38" t="s">
        <v>975</v>
      </c>
      <c r="M54" s="38">
        <v>7</v>
      </c>
      <c r="N54" s="38">
        <v>127500000</v>
      </c>
      <c r="O54" s="38" t="s">
        <v>29</v>
      </c>
      <c r="P54" s="38">
        <v>187</v>
      </c>
      <c r="S54" s="466">
        <v>45397</v>
      </c>
      <c r="T54" s="467" t="s">
        <v>1006</v>
      </c>
      <c r="U54" s="467" t="s">
        <v>969</v>
      </c>
      <c r="V54" s="467" t="s">
        <v>998</v>
      </c>
      <c r="W54" s="467" t="s">
        <v>29</v>
      </c>
      <c r="X54" s="467" t="s">
        <v>52</v>
      </c>
      <c r="Y54" s="467" t="s">
        <v>53</v>
      </c>
      <c r="Z54" s="38">
        <v>33800000</v>
      </c>
      <c r="AA54" s="38">
        <v>169</v>
      </c>
      <c r="AC54" s="462">
        <v>45458</v>
      </c>
      <c r="AD54" t="s">
        <v>949</v>
      </c>
      <c r="AE54" t="s">
        <v>1005</v>
      </c>
      <c r="AF54">
        <v>127500000</v>
      </c>
      <c r="AG54" t="s">
        <v>54</v>
      </c>
      <c r="AH54" t="s">
        <v>29</v>
      </c>
      <c r="AI54">
        <v>37400000</v>
      </c>
      <c r="AK54" s="98">
        <v>2024</v>
      </c>
      <c r="AL54" s="98">
        <v>12</v>
      </c>
      <c r="AM54" s="98" t="s">
        <v>55</v>
      </c>
      <c r="AN54" s="98" t="s">
        <v>56</v>
      </c>
      <c r="AO54">
        <v>150000000</v>
      </c>
      <c r="AP54">
        <v>162900000</v>
      </c>
      <c r="AQ54">
        <v>1.0860000000000001</v>
      </c>
      <c r="AS54" s="461">
        <v>45458</v>
      </c>
      <c r="AT54" s="98" t="s">
        <v>949</v>
      </c>
      <c r="AU54" s="98" t="s">
        <v>54</v>
      </c>
      <c r="AV54" s="98" t="s">
        <v>1005</v>
      </c>
      <c r="AW54" s="98" t="s">
        <v>942</v>
      </c>
      <c r="AX54" s="98">
        <v>7</v>
      </c>
      <c r="AY54" s="98" t="s">
        <v>55</v>
      </c>
      <c r="AZ54" s="98">
        <v>0</v>
      </c>
      <c r="BA54" s="98">
        <v>127500000</v>
      </c>
      <c r="BB54" s="98" t="s">
        <v>29</v>
      </c>
      <c r="BC54" s="98" t="s">
        <v>52</v>
      </c>
      <c r="BD54" s="98" t="s">
        <v>55</v>
      </c>
      <c r="BE54" s="98" t="s">
        <v>1008</v>
      </c>
      <c r="BF54">
        <v>37400000</v>
      </c>
    </row>
    <row r="55" spans="8:58" x14ac:dyDescent="0.3">
      <c r="H55" s="463">
        <v>45458</v>
      </c>
      <c r="I55" s="38" t="s">
        <v>942</v>
      </c>
      <c r="J55" s="38"/>
      <c r="K55" s="38"/>
      <c r="L55" s="38"/>
      <c r="M55" s="38"/>
      <c r="N55" s="38"/>
      <c r="O55" s="38" t="s">
        <v>58</v>
      </c>
      <c r="P55" s="38">
        <v>142</v>
      </c>
      <c r="S55" s="466">
        <v>45397</v>
      </c>
      <c r="T55" s="38"/>
      <c r="U55" s="38"/>
      <c r="V55" s="38"/>
      <c r="W55" s="467" t="s">
        <v>58</v>
      </c>
      <c r="X55" s="467" t="s">
        <v>59</v>
      </c>
      <c r="Y55" s="467" t="s">
        <v>53</v>
      </c>
      <c r="Z55" s="38">
        <v>36300000</v>
      </c>
      <c r="AA55" s="38">
        <v>121</v>
      </c>
      <c r="AC55" s="462">
        <v>45458</v>
      </c>
      <c r="AD55" t="s">
        <v>949</v>
      </c>
      <c r="AE55" t="s">
        <v>1005</v>
      </c>
      <c r="AF55"/>
      <c r="AG55" t="s">
        <v>54</v>
      </c>
      <c r="AH55" t="s">
        <v>58</v>
      </c>
      <c r="AI55">
        <v>42600000</v>
      </c>
      <c r="AK55" s="98">
        <v>2024</v>
      </c>
      <c r="AL55" s="98">
        <v>12</v>
      </c>
      <c r="AM55" s="98" t="s">
        <v>55</v>
      </c>
      <c r="AN55" s="98" t="s">
        <v>60</v>
      </c>
      <c r="AO55">
        <v>150000000</v>
      </c>
      <c r="AP55">
        <v>0</v>
      </c>
      <c r="AQ55">
        <v>0</v>
      </c>
      <c r="AS55" s="461">
        <v>45458</v>
      </c>
      <c r="AT55" s="98" t="s">
        <v>949</v>
      </c>
      <c r="AU55" s="98" t="s">
        <v>54</v>
      </c>
      <c r="AV55" s="98" t="s">
        <v>1005</v>
      </c>
      <c r="AW55" s="98" t="s">
        <v>942</v>
      </c>
      <c r="AX55" s="98">
        <v>7</v>
      </c>
      <c r="AY55" s="98" t="s">
        <v>55</v>
      </c>
      <c r="AZ55"/>
      <c r="BA55"/>
      <c r="BB55" s="98" t="s">
        <v>58</v>
      </c>
      <c r="BC55" s="98" t="s">
        <v>59</v>
      </c>
      <c r="BD55" s="98" t="s">
        <v>55</v>
      </c>
      <c r="BE55" s="98" t="s">
        <v>1008</v>
      </c>
      <c r="BF55">
        <v>42600000</v>
      </c>
    </row>
    <row r="56" spans="8:58" x14ac:dyDescent="0.3">
      <c r="H56" s="463">
        <v>45458</v>
      </c>
      <c r="I56" s="38" t="s">
        <v>942</v>
      </c>
      <c r="J56" s="38"/>
      <c r="K56" s="38"/>
      <c r="L56" s="38"/>
      <c r="M56" s="38"/>
      <c r="N56" s="38"/>
      <c r="O56" s="38" t="s">
        <v>62</v>
      </c>
      <c r="P56" s="38">
        <v>95</v>
      </c>
      <c r="S56" s="466">
        <v>45397</v>
      </c>
      <c r="T56" s="38"/>
      <c r="U56" s="38"/>
      <c r="V56" s="38"/>
      <c r="W56" s="467" t="s">
        <v>62</v>
      </c>
      <c r="X56" s="467" t="s">
        <v>63</v>
      </c>
      <c r="Y56" s="467" t="s">
        <v>53</v>
      </c>
      <c r="Z56" s="38">
        <v>48500000</v>
      </c>
      <c r="AA56" s="38">
        <v>97</v>
      </c>
      <c r="AC56" s="462">
        <v>45458</v>
      </c>
      <c r="AD56" t="s">
        <v>949</v>
      </c>
      <c r="AE56" t="s">
        <v>1005</v>
      </c>
      <c r="AF56"/>
      <c r="AG56" t="s">
        <v>54</v>
      </c>
      <c r="AH56" t="s">
        <v>62</v>
      </c>
      <c r="AI56">
        <v>47500000</v>
      </c>
      <c r="AK56" s="98">
        <v>2024</v>
      </c>
      <c r="AL56" s="98">
        <v>12</v>
      </c>
      <c r="AM56" s="98" t="s">
        <v>54</v>
      </c>
      <c r="AN56" s="98" t="s">
        <v>55</v>
      </c>
      <c r="AO56">
        <v>300000000</v>
      </c>
      <c r="AP56">
        <v>340900000</v>
      </c>
      <c r="AQ56">
        <v>1.1363333333333334</v>
      </c>
      <c r="AS56" s="461">
        <v>45458</v>
      </c>
      <c r="AT56" s="98" t="s">
        <v>949</v>
      </c>
      <c r="AU56" s="98" t="s">
        <v>54</v>
      </c>
      <c r="AV56" s="98" t="s">
        <v>1005</v>
      </c>
      <c r="AW56" s="98" t="s">
        <v>942</v>
      </c>
      <c r="AX56" s="98">
        <v>7</v>
      </c>
      <c r="AY56" s="98" t="s">
        <v>55</v>
      </c>
      <c r="AZ56"/>
      <c r="BA56"/>
      <c r="BB56" s="98" t="s">
        <v>62</v>
      </c>
      <c r="BC56" s="98" t="s">
        <v>63</v>
      </c>
      <c r="BD56" s="98" t="s">
        <v>55</v>
      </c>
      <c r="BE56" s="98" t="s">
        <v>1008</v>
      </c>
      <c r="BF56">
        <v>47500000</v>
      </c>
    </row>
    <row r="57" spans="8:58" x14ac:dyDescent="0.3">
      <c r="H57" s="463">
        <v>45468</v>
      </c>
      <c r="I57" s="38" t="s">
        <v>941</v>
      </c>
      <c r="J57" s="38" t="s">
        <v>1006</v>
      </c>
      <c r="K57" s="38" t="s">
        <v>998</v>
      </c>
      <c r="L57" s="38" t="s">
        <v>976</v>
      </c>
      <c r="M57" s="38">
        <v>11</v>
      </c>
      <c r="N57" s="38">
        <v>129400000</v>
      </c>
      <c r="O57" s="38" t="s">
        <v>29</v>
      </c>
      <c r="P57" s="38">
        <v>196</v>
      </c>
      <c r="S57" s="466">
        <v>45407</v>
      </c>
      <c r="T57" s="467" t="s">
        <v>1005</v>
      </c>
      <c r="U57" s="467" t="s">
        <v>970</v>
      </c>
      <c r="V57" s="467" t="s">
        <v>999</v>
      </c>
      <c r="W57" s="467" t="s">
        <v>29</v>
      </c>
      <c r="X57" s="467" t="s">
        <v>52</v>
      </c>
      <c r="Y57" s="467" t="s">
        <v>53</v>
      </c>
      <c r="Z57" s="38">
        <v>34200000</v>
      </c>
      <c r="AA57" s="38">
        <v>171</v>
      </c>
      <c r="AC57" s="462">
        <v>45468</v>
      </c>
      <c r="AD57" t="s">
        <v>949</v>
      </c>
      <c r="AE57" t="s">
        <v>1006</v>
      </c>
      <c r="AF57">
        <v>129400000</v>
      </c>
      <c r="AG57" t="s">
        <v>54</v>
      </c>
      <c r="AH57" t="s">
        <v>29</v>
      </c>
      <c r="AI57">
        <v>39200000</v>
      </c>
      <c r="AK57" s="98">
        <v>2024</v>
      </c>
      <c r="AL57" s="98">
        <v>12</v>
      </c>
      <c r="AM57" s="98" t="s">
        <v>65</v>
      </c>
      <c r="AN57" s="98" t="s">
        <v>55</v>
      </c>
      <c r="AO57">
        <v>150000000</v>
      </c>
      <c r="AP57">
        <v>169900000</v>
      </c>
      <c r="AQ57">
        <v>1.1326666666666667</v>
      </c>
      <c r="AS57" s="461">
        <v>45468</v>
      </c>
      <c r="AT57" s="98" t="s">
        <v>949</v>
      </c>
      <c r="AU57" s="98" t="s">
        <v>54</v>
      </c>
      <c r="AV57" s="98" t="s">
        <v>1006</v>
      </c>
      <c r="AW57" s="98" t="s">
        <v>941</v>
      </c>
      <c r="AX57" s="98">
        <v>11</v>
      </c>
      <c r="AY57" s="98" t="s">
        <v>55</v>
      </c>
      <c r="AZ57" s="98">
        <v>0</v>
      </c>
      <c r="BA57" s="98">
        <v>129400000</v>
      </c>
      <c r="BB57" s="98" t="s">
        <v>29</v>
      </c>
      <c r="BC57" s="98" t="s">
        <v>52</v>
      </c>
      <c r="BD57" s="98" t="s">
        <v>55</v>
      </c>
      <c r="BE57" s="98" t="s">
        <v>1008</v>
      </c>
      <c r="BF57">
        <v>39200000</v>
      </c>
    </row>
    <row r="58" spans="8:58" x14ac:dyDescent="0.3">
      <c r="H58" s="463">
        <v>45468</v>
      </c>
      <c r="I58" s="38" t="s">
        <v>941</v>
      </c>
      <c r="J58" s="38"/>
      <c r="K58" s="38"/>
      <c r="L58" s="38"/>
      <c r="M58" s="38"/>
      <c r="N58" s="38"/>
      <c r="O58" s="38" t="s">
        <v>58</v>
      </c>
      <c r="P58" s="38">
        <v>139</v>
      </c>
      <c r="S58" s="466">
        <v>45407</v>
      </c>
      <c r="T58" s="38"/>
      <c r="U58" s="38"/>
      <c r="V58" s="38"/>
      <c r="W58" s="467" t="s">
        <v>58</v>
      </c>
      <c r="X58" s="467" t="s">
        <v>59</v>
      </c>
      <c r="Y58" s="467" t="s">
        <v>53</v>
      </c>
      <c r="Z58" s="38">
        <v>38100000</v>
      </c>
      <c r="AA58" s="38">
        <v>127</v>
      </c>
      <c r="AC58" s="462">
        <v>45468</v>
      </c>
      <c r="AD58" t="s">
        <v>949</v>
      </c>
      <c r="AE58" t="s">
        <v>1006</v>
      </c>
      <c r="AF58"/>
      <c r="AG58" t="s">
        <v>54</v>
      </c>
      <c r="AH58" t="s">
        <v>58</v>
      </c>
      <c r="AI58">
        <v>41700000</v>
      </c>
      <c r="AS58" s="461">
        <v>45468</v>
      </c>
      <c r="AT58" s="98" t="s">
        <v>949</v>
      </c>
      <c r="AU58" s="98" t="s">
        <v>54</v>
      </c>
      <c r="AV58" s="98" t="s">
        <v>1006</v>
      </c>
      <c r="AW58" s="98" t="s">
        <v>941</v>
      </c>
      <c r="AX58" s="98">
        <v>11</v>
      </c>
      <c r="AY58" s="98" t="s">
        <v>55</v>
      </c>
      <c r="AZ58"/>
      <c r="BA58"/>
      <c r="BB58" s="98" t="s">
        <v>58</v>
      </c>
      <c r="BC58" s="98" t="s">
        <v>59</v>
      </c>
      <c r="BD58" s="98" t="s">
        <v>55</v>
      </c>
      <c r="BE58" s="98" t="s">
        <v>1008</v>
      </c>
      <c r="BF58">
        <v>41700000</v>
      </c>
    </row>
    <row r="59" spans="8:58" x14ac:dyDescent="0.3">
      <c r="H59" s="463">
        <v>45468</v>
      </c>
      <c r="I59" s="38" t="s">
        <v>941</v>
      </c>
      <c r="J59" s="38"/>
      <c r="K59" s="38"/>
      <c r="L59" s="38"/>
      <c r="M59" s="38"/>
      <c r="N59" s="38"/>
      <c r="O59" s="38" t="s">
        <v>62</v>
      </c>
      <c r="P59" s="38">
        <v>97</v>
      </c>
      <c r="S59" s="466">
        <v>45407</v>
      </c>
      <c r="T59" s="38"/>
      <c r="U59" s="38"/>
      <c r="V59" s="38"/>
      <c r="W59" s="467" t="s">
        <v>62</v>
      </c>
      <c r="X59" s="467" t="s">
        <v>63</v>
      </c>
      <c r="Y59" s="467" t="s">
        <v>53</v>
      </c>
      <c r="Z59" s="38">
        <v>49000000</v>
      </c>
      <c r="AA59" s="38">
        <v>98</v>
      </c>
      <c r="AC59" s="462">
        <v>45468</v>
      </c>
      <c r="AD59" t="s">
        <v>949</v>
      </c>
      <c r="AE59" t="s">
        <v>1006</v>
      </c>
      <c r="AF59"/>
      <c r="AG59" t="s">
        <v>54</v>
      </c>
      <c r="AH59" t="s">
        <v>62</v>
      </c>
      <c r="AI59">
        <v>48500000</v>
      </c>
      <c r="AS59" s="461">
        <v>45468</v>
      </c>
      <c r="AT59" s="98" t="s">
        <v>949</v>
      </c>
      <c r="AU59" s="98" t="s">
        <v>54</v>
      </c>
      <c r="AV59" s="98" t="s">
        <v>1006</v>
      </c>
      <c r="AW59" s="98" t="s">
        <v>941</v>
      </c>
      <c r="AX59" s="98">
        <v>11</v>
      </c>
      <c r="AY59" s="98" t="s">
        <v>55</v>
      </c>
      <c r="AZ59"/>
      <c r="BA59"/>
      <c r="BB59" s="98" t="s">
        <v>62</v>
      </c>
      <c r="BC59" s="98" t="s">
        <v>63</v>
      </c>
      <c r="BD59" s="98" t="s">
        <v>55</v>
      </c>
      <c r="BE59" s="98" t="s">
        <v>1008</v>
      </c>
      <c r="BF59">
        <v>48500000</v>
      </c>
    </row>
    <row r="60" spans="8:58" x14ac:dyDescent="0.3">
      <c r="H60" s="463">
        <v>45478</v>
      </c>
      <c r="I60" s="38" t="s">
        <v>940</v>
      </c>
      <c r="J60" s="38" t="s">
        <v>1006</v>
      </c>
      <c r="K60" s="38" t="s">
        <v>997</v>
      </c>
      <c r="L60" s="38" t="s">
        <v>977</v>
      </c>
      <c r="M60" s="38">
        <v>16</v>
      </c>
      <c r="N60" s="38">
        <v>130900000</v>
      </c>
      <c r="O60" s="38" t="s">
        <v>29</v>
      </c>
      <c r="P60" s="38">
        <v>198</v>
      </c>
      <c r="S60"/>
      <c r="T60"/>
      <c r="U60"/>
      <c r="V60"/>
      <c r="W60"/>
      <c r="X60"/>
      <c r="Y60"/>
      <c r="Z60"/>
      <c r="AA60"/>
      <c r="AC60" s="462">
        <v>45478</v>
      </c>
      <c r="AD60" t="s">
        <v>952</v>
      </c>
      <c r="AE60" t="s">
        <v>1006</v>
      </c>
      <c r="AF60">
        <v>130900000</v>
      </c>
      <c r="AG60" t="s">
        <v>65</v>
      </c>
      <c r="AH60" t="s">
        <v>29</v>
      </c>
      <c r="AI60">
        <v>39600000</v>
      </c>
      <c r="AS60" s="461">
        <v>45478</v>
      </c>
      <c r="AT60" s="98" t="s">
        <v>952</v>
      </c>
      <c r="AU60" s="98" t="s">
        <v>65</v>
      </c>
      <c r="AV60" s="98" t="s">
        <v>1006</v>
      </c>
      <c r="AW60" s="98" t="s">
        <v>940</v>
      </c>
      <c r="AX60" s="98">
        <v>16</v>
      </c>
      <c r="AY60" s="98" t="s">
        <v>55</v>
      </c>
      <c r="AZ60" s="98">
        <v>0</v>
      </c>
      <c r="BA60" s="98">
        <v>130900000</v>
      </c>
      <c r="BB60" s="98" t="s">
        <v>29</v>
      </c>
      <c r="BC60" s="98" t="s">
        <v>52</v>
      </c>
      <c r="BD60" s="98" t="s">
        <v>55</v>
      </c>
      <c r="BE60" s="98" t="s">
        <v>1008</v>
      </c>
      <c r="BF60">
        <v>39600000</v>
      </c>
    </row>
    <row r="61" spans="8:58" x14ac:dyDescent="0.3">
      <c r="H61" s="463">
        <v>45478</v>
      </c>
      <c r="I61" s="38" t="s">
        <v>940</v>
      </c>
      <c r="J61" s="38"/>
      <c r="K61" s="38"/>
      <c r="L61" s="38"/>
      <c r="M61" s="38"/>
      <c r="N61" s="38"/>
      <c r="O61" s="38" t="s">
        <v>58</v>
      </c>
      <c r="P61" s="38">
        <v>136</v>
      </c>
      <c r="S61"/>
      <c r="T61"/>
      <c r="U61"/>
      <c r="V61"/>
      <c r="W61"/>
      <c r="X61"/>
      <c r="Y61"/>
      <c r="Z61"/>
      <c r="AA61"/>
      <c r="AC61" s="462">
        <v>45478</v>
      </c>
      <c r="AD61" t="s">
        <v>952</v>
      </c>
      <c r="AE61" t="s">
        <v>1006</v>
      </c>
      <c r="AF61"/>
      <c r="AG61" t="s">
        <v>65</v>
      </c>
      <c r="AH61" t="s">
        <v>58</v>
      </c>
      <c r="AI61">
        <v>40800000</v>
      </c>
      <c r="AS61" s="461">
        <v>45478</v>
      </c>
      <c r="AT61" s="98" t="s">
        <v>952</v>
      </c>
      <c r="AU61" s="98" t="s">
        <v>65</v>
      </c>
      <c r="AV61" s="98" t="s">
        <v>1006</v>
      </c>
      <c r="AW61" s="98" t="s">
        <v>940</v>
      </c>
      <c r="AX61" s="98">
        <v>16</v>
      </c>
      <c r="AY61" s="98" t="s">
        <v>55</v>
      </c>
      <c r="AZ61"/>
      <c r="BA61"/>
      <c r="BB61" s="98" t="s">
        <v>58</v>
      </c>
      <c r="BC61" s="98" t="s">
        <v>59</v>
      </c>
      <c r="BD61" s="98" t="s">
        <v>55</v>
      </c>
      <c r="BE61" s="98" t="s">
        <v>1008</v>
      </c>
      <c r="BF61">
        <v>40800000</v>
      </c>
    </row>
    <row r="62" spans="8:58" x14ac:dyDescent="0.3">
      <c r="H62" s="463">
        <v>45478</v>
      </c>
      <c r="I62" s="38" t="s">
        <v>940</v>
      </c>
      <c r="J62" s="38"/>
      <c r="K62" s="38"/>
      <c r="L62" s="38"/>
      <c r="M62" s="38"/>
      <c r="N62" s="38"/>
      <c r="O62" s="38" t="s">
        <v>62</v>
      </c>
      <c r="P62" s="38">
        <v>101</v>
      </c>
      <c r="S62"/>
      <c r="T62"/>
      <c r="U62"/>
      <c r="V62"/>
      <c r="W62"/>
      <c r="X62"/>
      <c r="Y62"/>
      <c r="Z62"/>
      <c r="AA62"/>
      <c r="AC62" s="462">
        <v>45478</v>
      </c>
      <c r="AD62" t="s">
        <v>952</v>
      </c>
      <c r="AE62" t="s">
        <v>1006</v>
      </c>
      <c r="AF62"/>
      <c r="AG62" t="s">
        <v>65</v>
      </c>
      <c r="AH62" t="s">
        <v>62</v>
      </c>
      <c r="AI62">
        <v>50500000</v>
      </c>
      <c r="AS62" s="461">
        <v>45478</v>
      </c>
      <c r="AT62" s="98" t="s">
        <v>952</v>
      </c>
      <c r="AU62" s="98" t="s">
        <v>65</v>
      </c>
      <c r="AV62" s="98" t="s">
        <v>1006</v>
      </c>
      <c r="AW62" s="98" t="s">
        <v>940</v>
      </c>
      <c r="AX62" s="98">
        <v>16</v>
      </c>
      <c r="AY62" s="98" t="s">
        <v>55</v>
      </c>
      <c r="AZ62"/>
      <c r="BA62"/>
      <c r="BB62" s="98" t="s">
        <v>62</v>
      </c>
      <c r="BC62" s="98" t="s">
        <v>63</v>
      </c>
      <c r="BD62" s="98" t="s">
        <v>55</v>
      </c>
      <c r="BE62" s="98" t="s">
        <v>1008</v>
      </c>
      <c r="BF62">
        <v>50500000</v>
      </c>
    </row>
    <row r="63" spans="8:58" x14ac:dyDescent="0.3">
      <c r="H63" s="463">
        <v>45488</v>
      </c>
      <c r="I63" s="38" t="s">
        <v>939</v>
      </c>
      <c r="J63" s="38" t="s">
        <v>1005</v>
      </c>
      <c r="K63" s="38" t="s">
        <v>996</v>
      </c>
      <c r="L63" s="38" t="s">
        <v>978</v>
      </c>
      <c r="M63" s="38">
        <v>13</v>
      </c>
      <c r="N63" s="38">
        <v>131700000</v>
      </c>
      <c r="O63" s="38" t="s">
        <v>29</v>
      </c>
      <c r="P63" s="38">
        <v>202</v>
      </c>
      <c r="S63"/>
      <c r="T63"/>
      <c r="U63"/>
      <c r="V63"/>
      <c r="W63"/>
      <c r="X63"/>
      <c r="Y63"/>
      <c r="Z63"/>
      <c r="AA63"/>
      <c r="AC63" s="462">
        <v>45488</v>
      </c>
      <c r="AD63" t="s">
        <v>56</v>
      </c>
      <c r="AE63" t="s">
        <v>1005</v>
      </c>
      <c r="AF63">
        <v>131700000</v>
      </c>
      <c r="AG63" t="s">
        <v>54</v>
      </c>
      <c r="AH63" t="s">
        <v>29</v>
      </c>
      <c r="AI63">
        <v>40400000</v>
      </c>
      <c r="AS63" s="461">
        <v>45488</v>
      </c>
      <c r="AT63" s="98" t="s">
        <v>56</v>
      </c>
      <c r="AU63" s="98" t="s">
        <v>54</v>
      </c>
      <c r="AV63" s="98" t="s">
        <v>1005</v>
      </c>
      <c r="AW63" s="98" t="s">
        <v>939</v>
      </c>
      <c r="AX63" s="98">
        <v>13</v>
      </c>
      <c r="AY63" s="98" t="s">
        <v>55</v>
      </c>
      <c r="AZ63" s="98">
        <v>0</v>
      </c>
      <c r="BA63" s="98">
        <v>131700000</v>
      </c>
      <c r="BB63" s="98" t="s">
        <v>29</v>
      </c>
      <c r="BC63" s="98" t="s">
        <v>52</v>
      </c>
      <c r="BD63" s="98" t="s">
        <v>55</v>
      </c>
      <c r="BE63" s="98" t="s">
        <v>1008</v>
      </c>
      <c r="BF63">
        <v>40400000</v>
      </c>
    </row>
    <row r="64" spans="8:58" x14ac:dyDescent="0.3">
      <c r="H64" s="463">
        <v>45488</v>
      </c>
      <c r="I64" s="38" t="s">
        <v>939</v>
      </c>
      <c r="J64" s="38"/>
      <c r="K64" s="38"/>
      <c r="L64" s="38"/>
      <c r="M64" s="38"/>
      <c r="N64" s="38"/>
      <c r="O64" s="38" t="s">
        <v>58</v>
      </c>
      <c r="P64" s="38">
        <v>136</v>
      </c>
      <c r="S64"/>
      <c r="T64"/>
      <c r="U64"/>
      <c r="V64"/>
      <c r="W64"/>
      <c r="X64"/>
      <c r="Y64"/>
      <c r="Z64"/>
      <c r="AA64"/>
      <c r="AC64" s="462">
        <v>45488</v>
      </c>
      <c r="AD64" t="s">
        <v>56</v>
      </c>
      <c r="AE64" t="s">
        <v>1005</v>
      </c>
      <c r="AF64"/>
      <c r="AG64" t="s">
        <v>54</v>
      </c>
      <c r="AH64" t="s">
        <v>58</v>
      </c>
      <c r="AI64">
        <v>40800000</v>
      </c>
      <c r="AS64" s="461">
        <v>45488</v>
      </c>
      <c r="AT64" s="98" t="s">
        <v>56</v>
      </c>
      <c r="AU64" s="98" t="s">
        <v>54</v>
      </c>
      <c r="AV64" s="98" t="s">
        <v>1005</v>
      </c>
      <c r="AW64" s="98" t="s">
        <v>939</v>
      </c>
      <c r="AX64" s="98">
        <v>13</v>
      </c>
      <c r="AY64" s="98" t="s">
        <v>55</v>
      </c>
      <c r="AZ64"/>
      <c r="BA64"/>
      <c r="BB64" s="98" t="s">
        <v>58</v>
      </c>
      <c r="BC64" s="98" t="s">
        <v>59</v>
      </c>
      <c r="BD64" s="98" t="s">
        <v>55</v>
      </c>
      <c r="BE64" s="98" t="s">
        <v>1008</v>
      </c>
      <c r="BF64">
        <v>40800000</v>
      </c>
    </row>
    <row r="65" spans="8:58" x14ac:dyDescent="0.3">
      <c r="H65" s="463">
        <v>45488</v>
      </c>
      <c r="I65" s="38" t="s">
        <v>939</v>
      </c>
      <c r="J65" s="38"/>
      <c r="K65" s="38"/>
      <c r="L65" s="38"/>
      <c r="M65" s="38"/>
      <c r="N65" s="38"/>
      <c r="O65" s="38" t="s">
        <v>62</v>
      </c>
      <c r="P65" s="38">
        <v>101</v>
      </c>
      <c r="S65"/>
      <c r="T65"/>
      <c r="U65"/>
      <c r="V65"/>
      <c r="W65"/>
      <c r="X65"/>
      <c r="Y65"/>
      <c r="Z65"/>
      <c r="AA65"/>
      <c r="AC65" s="462">
        <v>45488</v>
      </c>
      <c r="AD65" t="s">
        <v>56</v>
      </c>
      <c r="AE65" t="s">
        <v>1005</v>
      </c>
      <c r="AF65"/>
      <c r="AG65" t="s">
        <v>54</v>
      </c>
      <c r="AH65" t="s">
        <v>62</v>
      </c>
      <c r="AI65">
        <v>50500000</v>
      </c>
      <c r="AS65" s="461">
        <v>45488</v>
      </c>
      <c r="AT65" s="98" t="s">
        <v>56</v>
      </c>
      <c r="AU65" s="98" t="s">
        <v>54</v>
      </c>
      <c r="AV65" s="98" t="s">
        <v>1005</v>
      </c>
      <c r="AW65" s="98" t="s">
        <v>939</v>
      </c>
      <c r="AX65" s="98">
        <v>13</v>
      </c>
      <c r="AY65" s="98" t="s">
        <v>55</v>
      </c>
      <c r="AZ65"/>
      <c r="BA65"/>
      <c r="BB65" s="98" t="s">
        <v>62</v>
      </c>
      <c r="BC65" s="98" t="s">
        <v>63</v>
      </c>
      <c r="BD65" s="98" t="s">
        <v>55</v>
      </c>
      <c r="BE65" s="98" t="s">
        <v>1008</v>
      </c>
      <c r="BF65">
        <v>50500000</v>
      </c>
    </row>
    <row r="66" spans="8:58" x14ac:dyDescent="0.3">
      <c r="H66" s="463">
        <v>45498</v>
      </c>
      <c r="I66" s="38" t="s">
        <v>942</v>
      </c>
      <c r="J66" s="38" t="s">
        <v>1005</v>
      </c>
      <c r="K66" s="38" t="s">
        <v>999</v>
      </c>
      <c r="L66" s="38" t="s">
        <v>979</v>
      </c>
      <c r="M66" s="38">
        <v>8</v>
      </c>
      <c r="N66" s="38">
        <v>134300000</v>
      </c>
      <c r="O66" s="38" t="s">
        <v>29</v>
      </c>
      <c r="P66" s="38">
        <v>212</v>
      </c>
      <c r="S66"/>
      <c r="T66"/>
      <c r="U66"/>
      <c r="V66"/>
      <c r="W66"/>
      <c r="X66"/>
      <c r="Y66"/>
      <c r="Z66"/>
      <c r="AA66"/>
      <c r="AC66" s="462">
        <v>45498</v>
      </c>
      <c r="AD66" t="s">
        <v>950</v>
      </c>
      <c r="AE66" t="s">
        <v>1005</v>
      </c>
      <c r="AF66">
        <v>134300000</v>
      </c>
      <c r="AG66" t="s">
        <v>54</v>
      </c>
      <c r="AH66" t="s">
        <v>29</v>
      </c>
      <c r="AI66">
        <v>42400000</v>
      </c>
      <c r="AS66" s="461">
        <v>45498</v>
      </c>
      <c r="AT66" s="98" t="s">
        <v>950</v>
      </c>
      <c r="AU66" s="98" t="s">
        <v>54</v>
      </c>
      <c r="AV66" s="98" t="s">
        <v>1005</v>
      </c>
      <c r="AW66" s="98" t="s">
        <v>942</v>
      </c>
      <c r="AX66" s="98">
        <v>8</v>
      </c>
      <c r="AY66" s="98" t="s">
        <v>55</v>
      </c>
      <c r="AZ66" s="98">
        <v>0</v>
      </c>
      <c r="BA66" s="98">
        <v>134300000</v>
      </c>
      <c r="BB66" s="98" t="s">
        <v>29</v>
      </c>
      <c r="BC66" s="98" t="s">
        <v>52</v>
      </c>
      <c r="BD66" s="98" t="s">
        <v>55</v>
      </c>
      <c r="BE66" s="98" t="s">
        <v>1008</v>
      </c>
      <c r="BF66">
        <v>42400000</v>
      </c>
    </row>
    <row r="67" spans="8:58" x14ac:dyDescent="0.3">
      <c r="H67" s="463">
        <v>45498</v>
      </c>
      <c r="I67" s="38" t="s">
        <v>942</v>
      </c>
      <c r="J67" s="38"/>
      <c r="K67" s="38"/>
      <c r="L67" s="38"/>
      <c r="M67" s="38"/>
      <c r="N67" s="38"/>
      <c r="O67" s="38" t="s">
        <v>58</v>
      </c>
      <c r="P67" s="38">
        <v>133</v>
      </c>
      <c r="S67"/>
      <c r="T67"/>
      <c r="U67"/>
      <c r="V67"/>
      <c r="W67"/>
      <c r="X67"/>
      <c r="Y67"/>
      <c r="Z67"/>
      <c r="AA67"/>
      <c r="AC67" s="462">
        <v>45498</v>
      </c>
      <c r="AD67" t="s">
        <v>950</v>
      </c>
      <c r="AE67" t="s">
        <v>1005</v>
      </c>
      <c r="AF67"/>
      <c r="AG67" t="s">
        <v>54</v>
      </c>
      <c r="AH67" t="s">
        <v>58</v>
      </c>
      <c r="AI67">
        <v>39900000</v>
      </c>
      <c r="AS67" s="461">
        <v>45498</v>
      </c>
      <c r="AT67" s="98" t="s">
        <v>950</v>
      </c>
      <c r="AU67" s="98" t="s">
        <v>54</v>
      </c>
      <c r="AV67" s="98" t="s">
        <v>1005</v>
      </c>
      <c r="AW67" s="98" t="s">
        <v>942</v>
      </c>
      <c r="AX67" s="98">
        <v>8</v>
      </c>
      <c r="AY67" s="98" t="s">
        <v>55</v>
      </c>
      <c r="AZ67"/>
      <c r="BA67"/>
      <c r="BB67" s="98" t="s">
        <v>58</v>
      </c>
      <c r="BC67" s="98" t="s">
        <v>59</v>
      </c>
      <c r="BD67" s="98" t="s">
        <v>55</v>
      </c>
      <c r="BE67" s="98" t="s">
        <v>1008</v>
      </c>
      <c r="BF67">
        <v>39900000</v>
      </c>
    </row>
    <row r="68" spans="8:58" x14ac:dyDescent="0.3">
      <c r="H68" s="463">
        <v>45498</v>
      </c>
      <c r="I68" s="38" t="s">
        <v>942</v>
      </c>
      <c r="J68" s="38"/>
      <c r="K68" s="38"/>
      <c r="L68" s="38"/>
      <c r="M68" s="38"/>
      <c r="N68" s="38"/>
      <c r="O68" s="38" t="s">
        <v>62</v>
      </c>
      <c r="P68" s="38">
        <v>104</v>
      </c>
      <c r="S68"/>
      <c r="T68"/>
      <c r="U68"/>
      <c r="V68"/>
      <c r="W68"/>
      <c r="X68"/>
      <c r="Y68"/>
      <c r="Z68"/>
      <c r="AA68"/>
      <c r="AC68" s="462">
        <v>45498</v>
      </c>
      <c r="AD68" t="s">
        <v>950</v>
      </c>
      <c r="AE68" t="s">
        <v>1005</v>
      </c>
      <c r="AF68"/>
      <c r="AG68" t="s">
        <v>54</v>
      </c>
      <c r="AH68" t="s">
        <v>62</v>
      </c>
      <c r="AI68">
        <v>52000000</v>
      </c>
      <c r="AS68" s="461">
        <v>45498</v>
      </c>
      <c r="AT68" s="98" t="s">
        <v>950</v>
      </c>
      <c r="AU68" s="98" t="s">
        <v>54</v>
      </c>
      <c r="AV68" s="98" t="s">
        <v>1005</v>
      </c>
      <c r="AW68" s="98" t="s">
        <v>942</v>
      </c>
      <c r="AX68" s="98">
        <v>8</v>
      </c>
      <c r="AY68" s="98" t="s">
        <v>55</v>
      </c>
      <c r="AZ68"/>
      <c r="BA68"/>
      <c r="BB68" s="98" t="s">
        <v>62</v>
      </c>
      <c r="BC68" s="98" t="s">
        <v>63</v>
      </c>
      <c r="BD68" s="98" t="s">
        <v>55</v>
      </c>
      <c r="BE68" s="98" t="s">
        <v>1008</v>
      </c>
      <c r="BF68">
        <v>52000000</v>
      </c>
    </row>
    <row r="69" spans="8:58" x14ac:dyDescent="0.3">
      <c r="H69" s="463">
        <v>45509</v>
      </c>
      <c r="I69" s="38" t="s">
        <v>943</v>
      </c>
      <c r="J69" s="38" t="s">
        <v>1006</v>
      </c>
      <c r="K69" s="38" t="s">
        <v>1000</v>
      </c>
      <c r="L69" s="38" t="s">
        <v>980</v>
      </c>
      <c r="M69" s="38">
        <v>6</v>
      </c>
      <c r="N69" s="38">
        <v>136900000</v>
      </c>
      <c r="O69" s="38" t="s">
        <v>29</v>
      </c>
      <c r="P69" s="38">
        <v>223</v>
      </c>
      <c r="S69"/>
      <c r="T69"/>
      <c r="U69"/>
      <c r="V69"/>
      <c r="W69"/>
      <c r="X69"/>
      <c r="Y69"/>
      <c r="Z69"/>
      <c r="AA69"/>
      <c r="AC69" s="462">
        <v>45509</v>
      </c>
      <c r="AD69" t="s">
        <v>949</v>
      </c>
      <c r="AE69" t="s">
        <v>1006</v>
      </c>
      <c r="AF69">
        <v>136900000</v>
      </c>
      <c r="AG69" t="s">
        <v>54</v>
      </c>
      <c r="AH69" t="s">
        <v>29</v>
      </c>
      <c r="AI69">
        <v>44600000</v>
      </c>
      <c r="AS69" s="461">
        <v>45509</v>
      </c>
      <c r="AT69" s="98" t="s">
        <v>949</v>
      </c>
      <c r="AU69" s="98" t="s">
        <v>54</v>
      </c>
      <c r="AV69" s="98" t="s">
        <v>1006</v>
      </c>
      <c r="AW69" s="98" t="s">
        <v>943</v>
      </c>
      <c r="AX69" s="98">
        <v>6</v>
      </c>
      <c r="AY69" s="98" t="s">
        <v>55</v>
      </c>
      <c r="AZ69" s="98">
        <v>0</v>
      </c>
      <c r="BA69" s="98">
        <v>136900000</v>
      </c>
      <c r="BB69" s="98" t="s">
        <v>29</v>
      </c>
      <c r="BC69" s="98" t="s">
        <v>52</v>
      </c>
      <c r="BD69" s="98" t="s">
        <v>55</v>
      </c>
      <c r="BE69" s="98" t="s">
        <v>1008</v>
      </c>
      <c r="BF69">
        <v>44600000</v>
      </c>
    </row>
    <row r="70" spans="8:58" x14ac:dyDescent="0.3">
      <c r="H70" s="463">
        <v>45509</v>
      </c>
      <c r="I70" s="38" t="s">
        <v>943</v>
      </c>
      <c r="J70" s="38"/>
      <c r="K70" s="38"/>
      <c r="L70" s="38"/>
      <c r="M70" s="38"/>
      <c r="N70" s="38"/>
      <c r="O70" s="38" t="s">
        <v>58</v>
      </c>
      <c r="P70" s="38">
        <v>136</v>
      </c>
      <c r="S70"/>
      <c r="T70"/>
      <c r="U70"/>
      <c r="V70"/>
      <c r="W70"/>
      <c r="X70"/>
      <c r="Y70"/>
      <c r="Z70"/>
      <c r="AA70"/>
      <c r="AC70" s="462">
        <v>45509</v>
      </c>
      <c r="AD70" t="s">
        <v>949</v>
      </c>
      <c r="AE70" t="s">
        <v>1006</v>
      </c>
      <c r="AF70"/>
      <c r="AG70" t="s">
        <v>54</v>
      </c>
      <c r="AH70" t="s">
        <v>58</v>
      </c>
      <c r="AI70">
        <v>40800000</v>
      </c>
      <c r="AS70" s="461">
        <v>45509</v>
      </c>
      <c r="AT70" s="98" t="s">
        <v>949</v>
      </c>
      <c r="AU70" s="98" t="s">
        <v>54</v>
      </c>
      <c r="AV70" s="98" t="s">
        <v>1006</v>
      </c>
      <c r="AW70" s="98" t="s">
        <v>943</v>
      </c>
      <c r="AX70" s="98">
        <v>6</v>
      </c>
      <c r="AY70" s="98" t="s">
        <v>55</v>
      </c>
      <c r="AZ70"/>
      <c r="BA70"/>
      <c r="BB70" s="98" t="s">
        <v>58</v>
      </c>
      <c r="BC70" s="98" t="s">
        <v>59</v>
      </c>
      <c r="BD70" s="98" t="s">
        <v>55</v>
      </c>
      <c r="BE70" s="98" t="s">
        <v>1008</v>
      </c>
      <c r="BF70">
        <v>40800000</v>
      </c>
    </row>
    <row r="71" spans="8:58" x14ac:dyDescent="0.3">
      <c r="H71" s="463">
        <v>45509</v>
      </c>
      <c r="I71" s="38" t="s">
        <v>943</v>
      </c>
      <c r="J71" s="38"/>
      <c r="K71" s="38"/>
      <c r="L71" s="38"/>
      <c r="M71" s="38"/>
      <c r="N71" s="38"/>
      <c r="O71" s="38" t="s">
        <v>62</v>
      </c>
      <c r="P71" s="38">
        <v>103</v>
      </c>
      <c r="S71"/>
      <c r="T71"/>
      <c r="U71"/>
      <c r="V71"/>
      <c r="W71"/>
      <c r="X71"/>
      <c r="Y71"/>
      <c r="Z71"/>
      <c r="AA71"/>
      <c r="AC71" s="462">
        <v>45509</v>
      </c>
      <c r="AD71" t="s">
        <v>949</v>
      </c>
      <c r="AE71" t="s">
        <v>1006</v>
      </c>
      <c r="AF71"/>
      <c r="AG71" t="s">
        <v>54</v>
      </c>
      <c r="AH71" t="s">
        <v>62</v>
      </c>
      <c r="AI71">
        <v>51500000</v>
      </c>
      <c r="AS71" s="461">
        <v>45509</v>
      </c>
      <c r="AT71" s="98" t="s">
        <v>949</v>
      </c>
      <c r="AU71" s="98" t="s">
        <v>54</v>
      </c>
      <c r="AV71" s="98" t="s">
        <v>1006</v>
      </c>
      <c r="AW71" s="98" t="s">
        <v>943</v>
      </c>
      <c r="AX71" s="98">
        <v>6</v>
      </c>
      <c r="AY71" s="98" t="s">
        <v>55</v>
      </c>
      <c r="AZ71"/>
      <c r="BA71"/>
      <c r="BB71" s="98" t="s">
        <v>62</v>
      </c>
      <c r="BC71" s="98" t="s">
        <v>63</v>
      </c>
      <c r="BD71" s="98" t="s">
        <v>55</v>
      </c>
      <c r="BE71" s="98" t="s">
        <v>1008</v>
      </c>
      <c r="BF71">
        <v>51500000</v>
      </c>
    </row>
    <row r="72" spans="8:58" x14ac:dyDescent="0.3">
      <c r="H72" s="463">
        <v>45519</v>
      </c>
      <c r="I72" s="38" t="s">
        <v>940</v>
      </c>
      <c r="J72" s="38" t="s">
        <v>1006</v>
      </c>
      <c r="K72" s="38" t="s">
        <v>997</v>
      </c>
      <c r="L72" s="38" t="s">
        <v>981</v>
      </c>
      <c r="M72" s="38">
        <v>17</v>
      </c>
      <c r="N72" s="38">
        <v>140200000</v>
      </c>
      <c r="O72" s="38" t="s">
        <v>29</v>
      </c>
      <c r="P72" s="38">
        <v>234</v>
      </c>
      <c r="S72"/>
      <c r="T72"/>
      <c r="U72"/>
      <c r="V72"/>
      <c r="W72"/>
      <c r="X72"/>
      <c r="Y72"/>
      <c r="Z72"/>
      <c r="AA72"/>
      <c r="AC72" s="462">
        <v>45519</v>
      </c>
      <c r="AD72" t="s">
        <v>951</v>
      </c>
      <c r="AE72" t="s">
        <v>1006</v>
      </c>
      <c r="AF72">
        <v>140200000</v>
      </c>
      <c r="AG72" t="s">
        <v>65</v>
      </c>
      <c r="AH72" t="s">
        <v>29</v>
      </c>
      <c r="AI72">
        <v>46800000</v>
      </c>
      <c r="AS72" s="461">
        <v>45519</v>
      </c>
      <c r="AT72" s="98" t="s">
        <v>951</v>
      </c>
      <c r="AU72" s="98" t="s">
        <v>65</v>
      </c>
      <c r="AV72" s="98" t="s">
        <v>1006</v>
      </c>
      <c r="AW72" s="98" t="s">
        <v>940</v>
      </c>
      <c r="AX72" s="98">
        <v>17</v>
      </c>
      <c r="AY72" s="98" t="s">
        <v>55</v>
      </c>
      <c r="AZ72" s="98">
        <v>0</v>
      </c>
      <c r="BA72" s="98">
        <v>140200000</v>
      </c>
      <c r="BB72" s="98" t="s">
        <v>29</v>
      </c>
      <c r="BC72" s="98" t="s">
        <v>52</v>
      </c>
      <c r="BD72" s="98" t="s">
        <v>55</v>
      </c>
      <c r="BE72" s="98" t="s">
        <v>1008</v>
      </c>
      <c r="BF72">
        <v>46800000</v>
      </c>
    </row>
    <row r="73" spans="8:58" x14ac:dyDescent="0.3">
      <c r="H73" s="463">
        <v>45519</v>
      </c>
      <c r="I73" s="38" t="s">
        <v>940</v>
      </c>
      <c r="J73" s="38"/>
      <c r="K73" s="38"/>
      <c r="L73" s="38"/>
      <c r="M73" s="38"/>
      <c r="N73" s="38"/>
      <c r="O73" s="38" t="s">
        <v>58</v>
      </c>
      <c r="P73" s="38">
        <v>133</v>
      </c>
      <c r="S73"/>
      <c r="T73"/>
      <c r="U73"/>
      <c r="V73"/>
      <c r="W73"/>
      <c r="X73"/>
      <c r="Y73"/>
      <c r="Z73"/>
      <c r="AA73"/>
      <c r="AC73" s="462">
        <v>45519</v>
      </c>
      <c r="AD73" t="s">
        <v>951</v>
      </c>
      <c r="AE73" t="s">
        <v>1006</v>
      </c>
      <c r="AF73"/>
      <c r="AG73" t="s">
        <v>65</v>
      </c>
      <c r="AH73" t="s">
        <v>58</v>
      </c>
      <c r="AI73">
        <v>39900000</v>
      </c>
      <c r="AS73" s="461">
        <v>45519</v>
      </c>
      <c r="AT73" s="98" t="s">
        <v>951</v>
      </c>
      <c r="AU73" s="98" t="s">
        <v>65</v>
      </c>
      <c r="AV73" s="98" t="s">
        <v>1006</v>
      </c>
      <c r="AW73" s="98" t="s">
        <v>940</v>
      </c>
      <c r="AX73" s="98">
        <v>17</v>
      </c>
      <c r="AY73" s="98" t="s">
        <v>55</v>
      </c>
      <c r="AZ73"/>
      <c r="BA73"/>
      <c r="BB73" s="98" t="s">
        <v>58</v>
      </c>
      <c r="BC73" s="98" t="s">
        <v>59</v>
      </c>
      <c r="BD73" s="98" t="s">
        <v>55</v>
      </c>
      <c r="BE73" s="98" t="s">
        <v>1008</v>
      </c>
      <c r="BF73">
        <v>39900000</v>
      </c>
    </row>
    <row r="74" spans="8:58" x14ac:dyDescent="0.3">
      <c r="H74" s="463">
        <v>45519</v>
      </c>
      <c r="I74" s="38" t="s">
        <v>940</v>
      </c>
      <c r="J74" s="38"/>
      <c r="K74" s="38"/>
      <c r="L74" s="38"/>
      <c r="M74" s="38"/>
      <c r="N74" s="38"/>
      <c r="O74" s="38" t="s">
        <v>62</v>
      </c>
      <c r="P74" s="38">
        <v>107</v>
      </c>
      <c r="S74"/>
      <c r="T74"/>
      <c r="U74"/>
      <c r="V74"/>
      <c r="W74"/>
      <c r="X74"/>
      <c r="Y74"/>
      <c r="Z74"/>
      <c r="AA74"/>
      <c r="AC74" s="462">
        <v>45519</v>
      </c>
      <c r="AD74" t="s">
        <v>951</v>
      </c>
      <c r="AE74" t="s">
        <v>1006</v>
      </c>
      <c r="AF74"/>
      <c r="AG74" t="s">
        <v>65</v>
      </c>
      <c r="AH74" t="s">
        <v>62</v>
      </c>
      <c r="AI74">
        <v>53500000</v>
      </c>
      <c r="AS74" s="461">
        <v>45519</v>
      </c>
      <c r="AT74" s="98" t="s">
        <v>951</v>
      </c>
      <c r="AU74" s="98" t="s">
        <v>65</v>
      </c>
      <c r="AV74" s="98" t="s">
        <v>1006</v>
      </c>
      <c r="AW74" s="98" t="s">
        <v>940</v>
      </c>
      <c r="AX74" s="98">
        <v>17</v>
      </c>
      <c r="AY74" s="98" t="s">
        <v>55</v>
      </c>
      <c r="AZ74"/>
      <c r="BA74"/>
      <c r="BB74" s="98" t="s">
        <v>62</v>
      </c>
      <c r="BC74" s="98" t="s">
        <v>63</v>
      </c>
      <c r="BD74" s="98" t="s">
        <v>55</v>
      </c>
      <c r="BE74" s="98" t="s">
        <v>1008</v>
      </c>
      <c r="BF74">
        <v>53500000</v>
      </c>
    </row>
    <row r="75" spans="8:58" x14ac:dyDescent="0.3">
      <c r="H75" s="463">
        <v>45529</v>
      </c>
      <c r="I75" s="38" t="s">
        <v>939</v>
      </c>
      <c r="J75" s="38" t="s">
        <v>1005</v>
      </c>
      <c r="K75" s="38" t="s">
        <v>996</v>
      </c>
      <c r="L75" s="38" t="s">
        <v>982</v>
      </c>
      <c r="M75" s="38">
        <v>14</v>
      </c>
      <c r="N75" s="38">
        <v>143900000</v>
      </c>
      <c r="O75" s="38" t="s">
        <v>29</v>
      </c>
      <c r="P75" s="38">
        <v>239</v>
      </c>
      <c r="S75"/>
      <c r="T75"/>
      <c r="U75"/>
      <c r="V75"/>
      <c r="W75"/>
      <c r="X75"/>
      <c r="Y75"/>
      <c r="Z75"/>
      <c r="AA75"/>
      <c r="AC75" s="462">
        <v>45529</v>
      </c>
      <c r="AD75" t="s">
        <v>949</v>
      </c>
      <c r="AE75" t="s">
        <v>1005</v>
      </c>
      <c r="AF75">
        <v>143900000</v>
      </c>
      <c r="AG75" t="s">
        <v>54</v>
      </c>
      <c r="AH75" t="s">
        <v>29</v>
      </c>
      <c r="AI75">
        <v>47800000</v>
      </c>
      <c r="AS75" s="461">
        <v>45529</v>
      </c>
      <c r="AT75" s="98" t="s">
        <v>949</v>
      </c>
      <c r="AU75" s="98" t="s">
        <v>54</v>
      </c>
      <c r="AV75" s="98" t="s">
        <v>1005</v>
      </c>
      <c r="AW75" s="98" t="s">
        <v>939</v>
      </c>
      <c r="AX75" s="98">
        <v>14</v>
      </c>
      <c r="AY75" s="98" t="s">
        <v>55</v>
      </c>
      <c r="AZ75" s="98">
        <v>0</v>
      </c>
      <c r="BA75" s="98">
        <v>143900000</v>
      </c>
      <c r="BB75" s="98" t="s">
        <v>29</v>
      </c>
      <c r="BC75" s="98" t="s">
        <v>52</v>
      </c>
      <c r="BD75" s="98" t="s">
        <v>55</v>
      </c>
      <c r="BE75" s="98" t="s">
        <v>1008</v>
      </c>
      <c r="BF75">
        <v>47800000</v>
      </c>
    </row>
    <row r="76" spans="8:58" x14ac:dyDescent="0.3">
      <c r="H76" s="463">
        <v>45529</v>
      </c>
      <c r="I76" s="38" t="s">
        <v>939</v>
      </c>
      <c r="J76" s="38"/>
      <c r="K76" s="38"/>
      <c r="L76" s="38"/>
      <c r="M76" s="38"/>
      <c r="N76" s="38"/>
      <c r="O76" s="38" t="s">
        <v>58</v>
      </c>
      <c r="P76" s="38">
        <v>137</v>
      </c>
      <c r="S76"/>
      <c r="T76"/>
      <c r="U76"/>
      <c r="V76"/>
      <c r="W76"/>
      <c r="X76"/>
      <c r="Y76"/>
      <c r="Z76"/>
      <c r="AA76"/>
      <c r="AC76" s="462">
        <v>45529</v>
      </c>
      <c r="AD76" t="s">
        <v>949</v>
      </c>
      <c r="AE76" t="s">
        <v>1005</v>
      </c>
      <c r="AF76"/>
      <c r="AG76" t="s">
        <v>54</v>
      </c>
      <c r="AH76" t="s">
        <v>58</v>
      </c>
      <c r="AI76">
        <v>41100000</v>
      </c>
      <c r="AS76" s="461">
        <v>45529</v>
      </c>
      <c r="AT76" s="98" t="s">
        <v>949</v>
      </c>
      <c r="AU76" s="98" t="s">
        <v>54</v>
      </c>
      <c r="AV76" s="98" t="s">
        <v>1005</v>
      </c>
      <c r="AW76" s="98" t="s">
        <v>939</v>
      </c>
      <c r="AX76" s="98">
        <v>14</v>
      </c>
      <c r="AY76" s="98" t="s">
        <v>55</v>
      </c>
      <c r="AZ76"/>
      <c r="BA76"/>
      <c r="BB76" s="98" t="s">
        <v>58</v>
      </c>
      <c r="BC76" s="98" t="s">
        <v>59</v>
      </c>
      <c r="BD76" s="98" t="s">
        <v>55</v>
      </c>
      <c r="BE76" s="98" t="s">
        <v>1008</v>
      </c>
      <c r="BF76">
        <v>41100000</v>
      </c>
    </row>
    <row r="77" spans="8:58" x14ac:dyDescent="0.3">
      <c r="H77" s="463">
        <v>45529</v>
      </c>
      <c r="I77" s="38" t="s">
        <v>939</v>
      </c>
      <c r="J77" s="38"/>
      <c r="K77" s="38"/>
      <c r="L77" s="38"/>
      <c r="M77" s="38"/>
      <c r="N77" s="38"/>
      <c r="O77" s="38" t="s">
        <v>62</v>
      </c>
      <c r="P77" s="38">
        <v>110</v>
      </c>
      <c r="S77"/>
      <c r="T77"/>
      <c r="U77"/>
      <c r="V77"/>
      <c r="W77"/>
      <c r="X77"/>
      <c r="Y77"/>
      <c r="Z77"/>
      <c r="AA77"/>
      <c r="AC77" s="462">
        <v>45529</v>
      </c>
      <c r="AD77" t="s">
        <v>949</v>
      </c>
      <c r="AE77" t="s">
        <v>1005</v>
      </c>
      <c r="AF77"/>
      <c r="AG77" t="s">
        <v>54</v>
      </c>
      <c r="AH77" t="s">
        <v>62</v>
      </c>
      <c r="AI77">
        <v>55000000</v>
      </c>
      <c r="AS77" s="461">
        <v>45529</v>
      </c>
      <c r="AT77" s="98" t="s">
        <v>949</v>
      </c>
      <c r="AU77" s="98" t="s">
        <v>54</v>
      </c>
      <c r="AV77" s="98" t="s">
        <v>1005</v>
      </c>
      <c r="AW77" s="98" t="s">
        <v>939</v>
      </c>
      <c r="AX77" s="98">
        <v>14</v>
      </c>
      <c r="AY77" s="98" t="s">
        <v>55</v>
      </c>
      <c r="AZ77"/>
      <c r="BA77"/>
      <c r="BB77" s="98" t="s">
        <v>62</v>
      </c>
      <c r="BC77" s="98" t="s">
        <v>63</v>
      </c>
      <c r="BD77" s="98" t="s">
        <v>55</v>
      </c>
      <c r="BE77" s="98" t="s">
        <v>1008</v>
      </c>
      <c r="BF77">
        <v>55000000</v>
      </c>
    </row>
    <row r="78" spans="8:58" x14ac:dyDescent="0.3">
      <c r="H78" s="463">
        <v>45540</v>
      </c>
      <c r="I78" s="38" t="s">
        <v>941</v>
      </c>
      <c r="J78" s="38" t="s">
        <v>1006</v>
      </c>
      <c r="K78" s="38" t="s">
        <v>998</v>
      </c>
      <c r="L78" s="38" t="s">
        <v>983</v>
      </c>
      <c r="M78" s="38">
        <v>12</v>
      </c>
      <c r="N78" s="38">
        <v>146100000</v>
      </c>
      <c r="O78" s="38" t="s">
        <v>29</v>
      </c>
      <c r="P78" s="38">
        <v>251</v>
      </c>
      <c r="S78"/>
      <c r="T78"/>
      <c r="U78"/>
      <c r="V78"/>
      <c r="W78"/>
      <c r="X78"/>
      <c r="Y78"/>
      <c r="Z78"/>
      <c r="AA78"/>
      <c r="AC78"/>
      <c r="AD78"/>
      <c r="AE78"/>
      <c r="AF78"/>
      <c r="AG78"/>
      <c r="AH78"/>
      <c r="AI78"/>
      <c r="AS78" s="461">
        <v>45540</v>
      </c>
      <c r="AT78" s="98" t="s">
        <v>60</v>
      </c>
      <c r="AU78" s="98" t="s">
        <v>65</v>
      </c>
      <c r="AV78" s="98" t="s">
        <v>1006</v>
      </c>
      <c r="AW78" s="98" t="s">
        <v>941</v>
      </c>
      <c r="AX78" s="98">
        <v>12</v>
      </c>
      <c r="AY78" s="98" t="s">
        <v>55</v>
      </c>
      <c r="AZ78" s="98">
        <v>0</v>
      </c>
      <c r="BA78" s="98">
        <v>146100000</v>
      </c>
      <c r="BB78" s="98" t="s">
        <v>29</v>
      </c>
      <c r="BC78" s="98" t="s">
        <v>52</v>
      </c>
      <c r="BD78" s="98" t="s">
        <v>55</v>
      </c>
      <c r="BE78" s="98" t="s">
        <v>1008</v>
      </c>
      <c r="BF78">
        <v>50200000</v>
      </c>
    </row>
    <row r="79" spans="8:58" x14ac:dyDescent="0.3">
      <c r="H79" s="463">
        <v>45540</v>
      </c>
      <c r="I79" s="38" t="s">
        <v>941</v>
      </c>
      <c r="J79" s="38"/>
      <c r="K79" s="38"/>
      <c r="L79" s="38"/>
      <c r="M79" s="38"/>
      <c r="N79" s="38"/>
      <c r="O79" s="38" t="s">
        <v>58</v>
      </c>
      <c r="P79" s="38">
        <v>138</v>
      </c>
      <c r="S79"/>
      <c r="T79"/>
      <c r="U79"/>
      <c r="V79"/>
      <c r="W79"/>
      <c r="X79"/>
      <c r="Y79"/>
      <c r="Z79"/>
      <c r="AA79"/>
      <c r="AC79"/>
      <c r="AD79"/>
      <c r="AE79"/>
      <c r="AF79"/>
      <c r="AG79"/>
      <c r="AH79"/>
      <c r="AI79"/>
      <c r="AS79" s="461">
        <v>45540</v>
      </c>
      <c r="AT79" s="98" t="s">
        <v>60</v>
      </c>
      <c r="AU79" s="98" t="s">
        <v>65</v>
      </c>
      <c r="AV79" s="98" t="s">
        <v>1006</v>
      </c>
      <c r="AW79" s="98" t="s">
        <v>941</v>
      </c>
      <c r="AX79" s="98">
        <v>12</v>
      </c>
      <c r="AY79" s="98" t="s">
        <v>55</v>
      </c>
      <c r="AZ79"/>
      <c r="BA79"/>
      <c r="BB79" s="98" t="s">
        <v>58</v>
      </c>
      <c r="BC79" s="98" t="s">
        <v>59</v>
      </c>
      <c r="BD79" s="98" t="s">
        <v>55</v>
      </c>
      <c r="BE79" s="98" t="s">
        <v>1008</v>
      </c>
      <c r="BF79">
        <v>41400000</v>
      </c>
    </row>
    <row r="80" spans="8:58" x14ac:dyDescent="0.3">
      <c r="H80" s="463">
        <v>45540</v>
      </c>
      <c r="I80" s="38" t="s">
        <v>941</v>
      </c>
      <c r="J80" s="38"/>
      <c r="K80" s="38"/>
      <c r="L80" s="38"/>
      <c r="M80" s="38"/>
      <c r="N80" s="38"/>
      <c r="O80" s="38" t="s">
        <v>62</v>
      </c>
      <c r="P80" s="38">
        <v>109</v>
      </c>
      <c r="S80"/>
      <c r="T80"/>
      <c r="U80"/>
      <c r="V80"/>
      <c r="W80"/>
      <c r="X80"/>
      <c r="Y80"/>
      <c r="Z80"/>
      <c r="AA80"/>
      <c r="AC80"/>
      <c r="AD80"/>
      <c r="AE80"/>
      <c r="AF80"/>
      <c r="AG80"/>
      <c r="AH80"/>
      <c r="AI80"/>
      <c r="AS80" s="461">
        <v>45540</v>
      </c>
      <c r="AT80" s="98" t="s">
        <v>60</v>
      </c>
      <c r="AU80" s="98" t="s">
        <v>65</v>
      </c>
      <c r="AV80" s="98" t="s">
        <v>1006</v>
      </c>
      <c r="AW80" s="98" t="s">
        <v>941</v>
      </c>
      <c r="AX80" s="98">
        <v>12</v>
      </c>
      <c r="AY80" s="98" t="s">
        <v>55</v>
      </c>
      <c r="AZ80"/>
      <c r="BA80"/>
      <c r="BB80" s="98" t="s">
        <v>62</v>
      </c>
      <c r="BC80" s="98" t="s">
        <v>63</v>
      </c>
      <c r="BD80" s="98" t="s">
        <v>55</v>
      </c>
      <c r="BE80" s="98" t="s">
        <v>1008</v>
      </c>
      <c r="BF80">
        <v>54500000</v>
      </c>
    </row>
    <row r="81" spans="8:58" x14ac:dyDescent="0.3">
      <c r="H81" s="463">
        <v>45550</v>
      </c>
      <c r="I81" s="38" t="s">
        <v>943</v>
      </c>
      <c r="J81" s="38" t="s">
        <v>1006</v>
      </c>
      <c r="K81" s="38" t="s">
        <v>1000</v>
      </c>
      <c r="L81" s="38" t="s">
        <v>984</v>
      </c>
      <c r="M81" s="38">
        <v>7</v>
      </c>
      <c r="N81" s="38">
        <v>146700000</v>
      </c>
      <c r="O81" s="38" t="s">
        <v>29</v>
      </c>
      <c r="P81" s="38">
        <v>256</v>
      </c>
      <c r="S81"/>
      <c r="T81"/>
      <c r="U81"/>
      <c r="V81"/>
      <c r="W81"/>
      <c r="X81"/>
      <c r="Y81"/>
      <c r="Z81"/>
      <c r="AA81"/>
      <c r="AC81"/>
      <c r="AD81"/>
      <c r="AE81"/>
      <c r="AF81"/>
      <c r="AG81"/>
      <c r="AH81"/>
      <c r="AI81"/>
      <c r="AS81" s="461">
        <v>45550</v>
      </c>
      <c r="AT81" s="98" t="s">
        <v>60</v>
      </c>
      <c r="AU81" s="98" t="s">
        <v>54</v>
      </c>
      <c r="AV81" s="98" t="s">
        <v>1006</v>
      </c>
      <c r="AW81" s="98" t="s">
        <v>943</v>
      </c>
      <c r="AX81" s="98">
        <v>7</v>
      </c>
      <c r="AY81" s="98" t="s">
        <v>55</v>
      </c>
      <c r="AZ81" s="98">
        <v>0</v>
      </c>
      <c r="BA81" s="98">
        <v>146700000</v>
      </c>
      <c r="BB81" s="98" t="s">
        <v>29</v>
      </c>
      <c r="BC81" s="98" t="s">
        <v>52</v>
      </c>
      <c r="BD81" s="98" t="s">
        <v>55</v>
      </c>
      <c r="BE81" s="98" t="s">
        <v>1008</v>
      </c>
      <c r="BF81">
        <v>51200000</v>
      </c>
    </row>
    <row r="82" spans="8:58" x14ac:dyDescent="0.3">
      <c r="H82" s="463">
        <v>45550</v>
      </c>
      <c r="I82" s="38" t="s">
        <v>943</v>
      </c>
      <c r="J82" s="38"/>
      <c r="K82" s="38"/>
      <c r="L82" s="38"/>
      <c r="M82" s="38"/>
      <c r="N82" s="38"/>
      <c r="O82" s="38" t="s">
        <v>58</v>
      </c>
      <c r="P82" s="38">
        <v>135</v>
      </c>
      <c r="S82"/>
      <c r="T82"/>
      <c r="U82"/>
      <c r="V82"/>
      <c r="W82"/>
      <c r="X82"/>
      <c r="Y82"/>
      <c r="Z82"/>
      <c r="AA82"/>
      <c r="AC82"/>
      <c r="AD82"/>
      <c r="AE82"/>
      <c r="AF82"/>
      <c r="AG82"/>
      <c r="AH82"/>
      <c r="AI82"/>
      <c r="AS82" s="461">
        <v>45550</v>
      </c>
      <c r="AT82" s="98" t="s">
        <v>60</v>
      </c>
      <c r="AU82" s="98" t="s">
        <v>54</v>
      </c>
      <c r="AV82" s="98" t="s">
        <v>1006</v>
      </c>
      <c r="AW82" s="98" t="s">
        <v>943</v>
      </c>
      <c r="AX82" s="98">
        <v>7</v>
      </c>
      <c r="AY82" s="98" t="s">
        <v>55</v>
      </c>
      <c r="AZ82"/>
      <c r="BA82"/>
      <c r="BB82" s="98" t="s">
        <v>58</v>
      </c>
      <c r="BC82" s="98" t="s">
        <v>59</v>
      </c>
      <c r="BD82" s="98" t="s">
        <v>55</v>
      </c>
      <c r="BE82" s="98" t="s">
        <v>1008</v>
      </c>
      <c r="BF82">
        <v>40500000</v>
      </c>
    </row>
    <row r="83" spans="8:58" x14ac:dyDescent="0.3">
      <c r="H83" s="463">
        <v>45550</v>
      </c>
      <c r="I83" s="38" t="s">
        <v>943</v>
      </c>
      <c r="J83" s="38"/>
      <c r="K83" s="38"/>
      <c r="L83" s="38"/>
      <c r="M83" s="38"/>
      <c r="N83" s="38"/>
      <c r="O83" s="38" t="s">
        <v>62</v>
      </c>
      <c r="P83" s="38">
        <v>110</v>
      </c>
      <c r="S83"/>
      <c r="T83"/>
      <c r="U83"/>
      <c r="V83"/>
      <c r="W83"/>
      <c r="X83"/>
      <c r="Y83"/>
      <c r="Z83"/>
      <c r="AA83"/>
      <c r="AC83"/>
      <c r="AD83"/>
      <c r="AE83"/>
      <c r="AF83"/>
      <c r="AG83"/>
      <c r="AH83"/>
      <c r="AI83"/>
      <c r="AS83" s="461">
        <v>45550</v>
      </c>
      <c r="AT83" s="98" t="s">
        <v>60</v>
      </c>
      <c r="AU83" s="98" t="s">
        <v>54</v>
      </c>
      <c r="AV83" s="98" t="s">
        <v>1006</v>
      </c>
      <c r="AW83" s="98" t="s">
        <v>943</v>
      </c>
      <c r="AX83" s="98">
        <v>7</v>
      </c>
      <c r="AY83" s="98" t="s">
        <v>55</v>
      </c>
      <c r="AZ83"/>
      <c r="BA83"/>
      <c r="BB83" s="98" t="s">
        <v>62</v>
      </c>
      <c r="BC83" s="98" t="s">
        <v>63</v>
      </c>
      <c r="BD83" s="98" t="s">
        <v>55</v>
      </c>
      <c r="BE83" s="98" t="s">
        <v>1008</v>
      </c>
      <c r="BF83">
        <v>55000000</v>
      </c>
    </row>
    <row r="84" spans="8:58" x14ac:dyDescent="0.3">
      <c r="H84" s="463">
        <v>45560</v>
      </c>
      <c r="I84" s="38" t="s">
        <v>939</v>
      </c>
      <c r="J84" s="38" t="s">
        <v>1005</v>
      </c>
      <c r="K84" s="38" t="s">
        <v>996</v>
      </c>
      <c r="L84" s="38" t="s">
        <v>985</v>
      </c>
      <c r="M84" s="38">
        <v>15</v>
      </c>
      <c r="N84" s="38">
        <v>149900000</v>
      </c>
      <c r="O84" s="38" t="s">
        <v>29</v>
      </c>
      <c r="P84" s="38">
        <v>251</v>
      </c>
      <c r="S84"/>
      <c r="T84"/>
      <c r="U84"/>
      <c r="V84"/>
      <c r="W84"/>
      <c r="X84"/>
      <c r="Y84"/>
      <c r="Z84"/>
      <c r="AA84"/>
      <c r="AC84"/>
      <c r="AD84"/>
      <c r="AE84"/>
      <c r="AF84"/>
      <c r="AG84"/>
      <c r="AH84"/>
      <c r="AI84"/>
      <c r="AS84" s="461">
        <v>45560</v>
      </c>
      <c r="AT84" s="98" t="s">
        <v>949</v>
      </c>
      <c r="AU84" s="98" t="s">
        <v>54</v>
      </c>
      <c r="AV84" s="98" t="s">
        <v>1005</v>
      </c>
      <c r="AW84" s="98" t="s">
        <v>939</v>
      </c>
      <c r="AX84" s="98">
        <v>15</v>
      </c>
      <c r="AY84" s="98" t="s">
        <v>55</v>
      </c>
      <c r="AZ84" s="98">
        <v>0</v>
      </c>
      <c r="BA84" s="98">
        <v>149900000</v>
      </c>
      <c r="BB84" s="98" t="s">
        <v>29</v>
      </c>
      <c r="BC84" s="98" t="s">
        <v>52</v>
      </c>
      <c r="BD84" s="98" t="s">
        <v>55</v>
      </c>
      <c r="BE84" s="98" t="s">
        <v>1008</v>
      </c>
      <c r="BF84">
        <v>50200000</v>
      </c>
    </row>
    <row r="85" spans="8:58" x14ac:dyDescent="0.3">
      <c r="H85" s="463">
        <v>45560</v>
      </c>
      <c r="I85" s="38" t="s">
        <v>939</v>
      </c>
      <c r="J85" s="38"/>
      <c r="K85" s="38"/>
      <c r="L85" s="38"/>
      <c r="M85" s="38"/>
      <c r="N85" s="38"/>
      <c r="O85" s="38" t="s">
        <v>58</v>
      </c>
      <c r="P85" s="38">
        <v>139</v>
      </c>
      <c r="S85"/>
      <c r="T85"/>
      <c r="U85"/>
      <c r="V85"/>
      <c r="W85"/>
      <c r="X85"/>
      <c r="Y85"/>
      <c r="Z85"/>
      <c r="AA85"/>
      <c r="AC85"/>
      <c r="AD85"/>
      <c r="AE85"/>
      <c r="AF85"/>
      <c r="AG85"/>
      <c r="AH85"/>
      <c r="AI85"/>
      <c r="AS85" s="461">
        <v>45560</v>
      </c>
      <c r="AT85" s="98" t="s">
        <v>949</v>
      </c>
      <c r="AU85" s="98" t="s">
        <v>54</v>
      </c>
      <c r="AV85" s="98" t="s">
        <v>1005</v>
      </c>
      <c r="AW85" s="98" t="s">
        <v>939</v>
      </c>
      <c r="AX85" s="98">
        <v>15</v>
      </c>
      <c r="AY85" s="98" t="s">
        <v>55</v>
      </c>
      <c r="AZ85"/>
      <c r="BA85"/>
      <c r="BB85" s="98" t="s">
        <v>58</v>
      </c>
      <c r="BC85" s="98" t="s">
        <v>59</v>
      </c>
      <c r="BD85" s="98" t="s">
        <v>55</v>
      </c>
      <c r="BE85" s="98" t="s">
        <v>1008</v>
      </c>
      <c r="BF85">
        <v>41700000</v>
      </c>
    </row>
    <row r="86" spans="8:58" x14ac:dyDescent="0.3">
      <c r="H86" s="463">
        <v>45560</v>
      </c>
      <c r="I86" s="38" t="s">
        <v>939</v>
      </c>
      <c r="J86" s="38"/>
      <c r="K86" s="38"/>
      <c r="L86" s="38"/>
      <c r="M86" s="38"/>
      <c r="N86" s="38"/>
      <c r="O86" s="38" t="s">
        <v>62</v>
      </c>
      <c r="P86" s="38">
        <v>116</v>
      </c>
      <c r="S86"/>
      <c r="T86"/>
      <c r="U86"/>
      <c r="V86"/>
      <c r="W86"/>
      <c r="X86"/>
      <c r="Y86"/>
      <c r="Z86"/>
      <c r="AA86"/>
      <c r="AC86"/>
      <c r="AD86"/>
      <c r="AE86"/>
      <c r="AF86"/>
      <c r="AG86"/>
      <c r="AH86"/>
      <c r="AI86"/>
      <c r="AS86" s="461">
        <v>45560</v>
      </c>
      <c r="AT86" s="98" t="s">
        <v>949</v>
      </c>
      <c r="AU86" s="98" t="s">
        <v>54</v>
      </c>
      <c r="AV86" s="98" t="s">
        <v>1005</v>
      </c>
      <c r="AW86" s="98" t="s">
        <v>939</v>
      </c>
      <c r="AX86" s="98">
        <v>15</v>
      </c>
      <c r="AY86" s="98" t="s">
        <v>55</v>
      </c>
      <c r="AZ86"/>
      <c r="BA86"/>
      <c r="BB86" s="98" t="s">
        <v>62</v>
      </c>
      <c r="BC86" s="98" t="s">
        <v>63</v>
      </c>
      <c r="BD86" s="98" t="s">
        <v>55</v>
      </c>
      <c r="BE86" s="98" t="s">
        <v>1008</v>
      </c>
      <c r="BF86">
        <v>58000000</v>
      </c>
    </row>
    <row r="87" spans="8:58" x14ac:dyDescent="0.3">
      <c r="H87" s="463">
        <v>45570</v>
      </c>
      <c r="I87" s="38" t="s">
        <v>940</v>
      </c>
      <c r="J87" s="38" t="s">
        <v>1006</v>
      </c>
      <c r="K87" s="38" t="s">
        <v>997</v>
      </c>
      <c r="L87" s="38" t="s">
        <v>986</v>
      </c>
      <c r="M87" s="38">
        <v>18</v>
      </c>
      <c r="N87" s="38">
        <v>155100000</v>
      </c>
      <c r="O87" s="38" t="s">
        <v>29</v>
      </c>
      <c r="P87" s="38">
        <v>254</v>
      </c>
      <c r="S87"/>
      <c r="T87"/>
      <c r="U87"/>
      <c r="V87"/>
      <c r="W87"/>
      <c r="X87"/>
      <c r="Y87"/>
      <c r="Z87"/>
      <c r="AA87"/>
      <c r="AC87"/>
      <c r="AD87"/>
      <c r="AE87"/>
      <c r="AF87"/>
      <c r="AG87"/>
      <c r="AH87"/>
      <c r="AI87"/>
      <c r="AS87" s="461">
        <v>45570</v>
      </c>
      <c r="AT87" s="98" t="s">
        <v>56</v>
      </c>
      <c r="AU87" s="98" t="s">
        <v>54</v>
      </c>
      <c r="AV87" s="98" t="s">
        <v>1006</v>
      </c>
      <c r="AW87" s="98" t="s">
        <v>940</v>
      </c>
      <c r="AX87" s="98">
        <v>18</v>
      </c>
      <c r="AY87" s="98" t="s">
        <v>55</v>
      </c>
      <c r="AZ87" s="98">
        <v>0</v>
      </c>
      <c r="BA87" s="98">
        <v>155100000</v>
      </c>
      <c r="BB87" s="98" t="s">
        <v>29</v>
      </c>
      <c r="BC87" s="98" t="s">
        <v>52</v>
      </c>
      <c r="BD87" s="98" t="s">
        <v>55</v>
      </c>
      <c r="BE87" s="98" t="s">
        <v>1008</v>
      </c>
      <c r="BF87">
        <v>50800000</v>
      </c>
    </row>
    <row r="88" spans="8:58" x14ac:dyDescent="0.3">
      <c r="H88" s="463">
        <v>45570</v>
      </c>
      <c r="I88" s="38" t="s">
        <v>940</v>
      </c>
      <c r="J88" s="38"/>
      <c r="K88" s="38"/>
      <c r="L88" s="38"/>
      <c r="M88" s="38"/>
      <c r="N88" s="38"/>
      <c r="O88" s="38" t="s">
        <v>58</v>
      </c>
      <c r="P88" s="38">
        <v>146</v>
      </c>
      <c r="S88"/>
      <c r="T88"/>
      <c r="U88"/>
      <c r="V88"/>
      <c r="W88"/>
      <c r="X88"/>
      <c r="Y88"/>
      <c r="Z88"/>
      <c r="AA88"/>
      <c r="AC88"/>
      <c r="AD88"/>
      <c r="AE88"/>
      <c r="AF88"/>
      <c r="AG88"/>
      <c r="AH88"/>
      <c r="AI88"/>
      <c r="AS88" s="461">
        <v>45570</v>
      </c>
      <c r="AT88" s="98" t="s">
        <v>56</v>
      </c>
      <c r="AU88" s="98" t="s">
        <v>54</v>
      </c>
      <c r="AV88" s="98" t="s">
        <v>1006</v>
      </c>
      <c r="AW88" s="98" t="s">
        <v>940</v>
      </c>
      <c r="AX88" s="98">
        <v>18</v>
      </c>
      <c r="AY88" s="98" t="s">
        <v>55</v>
      </c>
      <c r="AZ88"/>
      <c r="BA88"/>
      <c r="BB88" s="98" t="s">
        <v>58</v>
      </c>
      <c r="BC88" s="98" t="s">
        <v>59</v>
      </c>
      <c r="BD88" s="98" t="s">
        <v>55</v>
      </c>
      <c r="BE88" s="98" t="s">
        <v>1008</v>
      </c>
      <c r="BF88">
        <v>43800000</v>
      </c>
    </row>
    <row r="89" spans="8:58" x14ac:dyDescent="0.3">
      <c r="H89" s="463">
        <v>45570</v>
      </c>
      <c r="I89" s="38" t="s">
        <v>940</v>
      </c>
      <c r="J89" s="38"/>
      <c r="K89" s="38"/>
      <c r="L89" s="38"/>
      <c r="M89" s="38"/>
      <c r="N89" s="38"/>
      <c r="O89" s="38" t="s">
        <v>62</v>
      </c>
      <c r="P89" s="38">
        <v>121</v>
      </c>
      <c r="S89"/>
      <c r="T89"/>
      <c r="U89"/>
      <c r="V89"/>
      <c r="W89"/>
      <c r="X89"/>
      <c r="Y89"/>
      <c r="Z89"/>
      <c r="AA89"/>
      <c r="AC89"/>
      <c r="AD89"/>
      <c r="AE89"/>
      <c r="AF89"/>
      <c r="AG89"/>
      <c r="AH89"/>
      <c r="AI89"/>
      <c r="AS89" s="461">
        <v>45570</v>
      </c>
      <c r="AT89" s="98" t="s">
        <v>56</v>
      </c>
      <c r="AU89" s="98" t="s">
        <v>54</v>
      </c>
      <c r="AV89" s="98" t="s">
        <v>1006</v>
      </c>
      <c r="AW89" s="98" t="s">
        <v>940</v>
      </c>
      <c r="AX89" s="98">
        <v>18</v>
      </c>
      <c r="AY89" s="98" t="s">
        <v>55</v>
      </c>
      <c r="AZ89"/>
      <c r="BA89"/>
      <c r="BB89" s="98" t="s">
        <v>62</v>
      </c>
      <c r="BC89" s="98" t="s">
        <v>63</v>
      </c>
      <c r="BD89" s="98" t="s">
        <v>55</v>
      </c>
      <c r="BE89" s="98" t="s">
        <v>1008</v>
      </c>
      <c r="BF89">
        <v>60500000</v>
      </c>
    </row>
    <row r="90" spans="8:58" x14ac:dyDescent="0.3">
      <c r="H90" s="463">
        <v>45580</v>
      </c>
      <c r="I90" s="38" t="s">
        <v>942</v>
      </c>
      <c r="J90" s="38" t="s">
        <v>1005</v>
      </c>
      <c r="K90" s="38" t="s">
        <v>999</v>
      </c>
      <c r="L90" s="38" t="s">
        <v>987</v>
      </c>
      <c r="M90" s="38">
        <v>9</v>
      </c>
      <c r="N90" s="38">
        <v>155000000</v>
      </c>
      <c r="O90" s="38" t="s">
        <v>29</v>
      </c>
      <c r="P90" s="38">
        <v>257</v>
      </c>
      <c r="S90"/>
      <c r="T90"/>
      <c r="U90"/>
      <c r="V90"/>
      <c r="W90"/>
      <c r="X90"/>
      <c r="Y90"/>
      <c r="Z90"/>
      <c r="AA90"/>
      <c r="AC90"/>
      <c r="AD90"/>
      <c r="AE90"/>
      <c r="AF90"/>
      <c r="AG90"/>
      <c r="AH90"/>
      <c r="AI90"/>
      <c r="AS90" s="461">
        <v>45580</v>
      </c>
      <c r="AT90" s="98" t="s">
        <v>950</v>
      </c>
      <c r="AU90" s="98" t="s">
        <v>65</v>
      </c>
      <c r="AV90" s="98" t="s">
        <v>1005</v>
      </c>
      <c r="AW90" s="98" t="s">
        <v>942</v>
      </c>
      <c r="AX90" s="98">
        <v>9</v>
      </c>
      <c r="AY90" s="98" t="s">
        <v>55</v>
      </c>
      <c r="AZ90" s="98">
        <v>0</v>
      </c>
      <c r="BA90" s="98">
        <v>155000000</v>
      </c>
      <c r="BB90" s="98" t="s">
        <v>29</v>
      </c>
      <c r="BC90" s="98" t="s">
        <v>52</v>
      </c>
      <c r="BD90" s="98" t="s">
        <v>55</v>
      </c>
      <c r="BE90" s="98" t="s">
        <v>1008</v>
      </c>
      <c r="BF90">
        <v>51400000</v>
      </c>
    </row>
    <row r="91" spans="8:58" x14ac:dyDescent="0.3">
      <c r="H91" s="463">
        <v>45580</v>
      </c>
      <c r="I91" s="38" t="s">
        <v>942</v>
      </c>
      <c r="J91" s="38"/>
      <c r="K91" s="38"/>
      <c r="L91" s="38"/>
      <c r="M91" s="38"/>
      <c r="N91" s="38"/>
      <c r="O91" s="38" t="s">
        <v>58</v>
      </c>
      <c r="P91" s="38">
        <v>147</v>
      </c>
      <c r="S91"/>
      <c r="T91"/>
      <c r="U91"/>
      <c r="V91"/>
      <c r="W91"/>
      <c r="X91"/>
      <c r="Y91"/>
      <c r="Z91"/>
      <c r="AA91"/>
      <c r="AC91"/>
      <c r="AD91"/>
      <c r="AE91"/>
      <c r="AF91"/>
      <c r="AG91"/>
      <c r="AH91"/>
      <c r="AI91"/>
      <c r="AS91" s="461">
        <v>45580</v>
      </c>
      <c r="AT91" s="98" t="s">
        <v>950</v>
      </c>
      <c r="AU91" s="98" t="s">
        <v>65</v>
      </c>
      <c r="AV91" s="98" t="s">
        <v>1005</v>
      </c>
      <c r="AW91" s="98" t="s">
        <v>942</v>
      </c>
      <c r="AX91" s="98">
        <v>9</v>
      </c>
      <c r="AY91" s="98" t="s">
        <v>55</v>
      </c>
      <c r="AZ91"/>
      <c r="BA91"/>
      <c r="BB91" s="98" t="s">
        <v>58</v>
      </c>
      <c r="BC91" s="98" t="s">
        <v>59</v>
      </c>
      <c r="BD91" s="98" t="s">
        <v>55</v>
      </c>
      <c r="BE91" s="98" t="s">
        <v>1008</v>
      </c>
      <c r="BF91">
        <v>44100000</v>
      </c>
    </row>
    <row r="92" spans="8:58" x14ac:dyDescent="0.3">
      <c r="H92" s="463">
        <v>45580</v>
      </c>
      <c r="I92" s="38" t="s">
        <v>942</v>
      </c>
      <c r="J92" s="38"/>
      <c r="K92" s="38"/>
      <c r="L92" s="38"/>
      <c r="M92" s="38"/>
      <c r="N92" s="38"/>
      <c r="O92" s="38" t="s">
        <v>62</v>
      </c>
      <c r="P92" s="38">
        <v>119</v>
      </c>
      <c r="S92"/>
      <c r="T92"/>
      <c r="U92"/>
      <c r="V92"/>
      <c r="W92"/>
      <c r="X92"/>
      <c r="Y92"/>
      <c r="Z92"/>
      <c r="AA92"/>
      <c r="AC92"/>
      <c r="AD92"/>
      <c r="AE92"/>
      <c r="AF92"/>
      <c r="AG92"/>
      <c r="AH92"/>
      <c r="AI92"/>
      <c r="AS92" s="461">
        <v>45580</v>
      </c>
      <c r="AT92" s="98" t="s">
        <v>950</v>
      </c>
      <c r="AU92" s="98" t="s">
        <v>65</v>
      </c>
      <c r="AV92" s="98" t="s">
        <v>1005</v>
      </c>
      <c r="AW92" s="98" t="s">
        <v>942</v>
      </c>
      <c r="AX92" s="98">
        <v>9</v>
      </c>
      <c r="AY92" s="98" t="s">
        <v>55</v>
      </c>
      <c r="AZ92"/>
      <c r="BA92"/>
      <c r="BB92" s="98" t="s">
        <v>62</v>
      </c>
      <c r="BC92" s="98" t="s">
        <v>63</v>
      </c>
      <c r="BD92" s="98" t="s">
        <v>55</v>
      </c>
      <c r="BE92" s="98" t="s">
        <v>1008</v>
      </c>
      <c r="BF92">
        <v>59500000</v>
      </c>
    </row>
    <row r="93" spans="8:58" x14ac:dyDescent="0.3">
      <c r="H93" s="463">
        <v>45590</v>
      </c>
      <c r="I93" s="38" t="s">
        <v>941</v>
      </c>
      <c r="J93" s="38" t="s">
        <v>1006</v>
      </c>
      <c r="K93" s="38" t="s">
        <v>998</v>
      </c>
      <c r="L93" s="38" t="s">
        <v>988</v>
      </c>
      <c r="M93" s="38">
        <v>13</v>
      </c>
      <c r="N93" s="38">
        <v>159200000</v>
      </c>
      <c r="O93" s="38" t="s">
        <v>29</v>
      </c>
      <c r="P93" s="38">
        <v>270</v>
      </c>
      <c r="S93"/>
      <c r="T93"/>
      <c r="U93"/>
      <c r="V93"/>
      <c r="W93"/>
      <c r="X93"/>
      <c r="Y93"/>
      <c r="Z93"/>
      <c r="AA93"/>
      <c r="AC93"/>
      <c r="AD93"/>
      <c r="AE93"/>
      <c r="AF93"/>
      <c r="AG93"/>
      <c r="AH93"/>
      <c r="AI93"/>
      <c r="AS93" s="461">
        <v>45590</v>
      </c>
      <c r="AT93" s="98" t="s">
        <v>60</v>
      </c>
      <c r="AU93" s="98" t="s">
        <v>54</v>
      </c>
      <c r="AV93" s="98" t="s">
        <v>1006</v>
      </c>
      <c r="AW93" s="98" t="s">
        <v>941</v>
      </c>
      <c r="AX93" s="98">
        <v>13</v>
      </c>
      <c r="AY93" s="98" t="s">
        <v>55</v>
      </c>
      <c r="AZ93" s="98">
        <v>0</v>
      </c>
      <c r="BA93" s="98">
        <v>159200000</v>
      </c>
      <c r="BB93" s="98" t="s">
        <v>29</v>
      </c>
      <c r="BC93" s="98" t="s">
        <v>52</v>
      </c>
      <c r="BD93" s="98" t="s">
        <v>55</v>
      </c>
      <c r="BE93" s="98" t="s">
        <v>1008</v>
      </c>
      <c r="BF93">
        <v>54000000</v>
      </c>
    </row>
    <row r="94" spans="8:58" x14ac:dyDescent="0.3">
      <c r="H94" s="463">
        <v>45590</v>
      </c>
      <c r="I94" s="38" t="s">
        <v>941</v>
      </c>
      <c r="J94" s="38"/>
      <c r="K94" s="38"/>
      <c r="L94" s="38"/>
      <c r="M94" s="38"/>
      <c r="N94" s="38"/>
      <c r="O94" s="38" t="s">
        <v>58</v>
      </c>
      <c r="P94" s="38">
        <v>154</v>
      </c>
      <c r="S94"/>
      <c r="T94"/>
      <c r="U94"/>
      <c r="V94"/>
      <c r="W94"/>
      <c r="X94"/>
      <c r="Y94"/>
      <c r="Z94"/>
      <c r="AA94"/>
      <c r="AC94"/>
      <c r="AD94"/>
      <c r="AE94"/>
      <c r="AF94"/>
      <c r="AG94"/>
      <c r="AH94"/>
      <c r="AI94"/>
      <c r="AS94" s="461">
        <v>45590</v>
      </c>
      <c r="AT94" s="98" t="s">
        <v>60</v>
      </c>
      <c r="AU94" s="98" t="s">
        <v>54</v>
      </c>
      <c r="AV94" s="98" t="s">
        <v>1006</v>
      </c>
      <c r="AW94" s="98" t="s">
        <v>941</v>
      </c>
      <c r="AX94" s="98">
        <v>13</v>
      </c>
      <c r="AY94" s="98" t="s">
        <v>55</v>
      </c>
      <c r="AZ94"/>
      <c r="BA94"/>
      <c r="BB94" s="98" t="s">
        <v>58</v>
      </c>
      <c r="BC94" s="98" t="s">
        <v>59</v>
      </c>
      <c r="BD94" s="98" t="s">
        <v>55</v>
      </c>
      <c r="BE94" s="98" t="s">
        <v>1008</v>
      </c>
      <c r="BF94">
        <v>46200000</v>
      </c>
    </row>
    <row r="95" spans="8:58" x14ac:dyDescent="0.3">
      <c r="H95" s="463">
        <v>45590</v>
      </c>
      <c r="I95" s="38" t="s">
        <v>941</v>
      </c>
      <c r="J95" s="38"/>
      <c r="K95" s="38"/>
      <c r="L95" s="38"/>
      <c r="M95" s="38"/>
      <c r="N95" s="38"/>
      <c r="O95" s="38" t="s">
        <v>62</v>
      </c>
      <c r="P95" s="38">
        <v>118</v>
      </c>
      <c r="S95"/>
      <c r="T95"/>
      <c r="U95"/>
      <c r="V95"/>
      <c r="W95"/>
      <c r="X95"/>
      <c r="Y95"/>
      <c r="Z95"/>
      <c r="AA95"/>
      <c r="AC95"/>
      <c r="AD95"/>
      <c r="AE95"/>
      <c r="AF95"/>
      <c r="AG95"/>
      <c r="AH95"/>
      <c r="AI95"/>
      <c r="AS95" s="461">
        <v>45590</v>
      </c>
      <c r="AT95" s="98" t="s">
        <v>60</v>
      </c>
      <c r="AU95" s="98" t="s">
        <v>54</v>
      </c>
      <c r="AV95" s="98" t="s">
        <v>1006</v>
      </c>
      <c r="AW95" s="98" t="s">
        <v>941</v>
      </c>
      <c r="AX95" s="98">
        <v>13</v>
      </c>
      <c r="AY95" s="98" t="s">
        <v>55</v>
      </c>
      <c r="AZ95"/>
      <c r="BA95"/>
      <c r="BB95" s="98" t="s">
        <v>62</v>
      </c>
      <c r="BC95" s="98" t="s">
        <v>63</v>
      </c>
      <c r="BD95" s="98" t="s">
        <v>55</v>
      </c>
      <c r="BE95" s="98" t="s">
        <v>1008</v>
      </c>
      <c r="BF95">
        <v>59000000</v>
      </c>
    </row>
    <row r="96" spans="8:58" x14ac:dyDescent="0.3">
      <c r="H96" s="463">
        <v>45601</v>
      </c>
      <c r="I96" s="38" t="s">
        <v>939</v>
      </c>
      <c r="J96" s="38" t="s">
        <v>1005</v>
      </c>
      <c r="K96" s="38" t="s">
        <v>996</v>
      </c>
      <c r="L96" s="38" t="s">
        <v>989</v>
      </c>
      <c r="M96" s="38">
        <v>16</v>
      </c>
      <c r="N96" s="38">
        <v>154600000</v>
      </c>
      <c r="O96" s="38" t="s">
        <v>29</v>
      </c>
      <c r="P96" s="38">
        <v>265</v>
      </c>
      <c r="S96"/>
      <c r="T96"/>
      <c r="U96"/>
      <c r="V96"/>
      <c r="W96"/>
      <c r="X96"/>
      <c r="Y96"/>
      <c r="Z96"/>
      <c r="AA96"/>
      <c r="AC96"/>
      <c r="AD96"/>
      <c r="AE96"/>
      <c r="AF96"/>
      <c r="AG96"/>
      <c r="AH96"/>
      <c r="AI96"/>
      <c r="AS96" s="461">
        <v>45601</v>
      </c>
      <c r="AT96" s="98" t="s">
        <v>949</v>
      </c>
      <c r="AU96" s="98" t="s">
        <v>54</v>
      </c>
      <c r="AV96" s="98" t="s">
        <v>1005</v>
      </c>
      <c r="AW96" s="98" t="s">
        <v>939</v>
      </c>
      <c r="AX96" s="98">
        <v>16</v>
      </c>
      <c r="AY96" s="98" t="s">
        <v>995</v>
      </c>
      <c r="AZ96" s="98">
        <v>5000000</v>
      </c>
      <c r="BA96" s="98">
        <v>154600000</v>
      </c>
      <c r="BB96" s="98" t="s">
        <v>29</v>
      </c>
      <c r="BC96" s="98" t="s">
        <v>52</v>
      </c>
      <c r="BD96" s="98" t="s">
        <v>55</v>
      </c>
      <c r="BE96" s="98" t="s">
        <v>1008</v>
      </c>
      <c r="BF96">
        <v>53000000</v>
      </c>
    </row>
    <row r="97" spans="8:58" x14ac:dyDescent="0.3">
      <c r="H97" s="463">
        <v>45601</v>
      </c>
      <c r="I97" s="38" t="s">
        <v>939</v>
      </c>
      <c r="J97" s="38"/>
      <c r="K97" s="38"/>
      <c r="L97" s="38"/>
      <c r="M97" s="38"/>
      <c r="N97" s="38"/>
      <c r="O97" s="38" t="s">
        <v>58</v>
      </c>
      <c r="P97" s="38">
        <v>162</v>
      </c>
      <c r="S97"/>
      <c r="T97"/>
      <c r="U97"/>
      <c r="V97"/>
      <c r="W97"/>
      <c r="X97"/>
      <c r="Y97"/>
      <c r="Z97"/>
      <c r="AA97"/>
      <c r="AC97"/>
      <c r="AD97"/>
      <c r="AE97"/>
      <c r="AF97"/>
      <c r="AG97"/>
      <c r="AH97"/>
      <c r="AI97"/>
      <c r="AS97" s="461">
        <v>45601</v>
      </c>
      <c r="AT97" s="98" t="s">
        <v>949</v>
      </c>
      <c r="AU97" s="98" t="s">
        <v>54</v>
      </c>
      <c r="AV97" s="98" t="s">
        <v>1005</v>
      </c>
      <c r="AW97" s="98" t="s">
        <v>939</v>
      </c>
      <c r="AX97" s="98">
        <v>16</v>
      </c>
      <c r="AY97" s="98" t="s">
        <v>995</v>
      </c>
      <c r="AZ97"/>
      <c r="BA97"/>
      <c r="BB97" s="98" t="s">
        <v>58</v>
      </c>
      <c r="BC97" s="98" t="s">
        <v>59</v>
      </c>
      <c r="BD97" s="98" t="s">
        <v>55</v>
      </c>
      <c r="BE97" s="98" t="s">
        <v>1008</v>
      </c>
      <c r="BF97">
        <v>48600000</v>
      </c>
    </row>
    <row r="98" spans="8:58" x14ac:dyDescent="0.3">
      <c r="H98" s="463">
        <v>45601</v>
      </c>
      <c r="I98" s="38" t="s">
        <v>939</v>
      </c>
      <c r="J98" s="38"/>
      <c r="K98" s="38"/>
      <c r="L98" s="38"/>
      <c r="M98" s="38"/>
      <c r="N98" s="38"/>
      <c r="O98" s="38" t="s">
        <v>62</v>
      </c>
      <c r="P98" s="38">
        <v>116</v>
      </c>
      <c r="S98"/>
      <c r="T98"/>
      <c r="U98"/>
      <c r="V98"/>
      <c r="W98"/>
      <c r="X98"/>
      <c r="Y98"/>
      <c r="Z98"/>
      <c r="AA98"/>
      <c r="AC98"/>
      <c r="AD98"/>
      <c r="AE98"/>
      <c r="AF98"/>
      <c r="AG98"/>
      <c r="AH98"/>
      <c r="AI98"/>
      <c r="AS98" s="461">
        <v>45601</v>
      </c>
      <c r="AT98" s="98" t="s">
        <v>949</v>
      </c>
      <c r="AU98" s="98" t="s">
        <v>54</v>
      </c>
      <c r="AV98" s="98" t="s">
        <v>1005</v>
      </c>
      <c r="AW98" s="98" t="s">
        <v>939</v>
      </c>
      <c r="AX98" s="98">
        <v>16</v>
      </c>
      <c r="AY98" s="98" t="s">
        <v>995</v>
      </c>
      <c r="AZ98"/>
      <c r="BA98"/>
      <c r="BB98" s="98" t="s">
        <v>62</v>
      </c>
      <c r="BC98" s="98" t="s">
        <v>63</v>
      </c>
      <c r="BD98" s="98" t="s">
        <v>55</v>
      </c>
      <c r="BE98" s="98" t="s">
        <v>1008</v>
      </c>
      <c r="BF98">
        <v>58000000</v>
      </c>
    </row>
    <row r="99" spans="8:58" x14ac:dyDescent="0.3">
      <c r="H99" s="463">
        <v>45611</v>
      </c>
      <c r="I99" s="38" t="s">
        <v>941</v>
      </c>
      <c r="J99" s="38" t="s">
        <v>1006</v>
      </c>
      <c r="K99" s="38" t="s">
        <v>998</v>
      </c>
      <c r="L99" s="38" t="s">
        <v>990</v>
      </c>
      <c r="M99" s="38">
        <v>14</v>
      </c>
      <c r="N99" s="38">
        <v>160000000</v>
      </c>
      <c r="O99" s="38" t="s">
        <v>29</v>
      </c>
      <c r="P99" s="38">
        <v>278</v>
      </c>
      <c r="S99"/>
      <c r="T99"/>
      <c r="U99"/>
      <c r="V99"/>
      <c r="W99"/>
      <c r="X99"/>
      <c r="Y99"/>
      <c r="Z99"/>
      <c r="AA99"/>
      <c r="AC99"/>
      <c r="AD99"/>
      <c r="AE99"/>
      <c r="AF99"/>
      <c r="AG99"/>
      <c r="AH99"/>
      <c r="AI99"/>
      <c r="AS99" s="461">
        <v>45611</v>
      </c>
      <c r="AT99" s="98" t="s">
        <v>949</v>
      </c>
      <c r="AU99" s="98" t="s">
        <v>54</v>
      </c>
      <c r="AV99" s="98" t="s">
        <v>1006</v>
      </c>
      <c r="AW99" s="98" t="s">
        <v>941</v>
      </c>
      <c r="AX99" s="98">
        <v>14</v>
      </c>
      <c r="AY99" s="98" t="s">
        <v>995</v>
      </c>
      <c r="AZ99" s="98">
        <v>5000000</v>
      </c>
      <c r="BA99" s="98">
        <v>160000000</v>
      </c>
      <c r="BB99" s="98" t="s">
        <v>29</v>
      </c>
      <c r="BC99" s="98" t="s">
        <v>52</v>
      </c>
      <c r="BD99" s="98" t="s">
        <v>55</v>
      </c>
      <c r="BE99" s="98" t="s">
        <v>1008</v>
      </c>
      <c r="BF99">
        <v>55600000</v>
      </c>
    </row>
    <row r="100" spans="8:58" x14ac:dyDescent="0.3">
      <c r="H100" s="463">
        <v>45611</v>
      </c>
      <c r="I100" s="38" t="s">
        <v>941</v>
      </c>
      <c r="J100" s="38"/>
      <c r="K100" s="38"/>
      <c r="L100" s="38"/>
      <c r="M100" s="38"/>
      <c r="N100" s="38"/>
      <c r="O100" s="38" t="s">
        <v>58</v>
      </c>
      <c r="P100" s="38">
        <v>168</v>
      </c>
      <c r="S100"/>
      <c r="T100"/>
      <c r="U100"/>
      <c r="V100"/>
      <c r="W100"/>
      <c r="X100"/>
      <c r="Y100"/>
      <c r="Z100"/>
      <c r="AA100"/>
      <c r="AC100"/>
      <c r="AD100"/>
      <c r="AE100"/>
      <c r="AF100"/>
      <c r="AG100"/>
      <c r="AH100"/>
      <c r="AI100"/>
      <c r="AS100" s="461">
        <v>45611</v>
      </c>
      <c r="AT100" s="98" t="s">
        <v>949</v>
      </c>
      <c r="AU100" s="98" t="s">
        <v>54</v>
      </c>
      <c r="AV100" s="98" t="s">
        <v>1006</v>
      </c>
      <c r="AW100" s="98" t="s">
        <v>941</v>
      </c>
      <c r="AX100" s="98">
        <v>14</v>
      </c>
      <c r="AY100" s="98" t="s">
        <v>995</v>
      </c>
      <c r="AZ100"/>
      <c r="BA100"/>
      <c r="BB100" s="98" t="s">
        <v>58</v>
      </c>
      <c r="BC100" s="98" t="s">
        <v>59</v>
      </c>
      <c r="BD100" s="98" t="s">
        <v>55</v>
      </c>
      <c r="BE100" s="98" t="s">
        <v>1008</v>
      </c>
      <c r="BF100">
        <v>50400000</v>
      </c>
    </row>
    <row r="101" spans="8:58" x14ac:dyDescent="0.3">
      <c r="H101" s="463">
        <v>45611</v>
      </c>
      <c r="I101" s="38" t="s">
        <v>941</v>
      </c>
      <c r="J101" s="38"/>
      <c r="K101" s="38"/>
      <c r="L101" s="38"/>
      <c r="M101" s="38"/>
      <c r="N101" s="38"/>
      <c r="O101" s="38" t="s">
        <v>62</v>
      </c>
      <c r="P101" s="38">
        <v>118</v>
      </c>
      <c r="S101"/>
      <c r="T101"/>
      <c r="U101"/>
      <c r="V101"/>
      <c r="W101"/>
      <c r="X101"/>
      <c r="Y101"/>
      <c r="Z101"/>
      <c r="AA101"/>
      <c r="AC101"/>
      <c r="AD101"/>
      <c r="AE101"/>
      <c r="AF101"/>
      <c r="AG101"/>
      <c r="AH101"/>
      <c r="AI101"/>
      <c r="AS101" s="461">
        <v>45611</v>
      </c>
      <c r="AT101" s="98" t="s">
        <v>949</v>
      </c>
      <c r="AU101" s="98" t="s">
        <v>54</v>
      </c>
      <c r="AV101" s="98" t="s">
        <v>1006</v>
      </c>
      <c r="AW101" s="98" t="s">
        <v>941</v>
      </c>
      <c r="AX101" s="98">
        <v>14</v>
      </c>
      <c r="AY101" s="98" t="s">
        <v>995</v>
      </c>
      <c r="AZ101"/>
      <c r="BA101"/>
      <c r="BB101" s="98" t="s">
        <v>62</v>
      </c>
      <c r="BC101" s="98" t="s">
        <v>63</v>
      </c>
      <c r="BD101" s="98" t="s">
        <v>55</v>
      </c>
      <c r="BE101" s="98" t="s">
        <v>1008</v>
      </c>
      <c r="BF101">
        <v>59000000</v>
      </c>
    </row>
    <row r="102" spans="8:58" x14ac:dyDescent="0.3">
      <c r="H102" s="463">
        <v>45621</v>
      </c>
      <c r="I102" s="38" t="s">
        <v>943</v>
      </c>
      <c r="J102" s="38" t="s">
        <v>1006</v>
      </c>
      <c r="K102" s="38" t="s">
        <v>1000</v>
      </c>
      <c r="L102" s="38" t="s">
        <v>991</v>
      </c>
      <c r="M102" s="38">
        <v>8</v>
      </c>
      <c r="N102" s="38">
        <v>162600000</v>
      </c>
      <c r="O102" s="38" t="s">
        <v>29</v>
      </c>
      <c r="P102" s="38">
        <v>284</v>
      </c>
      <c r="S102"/>
      <c r="T102"/>
      <c r="U102"/>
      <c r="V102"/>
      <c r="W102"/>
      <c r="X102"/>
      <c r="Y102"/>
      <c r="Z102"/>
      <c r="AA102"/>
      <c r="AC102"/>
      <c r="AD102"/>
      <c r="AE102"/>
      <c r="AF102"/>
      <c r="AG102"/>
      <c r="AH102"/>
      <c r="AI102"/>
      <c r="AS102" s="461">
        <v>45621</v>
      </c>
      <c r="AT102" s="98" t="s">
        <v>951</v>
      </c>
      <c r="AU102" s="98" t="s">
        <v>65</v>
      </c>
      <c r="AV102" s="98" t="s">
        <v>1006</v>
      </c>
      <c r="AW102" s="98" t="s">
        <v>943</v>
      </c>
      <c r="AX102" s="98">
        <v>8</v>
      </c>
      <c r="AY102" s="98" t="s">
        <v>995</v>
      </c>
      <c r="AZ102" s="98">
        <v>5000000</v>
      </c>
      <c r="BA102" s="98">
        <v>162600000</v>
      </c>
      <c r="BB102" s="98" t="s">
        <v>29</v>
      </c>
      <c r="BC102" s="98" t="s">
        <v>52</v>
      </c>
      <c r="BD102" s="98" t="s">
        <v>55</v>
      </c>
      <c r="BE102" s="98" t="s">
        <v>1008</v>
      </c>
      <c r="BF102">
        <v>56800000</v>
      </c>
    </row>
    <row r="103" spans="8:58" x14ac:dyDescent="0.3">
      <c r="H103" s="463">
        <v>45621</v>
      </c>
      <c r="I103" s="38" t="s">
        <v>943</v>
      </c>
      <c r="J103" s="38"/>
      <c r="K103" s="38"/>
      <c r="L103" s="38"/>
      <c r="M103" s="38"/>
      <c r="N103" s="38"/>
      <c r="O103" s="38" t="s">
        <v>58</v>
      </c>
      <c r="P103" s="38">
        <v>171</v>
      </c>
      <c r="S103"/>
      <c r="T103"/>
      <c r="U103"/>
      <c r="V103"/>
      <c r="W103"/>
      <c r="X103"/>
      <c r="Y103"/>
      <c r="Z103"/>
      <c r="AA103"/>
      <c r="AC103"/>
      <c r="AD103"/>
      <c r="AE103"/>
      <c r="AF103"/>
      <c r="AG103"/>
      <c r="AH103"/>
      <c r="AI103"/>
      <c r="AS103" s="461">
        <v>45621</v>
      </c>
      <c r="AT103" s="98" t="s">
        <v>951</v>
      </c>
      <c r="AU103" s="98" t="s">
        <v>65</v>
      </c>
      <c r="AV103" s="98" t="s">
        <v>1006</v>
      </c>
      <c r="AW103" s="98" t="s">
        <v>943</v>
      </c>
      <c r="AX103" s="98">
        <v>8</v>
      </c>
      <c r="AY103" s="98" t="s">
        <v>995</v>
      </c>
      <c r="AZ103"/>
      <c r="BA103"/>
      <c r="BB103" s="98" t="s">
        <v>58</v>
      </c>
      <c r="BC103" s="98" t="s">
        <v>59</v>
      </c>
      <c r="BD103" s="98" t="s">
        <v>55</v>
      </c>
      <c r="BE103" s="98" t="s">
        <v>1008</v>
      </c>
      <c r="BF103">
        <v>51300000</v>
      </c>
    </row>
    <row r="104" spans="8:58" x14ac:dyDescent="0.3">
      <c r="H104" s="463">
        <v>45621</v>
      </c>
      <c r="I104" s="38" t="s">
        <v>943</v>
      </c>
      <c r="J104" s="38"/>
      <c r="K104" s="38"/>
      <c r="L104" s="38"/>
      <c r="M104" s="38"/>
      <c r="N104" s="38"/>
      <c r="O104" s="38" t="s">
        <v>62</v>
      </c>
      <c r="P104" s="38">
        <v>119</v>
      </c>
      <c r="S104"/>
      <c r="T104"/>
      <c r="U104"/>
      <c r="V104"/>
      <c r="W104"/>
      <c r="X104"/>
      <c r="Y104"/>
      <c r="Z104"/>
      <c r="AA104"/>
      <c r="AC104"/>
      <c r="AD104"/>
      <c r="AE104"/>
      <c r="AF104"/>
      <c r="AG104"/>
      <c r="AH104"/>
      <c r="AI104"/>
      <c r="AS104" s="461">
        <v>45621</v>
      </c>
      <c r="AT104" s="98" t="s">
        <v>951</v>
      </c>
      <c r="AU104" s="98" t="s">
        <v>65</v>
      </c>
      <c r="AV104" s="98" t="s">
        <v>1006</v>
      </c>
      <c r="AW104" s="98" t="s">
        <v>943</v>
      </c>
      <c r="AX104" s="98">
        <v>8</v>
      </c>
      <c r="AY104" s="98" t="s">
        <v>995</v>
      </c>
      <c r="AZ104"/>
      <c r="BA104"/>
      <c r="BB104" s="98" t="s">
        <v>62</v>
      </c>
      <c r="BC104" s="98" t="s">
        <v>63</v>
      </c>
      <c r="BD104" s="98" t="s">
        <v>55</v>
      </c>
      <c r="BE104" s="98" t="s">
        <v>1008</v>
      </c>
      <c r="BF104">
        <v>59500000</v>
      </c>
    </row>
    <row r="105" spans="8:58" x14ac:dyDescent="0.3">
      <c r="H105" s="463">
        <v>45631</v>
      </c>
      <c r="I105" s="38" t="s">
        <v>944</v>
      </c>
      <c r="J105" s="38" t="s">
        <v>1005</v>
      </c>
      <c r="K105" s="38" t="s">
        <v>1001</v>
      </c>
      <c r="L105" s="38" t="s">
        <v>992</v>
      </c>
      <c r="M105" s="38">
        <v>4</v>
      </c>
      <c r="N105" s="38">
        <v>162900000</v>
      </c>
      <c r="O105" s="38" t="s">
        <v>29</v>
      </c>
      <c r="P105" s="38">
        <v>281</v>
      </c>
      <c r="S105"/>
      <c r="T105"/>
      <c r="U105"/>
      <c r="V105"/>
      <c r="W105"/>
      <c r="X105"/>
      <c r="Y105"/>
      <c r="Z105"/>
      <c r="AA105"/>
      <c r="AC105"/>
      <c r="AD105"/>
      <c r="AE105"/>
      <c r="AF105"/>
      <c r="AG105"/>
      <c r="AH105"/>
      <c r="AI105"/>
      <c r="AS105" s="461">
        <v>45631</v>
      </c>
      <c r="AT105" s="98" t="s">
        <v>56</v>
      </c>
      <c r="AU105" s="98" t="s">
        <v>54</v>
      </c>
      <c r="AV105" s="98" t="s">
        <v>1005</v>
      </c>
      <c r="AW105" s="98" t="s">
        <v>944</v>
      </c>
      <c r="AX105" s="98">
        <v>4</v>
      </c>
      <c r="AY105" s="98" t="s">
        <v>995</v>
      </c>
      <c r="AZ105" s="98">
        <v>5000000</v>
      </c>
      <c r="BA105" s="98">
        <v>162900000</v>
      </c>
      <c r="BB105" s="98" t="s">
        <v>29</v>
      </c>
      <c r="BC105" s="98" t="s">
        <v>52</v>
      </c>
      <c r="BD105" s="98" t="s">
        <v>55</v>
      </c>
      <c r="BE105" s="98" t="s">
        <v>1008</v>
      </c>
      <c r="BF105">
        <v>56200000</v>
      </c>
    </row>
    <row r="106" spans="8:58" x14ac:dyDescent="0.3">
      <c r="H106" s="463">
        <v>45631</v>
      </c>
      <c r="I106" s="38" t="s">
        <v>944</v>
      </c>
      <c r="J106" s="38"/>
      <c r="K106" s="38"/>
      <c r="L106" s="38"/>
      <c r="M106" s="38"/>
      <c r="N106" s="38"/>
      <c r="O106" s="38" t="s">
        <v>58</v>
      </c>
      <c r="P106" s="38">
        <v>174</v>
      </c>
      <c r="S106"/>
      <c r="T106"/>
      <c r="U106"/>
      <c r="V106"/>
      <c r="W106"/>
      <c r="X106"/>
      <c r="Y106"/>
      <c r="Z106"/>
      <c r="AA106"/>
      <c r="AC106"/>
      <c r="AD106"/>
      <c r="AE106"/>
      <c r="AF106"/>
      <c r="AG106"/>
      <c r="AH106"/>
      <c r="AI106"/>
      <c r="AS106" s="461">
        <v>45631</v>
      </c>
      <c r="AT106" s="98" t="s">
        <v>56</v>
      </c>
      <c r="AU106" s="98" t="s">
        <v>54</v>
      </c>
      <c r="AV106" s="98" t="s">
        <v>1005</v>
      </c>
      <c r="AW106" s="98" t="s">
        <v>944</v>
      </c>
      <c r="AX106" s="98">
        <v>4</v>
      </c>
      <c r="AY106" s="98" t="s">
        <v>995</v>
      </c>
      <c r="AZ106"/>
      <c r="BA106"/>
      <c r="BB106" s="98" t="s">
        <v>58</v>
      </c>
      <c r="BC106" s="98" t="s">
        <v>59</v>
      </c>
      <c r="BD106" s="98" t="s">
        <v>55</v>
      </c>
      <c r="BE106" s="98" t="s">
        <v>1008</v>
      </c>
      <c r="BF106">
        <v>52200000</v>
      </c>
    </row>
    <row r="107" spans="8:58" x14ac:dyDescent="0.3">
      <c r="H107" s="463">
        <v>45631</v>
      </c>
      <c r="I107" s="38" t="s">
        <v>944</v>
      </c>
      <c r="J107" s="38"/>
      <c r="K107" s="38"/>
      <c r="L107" s="38"/>
      <c r="M107" s="38"/>
      <c r="N107" s="38"/>
      <c r="O107" s="38" t="s">
        <v>62</v>
      </c>
      <c r="P107" s="38">
        <v>119</v>
      </c>
      <c r="S107"/>
      <c r="T107"/>
      <c r="U107"/>
      <c r="V107"/>
      <c r="W107"/>
      <c r="X107"/>
      <c r="Y107"/>
      <c r="Z107"/>
      <c r="AA107"/>
      <c r="AC107"/>
      <c r="AD107"/>
      <c r="AE107"/>
      <c r="AF107"/>
      <c r="AG107"/>
      <c r="AH107"/>
      <c r="AI107"/>
      <c r="AS107" s="461">
        <v>45631</v>
      </c>
      <c r="AT107" s="98" t="s">
        <v>56</v>
      </c>
      <c r="AU107" s="98" t="s">
        <v>54</v>
      </c>
      <c r="AV107" s="98" t="s">
        <v>1005</v>
      </c>
      <c r="AW107" s="98" t="s">
        <v>944</v>
      </c>
      <c r="AX107" s="98">
        <v>4</v>
      </c>
      <c r="AY107" s="98" t="s">
        <v>995</v>
      </c>
      <c r="AZ107"/>
      <c r="BA107"/>
      <c r="BB107" s="98" t="s">
        <v>62</v>
      </c>
      <c r="BC107" s="98" t="s">
        <v>63</v>
      </c>
      <c r="BD107" s="98" t="s">
        <v>55</v>
      </c>
      <c r="BE107" s="98" t="s">
        <v>1008</v>
      </c>
      <c r="BF107">
        <v>59500000</v>
      </c>
    </row>
    <row r="108" spans="8:58" x14ac:dyDescent="0.3">
      <c r="H108" s="463">
        <v>45641</v>
      </c>
      <c r="I108" s="38" t="s">
        <v>940</v>
      </c>
      <c r="J108" s="38" t="s">
        <v>1006</v>
      </c>
      <c r="K108" s="38" t="s">
        <v>997</v>
      </c>
      <c r="L108" s="38" t="s">
        <v>993</v>
      </c>
      <c r="M108" s="38">
        <v>19</v>
      </c>
      <c r="N108" s="38">
        <v>164900000</v>
      </c>
      <c r="O108" s="38" t="s">
        <v>29</v>
      </c>
      <c r="P108" s="38">
        <v>289</v>
      </c>
      <c r="S108"/>
      <c r="T108"/>
      <c r="U108"/>
      <c r="V108"/>
      <c r="W108"/>
      <c r="X108"/>
      <c r="Y108"/>
      <c r="Z108"/>
      <c r="AA108"/>
      <c r="AC108"/>
      <c r="AD108"/>
      <c r="AE108"/>
      <c r="AF108"/>
      <c r="AG108"/>
      <c r="AH108"/>
      <c r="AI108"/>
      <c r="AS108" s="461">
        <v>45641</v>
      </c>
      <c r="AT108" s="98" t="s">
        <v>950</v>
      </c>
      <c r="AU108" s="98" t="s">
        <v>65</v>
      </c>
      <c r="AV108" s="98" t="s">
        <v>1006</v>
      </c>
      <c r="AW108" s="98" t="s">
        <v>940</v>
      </c>
      <c r="AX108" s="98">
        <v>19</v>
      </c>
      <c r="AY108" s="98" t="s">
        <v>995</v>
      </c>
      <c r="AZ108" s="98">
        <v>5000000</v>
      </c>
      <c r="BA108" s="98">
        <v>164900000</v>
      </c>
      <c r="BB108" s="98" t="s">
        <v>29</v>
      </c>
      <c r="BC108" s="98" t="s">
        <v>52</v>
      </c>
      <c r="BD108" s="98" t="s">
        <v>55</v>
      </c>
      <c r="BE108" s="98" t="s">
        <v>1008</v>
      </c>
      <c r="BF108">
        <v>57800000</v>
      </c>
    </row>
    <row r="109" spans="8:58" x14ac:dyDescent="0.3">
      <c r="H109" s="463">
        <v>45641</v>
      </c>
      <c r="I109" s="38" t="s">
        <v>940</v>
      </c>
      <c r="J109" s="38"/>
      <c r="K109" s="38"/>
      <c r="L109" s="38"/>
      <c r="M109" s="38"/>
      <c r="N109" s="38"/>
      <c r="O109" s="38" t="s">
        <v>58</v>
      </c>
      <c r="P109" s="38">
        <v>177</v>
      </c>
      <c r="S109"/>
      <c r="T109"/>
      <c r="U109"/>
      <c r="V109"/>
      <c r="W109"/>
      <c r="X109"/>
      <c r="Y109"/>
      <c r="Z109"/>
      <c r="AA109"/>
      <c r="AC109"/>
      <c r="AD109"/>
      <c r="AE109"/>
      <c r="AF109"/>
      <c r="AG109"/>
      <c r="AH109"/>
      <c r="AI109"/>
      <c r="AS109" s="461">
        <v>45641</v>
      </c>
      <c r="AT109" s="98" t="s">
        <v>950</v>
      </c>
      <c r="AU109" s="98" t="s">
        <v>65</v>
      </c>
      <c r="AV109" s="98" t="s">
        <v>1006</v>
      </c>
      <c r="AW109" s="98" t="s">
        <v>940</v>
      </c>
      <c r="AX109" s="98">
        <v>19</v>
      </c>
      <c r="AY109" s="98" t="s">
        <v>995</v>
      </c>
      <c r="AZ109"/>
      <c r="BA109"/>
      <c r="BB109" s="98" t="s">
        <v>58</v>
      </c>
      <c r="BC109" s="98" t="s">
        <v>59</v>
      </c>
      <c r="BD109" s="98" t="s">
        <v>55</v>
      </c>
      <c r="BE109" s="98" t="s">
        <v>1008</v>
      </c>
      <c r="BF109">
        <v>53100000</v>
      </c>
    </row>
    <row r="110" spans="8:58" x14ac:dyDescent="0.3">
      <c r="H110" s="463">
        <v>45641</v>
      </c>
      <c r="I110" s="38" t="s">
        <v>940</v>
      </c>
      <c r="J110" s="38"/>
      <c r="K110" s="38"/>
      <c r="L110" s="38"/>
      <c r="M110" s="38"/>
      <c r="N110" s="38"/>
      <c r="O110" s="38" t="s">
        <v>62</v>
      </c>
      <c r="P110" s="38">
        <v>118</v>
      </c>
      <c r="S110"/>
      <c r="T110"/>
      <c r="U110"/>
      <c r="V110"/>
      <c r="W110"/>
      <c r="X110"/>
      <c r="Y110"/>
      <c r="Z110"/>
      <c r="AA110"/>
      <c r="AC110"/>
      <c r="AD110"/>
      <c r="AE110"/>
      <c r="AF110"/>
      <c r="AG110"/>
      <c r="AH110"/>
      <c r="AI110"/>
      <c r="AS110" s="461">
        <v>45641</v>
      </c>
      <c r="AT110" s="98" t="s">
        <v>950</v>
      </c>
      <c r="AU110" s="98" t="s">
        <v>65</v>
      </c>
      <c r="AV110" s="98" t="s">
        <v>1006</v>
      </c>
      <c r="AW110" s="98" t="s">
        <v>940</v>
      </c>
      <c r="AX110" s="98">
        <v>19</v>
      </c>
      <c r="AY110" s="98" t="s">
        <v>995</v>
      </c>
      <c r="AZ110"/>
      <c r="BA110"/>
      <c r="BB110" s="98" t="s">
        <v>62</v>
      </c>
      <c r="BC110" s="98" t="s">
        <v>63</v>
      </c>
      <c r="BD110" s="98" t="s">
        <v>55</v>
      </c>
      <c r="BE110" s="98" t="s">
        <v>1008</v>
      </c>
      <c r="BF110">
        <v>59000000</v>
      </c>
    </row>
    <row r="111" spans="8:58" x14ac:dyDescent="0.3">
      <c r="H111" s="463">
        <v>45651</v>
      </c>
      <c r="I111" s="38" t="s">
        <v>945</v>
      </c>
      <c r="J111" s="38" t="s">
        <v>1006</v>
      </c>
      <c r="K111" s="38" t="s">
        <v>1002</v>
      </c>
      <c r="L111" s="38" t="s">
        <v>994</v>
      </c>
      <c r="M111" s="38">
        <v>2</v>
      </c>
      <c r="N111" s="38">
        <v>168000000</v>
      </c>
      <c r="O111" s="38" t="s">
        <v>29</v>
      </c>
      <c r="P111" s="38">
        <v>292</v>
      </c>
      <c r="S111"/>
      <c r="T111"/>
      <c r="U111"/>
      <c r="V111"/>
      <c r="W111"/>
      <c r="X111"/>
      <c r="Y111"/>
      <c r="Z111"/>
      <c r="AA111"/>
      <c r="AC111"/>
      <c r="AD111"/>
      <c r="AE111"/>
      <c r="AF111"/>
      <c r="AG111"/>
      <c r="AH111"/>
      <c r="AI111"/>
      <c r="AS111" s="461">
        <v>45651</v>
      </c>
      <c r="AT111" s="98" t="s">
        <v>949</v>
      </c>
      <c r="AU111" s="98" t="s">
        <v>54</v>
      </c>
      <c r="AV111" s="98" t="s">
        <v>1006</v>
      </c>
      <c r="AW111" s="98" t="s">
        <v>945</v>
      </c>
      <c r="AX111" s="98">
        <v>2</v>
      </c>
      <c r="AY111" s="98" t="s">
        <v>995</v>
      </c>
      <c r="AZ111" s="98">
        <v>5000000</v>
      </c>
      <c r="BA111" s="98">
        <v>168000000</v>
      </c>
      <c r="BB111" s="98" t="s">
        <v>29</v>
      </c>
      <c r="BC111" s="98" t="s">
        <v>52</v>
      </c>
      <c r="BD111" s="98" t="s">
        <v>55</v>
      </c>
      <c r="BE111" s="98" t="s">
        <v>1008</v>
      </c>
      <c r="BF111">
        <v>58400000</v>
      </c>
    </row>
    <row r="112" spans="8:58" x14ac:dyDescent="0.3">
      <c r="H112" s="463">
        <v>45651</v>
      </c>
      <c r="I112" s="38" t="s">
        <v>945</v>
      </c>
      <c r="J112" s="38"/>
      <c r="K112" s="38"/>
      <c r="L112" s="38"/>
      <c r="M112" s="38"/>
      <c r="N112" s="38"/>
      <c r="O112" s="38" t="s">
        <v>58</v>
      </c>
      <c r="P112" s="38">
        <v>182</v>
      </c>
      <c r="S112"/>
      <c r="T112"/>
      <c r="U112"/>
      <c r="V112"/>
      <c r="W112"/>
      <c r="X112"/>
      <c r="Y112"/>
      <c r="Z112"/>
      <c r="AA112"/>
      <c r="AC112"/>
      <c r="AD112"/>
      <c r="AE112"/>
      <c r="AF112"/>
      <c r="AG112"/>
      <c r="AH112"/>
      <c r="AI112"/>
      <c r="AS112" s="461">
        <v>45651</v>
      </c>
      <c r="AT112" s="98" t="s">
        <v>949</v>
      </c>
      <c r="AU112" s="98" t="s">
        <v>54</v>
      </c>
      <c r="AV112" s="98" t="s">
        <v>1006</v>
      </c>
      <c r="AW112" s="98" t="s">
        <v>945</v>
      </c>
      <c r="AX112" s="98">
        <v>2</v>
      </c>
      <c r="AY112" s="98" t="s">
        <v>995</v>
      </c>
      <c r="AZ112"/>
      <c r="BA112"/>
      <c r="BB112" s="98" t="s">
        <v>58</v>
      </c>
      <c r="BC112" s="98" t="s">
        <v>59</v>
      </c>
      <c r="BD112" s="98" t="s">
        <v>55</v>
      </c>
      <c r="BE112" s="98" t="s">
        <v>1008</v>
      </c>
      <c r="BF112">
        <v>54600000</v>
      </c>
    </row>
    <row r="113" spans="8:58" x14ac:dyDescent="0.3">
      <c r="H113" s="463">
        <v>45651</v>
      </c>
      <c r="I113" s="38" t="s">
        <v>945</v>
      </c>
      <c r="J113" s="38"/>
      <c r="K113" s="38"/>
      <c r="L113" s="38"/>
      <c r="M113" s="38"/>
      <c r="N113" s="38"/>
      <c r="O113" s="38" t="s">
        <v>62</v>
      </c>
      <c r="P113" s="38">
        <v>120</v>
      </c>
      <c r="S113"/>
      <c r="T113"/>
      <c r="U113"/>
      <c r="V113"/>
      <c r="W113"/>
      <c r="X113"/>
      <c r="Y113"/>
      <c r="Z113"/>
      <c r="AA113"/>
      <c r="AC113"/>
      <c r="AD113"/>
      <c r="AE113"/>
      <c r="AF113"/>
      <c r="AG113"/>
      <c r="AH113"/>
      <c r="AI113"/>
      <c r="AS113" s="461">
        <v>45651</v>
      </c>
      <c r="AT113" s="98" t="s">
        <v>949</v>
      </c>
      <c r="AU113" s="98" t="s">
        <v>54</v>
      </c>
      <c r="AV113" s="98" t="s">
        <v>1006</v>
      </c>
      <c r="AW113" s="98" t="s">
        <v>945</v>
      </c>
      <c r="AX113" s="98">
        <v>2</v>
      </c>
      <c r="AY113" s="98" t="s">
        <v>995</v>
      </c>
      <c r="AZ113"/>
      <c r="BA113"/>
      <c r="BB113" s="98" t="s">
        <v>62</v>
      </c>
      <c r="BC113" s="98" t="s">
        <v>63</v>
      </c>
      <c r="BD113" s="98" t="s">
        <v>55</v>
      </c>
      <c r="BE113" s="98" t="s">
        <v>1008</v>
      </c>
      <c r="BF113">
        <v>60000000</v>
      </c>
    </row>
    <row r="114" spans="8:58" x14ac:dyDescent="0.3">
      <c r="H114"/>
      <c r="I114"/>
      <c r="J114"/>
      <c r="K114"/>
      <c r="L114"/>
      <c r="M114"/>
      <c r="N114"/>
      <c r="O114"/>
      <c r="P114"/>
      <c r="S114" s="38"/>
      <c r="T114" s="38"/>
      <c r="U114" s="38"/>
      <c r="V114" s="38"/>
      <c r="W114" s="38"/>
      <c r="X114" s="38"/>
      <c r="Y114" s="38"/>
      <c r="Z114" s="38"/>
      <c r="AA114" s="38"/>
      <c r="AC114"/>
      <c r="AD114"/>
      <c r="AE114"/>
      <c r="AF114"/>
      <c r="AG114"/>
      <c r="AH114"/>
      <c r="AI114"/>
      <c r="AS114"/>
      <c r="AT114"/>
      <c r="AU114"/>
      <c r="AV114"/>
      <c r="AW114"/>
      <c r="AX114"/>
      <c r="AY114"/>
      <c r="AZ114"/>
      <c r="BA114"/>
      <c r="BB114"/>
      <c r="BC114"/>
      <c r="BD114"/>
      <c r="BE114"/>
      <c r="BF114"/>
    </row>
    <row r="115" spans="8:58" x14ac:dyDescent="0.3">
      <c r="H115"/>
      <c r="I115"/>
      <c r="J115"/>
      <c r="K115"/>
      <c r="L115"/>
      <c r="M115"/>
      <c r="N115"/>
      <c r="O115"/>
      <c r="P115"/>
      <c r="S115" s="38"/>
      <c r="T115" s="38"/>
      <c r="U115" s="38"/>
      <c r="V115" s="38"/>
      <c r="W115" s="38"/>
      <c r="X115" s="38"/>
      <c r="Y115" s="38"/>
      <c r="Z115" s="38"/>
      <c r="AA115" s="38"/>
      <c r="AC115"/>
      <c r="AD115"/>
      <c r="AE115"/>
      <c r="AF115"/>
      <c r="AG115"/>
      <c r="AH115"/>
      <c r="AI115"/>
      <c r="AS115"/>
      <c r="AT115"/>
      <c r="AU115"/>
      <c r="AV115"/>
      <c r="AW115"/>
      <c r="AX115"/>
      <c r="AY115"/>
      <c r="AZ115"/>
      <c r="BA115"/>
      <c r="BB115"/>
      <c r="BC115"/>
      <c r="BD115"/>
      <c r="BE115"/>
      <c r="BF115"/>
    </row>
    <row r="116" spans="8:58" x14ac:dyDescent="0.3">
      <c r="H116"/>
      <c r="I116"/>
      <c r="J116"/>
      <c r="K116"/>
      <c r="L116"/>
      <c r="M116"/>
      <c r="N116"/>
      <c r="O116"/>
      <c r="P116"/>
      <c r="S116" s="38"/>
      <c r="T116" s="38"/>
      <c r="U116" s="38"/>
      <c r="V116" s="38"/>
      <c r="W116" s="38"/>
      <c r="X116" s="38"/>
      <c r="Y116" s="38"/>
      <c r="Z116" s="38"/>
      <c r="AA116" s="38"/>
      <c r="AC116"/>
      <c r="AD116"/>
      <c r="AE116"/>
      <c r="AF116"/>
      <c r="AG116"/>
      <c r="AH116"/>
      <c r="AI116"/>
      <c r="AS116"/>
      <c r="AT116"/>
      <c r="AU116"/>
      <c r="AV116"/>
      <c r="AW116"/>
      <c r="AX116"/>
      <c r="AY116"/>
      <c r="AZ116"/>
      <c r="BA116"/>
      <c r="BB116"/>
      <c r="BC116"/>
      <c r="BD116"/>
      <c r="BE116"/>
      <c r="BF116"/>
    </row>
    <row r="117" spans="8:58" x14ac:dyDescent="0.3">
      <c r="H117"/>
      <c r="I117"/>
      <c r="J117"/>
      <c r="K117"/>
      <c r="L117"/>
      <c r="M117"/>
      <c r="N117"/>
      <c r="O117"/>
      <c r="P117"/>
      <c r="S117" s="38"/>
      <c r="T117" s="38"/>
      <c r="U117" s="38"/>
      <c r="V117" s="38"/>
      <c r="W117" s="38"/>
      <c r="X117" s="38"/>
      <c r="Y117" s="38"/>
      <c r="Z117" s="38"/>
      <c r="AA117" s="38"/>
      <c r="AC117"/>
      <c r="AD117"/>
      <c r="AE117"/>
      <c r="AF117"/>
      <c r="AG117"/>
      <c r="AH117"/>
      <c r="AI117"/>
      <c r="AS117"/>
      <c r="AT117"/>
      <c r="AU117"/>
      <c r="AV117"/>
      <c r="AW117"/>
      <c r="AX117"/>
      <c r="AY117"/>
      <c r="AZ117"/>
      <c r="BA117"/>
      <c r="BB117"/>
      <c r="BC117"/>
      <c r="BD117"/>
      <c r="BE117"/>
      <c r="BF117"/>
    </row>
    <row r="118" spans="8:58" x14ac:dyDescent="0.3">
      <c r="H118"/>
      <c r="I118"/>
      <c r="J118"/>
      <c r="K118"/>
      <c r="L118"/>
      <c r="M118"/>
      <c r="N118"/>
      <c r="O118"/>
      <c r="P118"/>
      <c r="S118" s="38"/>
      <c r="T118" s="38"/>
      <c r="U118" s="38"/>
      <c r="V118" s="38"/>
      <c r="W118" s="38"/>
      <c r="X118" s="38"/>
      <c r="Y118" s="38"/>
      <c r="Z118" s="38"/>
      <c r="AA118" s="38"/>
      <c r="AC118"/>
      <c r="AD118"/>
      <c r="AE118"/>
      <c r="AF118"/>
      <c r="AG118"/>
      <c r="AH118"/>
      <c r="AI118"/>
      <c r="AS118"/>
      <c r="AT118"/>
      <c r="AU118"/>
      <c r="AV118"/>
      <c r="AW118"/>
      <c r="AX118"/>
      <c r="AY118"/>
      <c r="AZ118"/>
      <c r="BA118"/>
      <c r="BB118"/>
      <c r="BC118"/>
      <c r="BD118"/>
      <c r="BE118"/>
      <c r="BF118"/>
    </row>
    <row r="119" spans="8:58" x14ac:dyDescent="0.3">
      <c r="H119"/>
      <c r="I119"/>
      <c r="J119"/>
      <c r="K119"/>
      <c r="L119"/>
      <c r="M119"/>
      <c r="N119"/>
      <c r="O119"/>
      <c r="P119"/>
      <c r="S119" s="38"/>
      <c r="T119" s="38"/>
      <c r="U119" s="38"/>
      <c r="V119" s="38"/>
      <c r="W119" s="38"/>
      <c r="X119" s="38"/>
      <c r="Y119" s="38"/>
      <c r="Z119" s="38"/>
      <c r="AA119" s="38"/>
      <c r="AC119"/>
      <c r="AD119"/>
      <c r="AE119"/>
      <c r="AF119"/>
      <c r="AG119"/>
      <c r="AH119"/>
      <c r="AI119"/>
      <c r="AS119"/>
      <c r="AT119"/>
      <c r="AU119"/>
      <c r="AV119"/>
      <c r="AW119"/>
      <c r="AX119"/>
      <c r="AY119"/>
      <c r="AZ119"/>
      <c r="BA119"/>
      <c r="BB119"/>
      <c r="BC119"/>
      <c r="BD119"/>
      <c r="BE119"/>
      <c r="BF119"/>
    </row>
    <row r="120" spans="8:58" x14ac:dyDescent="0.3">
      <c r="H120"/>
      <c r="I120"/>
      <c r="J120"/>
      <c r="K120"/>
      <c r="L120"/>
      <c r="M120"/>
      <c r="N120"/>
      <c r="O120"/>
      <c r="P120"/>
      <c r="S120" s="38"/>
      <c r="T120" s="38"/>
      <c r="U120" s="38"/>
      <c r="V120" s="38"/>
      <c r="W120" s="38"/>
      <c r="X120" s="38"/>
      <c r="Y120" s="38"/>
      <c r="Z120" s="38"/>
      <c r="AA120" s="38"/>
      <c r="AC120"/>
      <c r="AD120"/>
      <c r="AE120"/>
      <c r="AF120"/>
      <c r="AG120"/>
      <c r="AH120"/>
      <c r="AI120"/>
      <c r="AS120"/>
      <c r="AT120"/>
      <c r="AU120"/>
      <c r="AV120"/>
      <c r="AW120"/>
      <c r="AX120"/>
      <c r="AY120"/>
      <c r="AZ120"/>
      <c r="BA120"/>
      <c r="BB120"/>
      <c r="BC120"/>
      <c r="BD120"/>
      <c r="BE120"/>
      <c r="BF120"/>
    </row>
    <row r="121" spans="8:58" x14ac:dyDescent="0.3">
      <c r="H121"/>
      <c r="I121"/>
      <c r="J121"/>
      <c r="K121"/>
      <c r="L121"/>
      <c r="M121"/>
      <c r="N121"/>
      <c r="O121"/>
      <c r="P121"/>
      <c r="S121" s="38"/>
      <c r="T121" s="38"/>
      <c r="U121" s="38"/>
      <c r="V121" s="38"/>
      <c r="W121" s="38"/>
      <c r="X121" s="38"/>
      <c r="Y121" s="38"/>
      <c r="Z121" s="38"/>
      <c r="AA121" s="38"/>
      <c r="AC121"/>
      <c r="AD121"/>
      <c r="AE121"/>
      <c r="AF121"/>
      <c r="AG121"/>
      <c r="AH121"/>
      <c r="AI121"/>
      <c r="AS121"/>
      <c r="AT121"/>
      <c r="AU121"/>
      <c r="AV121"/>
      <c r="AW121"/>
      <c r="AX121"/>
      <c r="AY121"/>
      <c r="AZ121"/>
      <c r="BA121"/>
      <c r="BB121"/>
      <c r="BC121"/>
      <c r="BD121"/>
      <c r="BE121"/>
      <c r="BF121"/>
    </row>
    <row r="122" spans="8:58" x14ac:dyDescent="0.3">
      <c r="H122"/>
      <c r="I122"/>
      <c r="J122"/>
      <c r="K122"/>
      <c r="L122"/>
      <c r="M122"/>
      <c r="N122"/>
      <c r="O122"/>
      <c r="P122"/>
      <c r="S122" s="38"/>
      <c r="T122" s="38"/>
      <c r="U122" s="38"/>
      <c r="V122" s="38"/>
      <c r="W122" s="38"/>
      <c r="X122" s="38"/>
      <c r="Y122" s="38"/>
      <c r="Z122" s="38"/>
      <c r="AA122" s="38"/>
      <c r="AC122"/>
      <c r="AD122"/>
      <c r="AE122"/>
      <c r="AF122"/>
      <c r="AG122"/>
      <c r="AH122"/>
      <c r="AI122"/>
      <c r="AS122"/>
      <c r="AT122"/>
      <c r="AU122"/>
      <c r="AV122"/>
      <c r="AW122"/>
      <c r="AX122"/>
      <c r="AY122"/>
      <c r="AZ122"/>
      <c r="BA122"/>
      <c r="BB122"/>
      <c r="BC122"/>
      <c r="BD122"/>
      <c r="BE122"/>
      <c r="BF122"/>
    </row>
    <row r="123" spans="8:58" x14ac:dyDescent="0.3">
      <c r="H123"/>
      <c r="I123"/>
      <c r="J123"/>
      <c r="K123"/>
      <c r="L123"/>
      <c r="M123"/>
      <c r="N123"/>
      <c r="O123"/>
      <c r="P123"/>
      <c r="S123" s="38"/>
      <c r="T123" s="38"/>
      <c r="U123" s="38"/>
      <c r="V123" s="38"/>
      <c r="W123" s="38"/>
      <c r="X123" s="38"/>
      <c r="Y123" s="38"/>
      <c r="Z123" s="38"/>
      <c r="AA123" s="38"/>
      <c r="AC123"/>
      <c r="AD123"/>
      <c r="AE123"/>
      <c r="AF123"/>
      <c r="AG123"/>
      <c r="AH123"/>
      <c r="AI123"/>
      <c r="AS123"/>
      <c r="AT123"/>
      <c r="AU123"/>
      <c r="AV123"/>
      <c r="AW123"/>
      <c r="AX123"/>
      <c r="AY123"/>
      <c r="AZ123"/>
      <c r="BA123"/>
      <c r="BB123"/>
      <c r="BC123"/>
      <c r="BD123"/>
      <c r="BE123"/>
      <c r="BF123"/>
    </row>
    <row r="124" spans="8:58" x14ac:dyDescent="0.3">
      <c r="H124"/>
      <c r="I124"/>
      <c r="J124"/>
      <c r="K124"/>
      <c r="L124"/>
      <c r="M124"/>
      <c r="N124"/>
      <c r="O124"/>
      <c r="P124"/>
      <c r="S124" s="38"/>
      <c r="T124" s="38"/>
      <c r="U124" s="38"/>
      <c r="V124" s="38"/>
      <c r="W124" s="38"/>
      <c r="X124" s="38"/>
      <c r="Y124" s="38"/>
      <c r="Z124" s="38"/>
      <c r="AA124" s="38"/>
      <c r="AC124"/>
      <c r="AD124"/>
      <c r="AE124"/>
      <c r="AF124"/>
      <c r="AG124"/>
      <c r="AH124"/>
      <c r="AI124"/>
      <c r="AS124"/>
      <c r="AT124"/>
      <c r="AU124"/>
      <c r="AV124"/>
      <c r="AW124"/>
      <c r="AX124"/>
      <c r="AY124"/>
      <c r="AZ124"/>
      <c r="BA124"/>
      <c r="BB124"/>
      <c r="BC124"/>
      <c r="BD124"/>
      <c r="BE124"/>
      <c r="BF124"/>
    </row>
    <row r="125" spans="8:58" x14ac:dyDescent="0.3">
      <c r="H125"/>
      <c r="I125"/>
      <c r="J125"/>
      <c r="K125"/>
      <c r="L125"/>
      <c r="M125"/>
      <c r="N125"/>
      <c r="O125"/>
      <c r="P125"/>
      <c r="S125" s="38"/>
      <c r="T125" s="38"/>
      <c r="U125" s="38"/>
      <c r="V125" s="38"/>
      <c r="W125" s="38"/>
      <c r="X125" s="38"/>
      <c r="Y125" s="38"/>
      <c r="Z125" s="38"/>
      <c r="AA125" s="38"/>
      <c r="AC125"/>
      <c r="AD125"/>
      <c r="AE125"/>
      <c r="AF125"/>
      <c r="AG125"/>
      <c r="AH125"/>
      <c r="AI125"/>
      <c r="AS125"/>
      <c r="AT125"/>
      <c r="AU125"/>
      <c r="AV125"/>
      <c r="AW125"/>
      <c r="AX125"/>
      <c r="AY125"/>
      <c r="AZ125"/>
      <c r="BA125"/>
      <c r="BB125"/>
      <c r="BC125"/>
      <c r="BD125"/>
      <c r="BE125"/>
      <c r="BF125"/>
    </row>
    <row r="126" spans="8:58" x14ac:dyDescent="0.3">
      <c r="H126"/>
      <c r="I126"/>
      <c r="J126"/>
      <c r="K126"/>
      <c r="L126"/>
      <c r="M126"/>
      <c r="N126"/>
      <c r="O126"/>
      <c r="P126"/>
      <c r="S126" s="38"/>
      <c r="T126" s="38"/>
      <c r="U126" s="38"/>
      <c r="V126" s="38"/>
      <c r="W126" s="38"/>
      <c r="X126" s="38"/>
      <c r="Y126" s="38"/>
      <c r="Z126" s="38"/>
      <c r="AA126" s="38"/>
      <c r="AC126"/>
      <c r="AD126"/>
      <c r="AE126"/>
      <c r="AF126"/>
      <c r="AG126"/>
      <c r="AH126"/>
      <c r="AI126"/>
      <c r="AS126"/>
      <c r="AT126"/>
      <c r="AU126"/>
      <c r="AV126"/>
      <c r="AW126"/>
      <c r="AX126"/>
      <c r="AY126"/>
      <c r="AZ126"/>
      <c r="BA126"/>
      <c r="BB126"/>
      <c r="BC126"/>
      <c r="BD126"/>
      <c r="BE126"/>
      <c r="BF126"/>
    </row>
    <row r="127" spans="8:58" x14ac:dyDescent="0.3">
      <c r="H127"/>
      <c r="I127"/>
      <c r="J127"/>
      <c r="K127"/>
      <c r="L127"/>
      <c r="M127"/>
      <c r="N127"/>
      <c r="O127"/>
      <c r="P127"/>
      <c r="S127" s="38"/>
      <c r="T127" s="38"/>
      <c r="U127" s="38"/>
      <c r="V127" s="38"/>
      <c r="W127" s="38"/>
      <c r="X127" s="38"/>
      <c r="Y127" s="38"/>
      <c r="Z127" s="38"/>
      <c r="AA127" s="38"/>
      <c r="AC127"/>
      <c r="AD127"/>
      <c r="AE127"/>
      <c r="AF127"/>
      <c r="AG127"/>
      <c r="AH127"/>
      <c r="AI127"/>
      <c r="AS127"/>
      <c r="AT127"/>
      <c r="AU127"/>
      <c r="AV127"/>
      <c r="AW127"/>
      <c r="AX127"/>
      <c r="AY127"/>
      <c r="AZ127"/>
      <c r="BA127"/>
      <c r="BB127"/>
      <c r="BC127"/>
      <c r="BD127"/>
      <c r="BE127"/>
      <c r="BF127"/>
    </row>
    <row r="128" spans="8:58" x14ac:dyDescent="0.3">
      <c r="H128"/>
      <c r="I128"/>
      <c r="J128"/>
      <c r="K128"/>
      <c r="L128"/>
      <c r="M128"/>
      <c r="N128"/>
      <c r="O128"/>
      <c r="P128"/>
      <c r="S128" s="38"/>
      <c r="T128" s="38"/>
      <c r="U128" s="38"/>
      <c r="V128" s="38"/>
      <c r="W128" s="38"/>
      <c r="X128" s="38"/>
      <c r="Y128" s="38"/>
      <c r="Z128" s="38"/>
      <c r="AA128" s="38"/>
      <c r="AC128"/>
      <c r="AD128"/>
      <c r="AE128"/>
      <c r="AF128"/>
      <c r="AG128"/>
      <c r="AH128"/>
      <c r="AI128"/>
      <c r="AS128"/>
      <c r="AT128"/>
      <c r="AU128"/>
      <c r="AV128"/>
      <c r="AW128"/>
      <c r="AX128"/>
      <c r="AY128"/>
      <c r="AZ128"/>
      <c r="BA128"/>
      <c r="BB128"/>
      <c r="BC128"/>
      <c r="BD128"/>
      <c r="BE128"/>
      <c r="BF128"/>
    </row>
    <row r="129" spans="8:58" x14ac:dyDescent="0.3">
      <c r="H129"/>
      <c r="I129"/>
      <c r="J129"/>
      <c r="K129"/>
      <c r="L129"/>
      <c r="M129"/>
      <c r="N129"/>
      <c r="O129"/>
      <c r="P129"/>
      <c r="S129" s="38"/>
      <c r="T129" s="38"/>
      <c r="U129" s="38"/>
      <c r="V129" s="38"/>
      <c r="W129" s="38"/>
      <c r="X129" s="38"/>
      <c r="Y129" s="38"/>
      <c r="Z129" s="38"/>
      <c r="AA129" s="38"/>
      <c r="AC129"/>
      <c r="AD129"/>
      <c r="AE129"/>
      <c r="AF129"/>
      <c r="AG129"/>
      <c r="AH129"/>
      <c r="AI129"/>
      <c r="AS129"/>
      <c r="AT129"/>
      <c r="AU129"/>
      <c r="AV129"/>
      <c r="AW129"/>
      <c r="AX129"/>
      <c r="AY129"/>
      <c r="AZ129"/>
      <c r="BA129"/>
      <c r="BB129"/>
      <c r="BC129"/>
      <c r="BD129"/>
      <c r="BE129"/>
      <c r="BF129"/>
    </row>
    <row r="130" spans="8:58" x14ac:dyDescent="0.3">
      <c r="H130"/>
      <c r="I130"/>
      <c r="J130"/>
      <c r="K130"/>
      <c r="L130"/>
      <c r="M130"/>
      <c r="N130"/>
      <c r="O130"/>
      <c r="P130"/>
      <c r="S130" s="38"/>
      <c r="T130" s="38"/>
      <c r="U130" s="38"/>
      <c r="V130" s="38"/>
      <c r="W130" s="38"/>
      <c r="X130" s="38"/>
      <c r="Y130" s="38"/>
      <c r="Z130" s="38"/>
      <c r="AA130" s="38"/>
      <c r="AC130"/>
      <c r="AD130"/>
      <c r="AE130"/>
      <c r="AF130"/>
      <c r="AG130"/>
      <c r="AH130"/>
      <c r="AI130"/>
      <c r="AS130"/>
      <c r="AT130"/>
      <c r="AU130"/>
      <c r="AV130"/>
      <c r="AW130"/>
      <c r="AX130"/>
      <c r="AY130"/>
      <c r="AZ130"/>
      <c r="BA130"/>
      <c r="BB130"/>
      <c r="BC130"/>
      <c r="BD130"/>
      <c r="BE130"/>
      <c r="BF130"/>
    </row>
    <row r="131" spans="8:58" x14ac:dyDescent="0.3">
      <c r="H131"/>
      <c r="I131"/>
      <c r="J131"/>
      <c r="K131"/>
      <c r="L131"/>
      <c r="M131"/>
      <c r="N131"/>
      <c r="O131"/>
      <c r="P131"/>
      <c r="S131" s="38"/>
      <c r="T131" s="38"/>
      <c r="U131" s="38"/>
      <c r="V131" s="38"/>
      <c r="W131" s="38"/>
      <c r="X131" s="38"/>
      <c r="Y131" s="38"/>
      <c r="Z131" s="38"/>
      <c r="AA131" s="38"/>
      <c r="AC131"/>
      <c r="AD131"/>
      <c r="AE131"/>
      <c r="AF131"/>
      <c r="AG131"/>
      <c r="AH131"/>
      <c r="AI131"/>
      <c r="AS131"/>
      <c r="AT131"/>
      <c r="AU131"/>
      <c r="AV131"/>
      <c r="AW131"/>
      <c r="AX131"/>
      <c r="AY131"/>
      <c r="AZ131"/>
      <c r="BA131"/>
      <c r="BB131"/>
      <c r="BC131"/>
      <c r="BD131"/>
      <c r="BE131"/>
      <c r="BF131"/>
    </row>
    <row r="132" spans="8:58" x14ac:dyDescent="0.3">
      <c r="H132"/>
      <c r="I132"/>
      <c r="J132"/>
      <c r="K132"/>
      <c r="L132"/>
      <c r="M132"/>
      <c r="N132"/>
      <c r="O132"/>
      <c r="P132"/>
      <c r="S132" s="38"/>
      <c r="T132" s="38"/>
      <c r="U132" s="38"/>
      <c r="V132" s="38"/>
      <c r="W132" s="38"/>
      <c r="X132" s="38"/>
      <c r="Y132" s="38"/>
      <c r="Z132" s="38"/>
      <c r="AA132" s="38"/>
      <c r="AC132"/>
      <c r="AD132"/>
      <c r="AE132"/>
      <c r="AF132"/>
      <c r="AG132"/>
      <c r="AH132"/>
      <c r="AI132"/>
      <c r="AS132"/>
      <c r="AT132"/>
      <c r="AU132"/>
      <c r="AV132"/>
      <c r="AW132"/>
      <c r="AX132"/>
      <c r="AY132"/>
      <c r="AZ132"/>
      <c r="BA132"/>
      <c r="BB132"/>
      <c r="BC132"/>
      <c r="BD132"/>
      <c r="BE132"/>
      <c r="BF132"/>
    </row>
    <row r="133" spans="8:58" x14ac:dyDescent="0.3">
      <c r="H133"/>
      <c r="I133"/>
      <c r="J133"/>
      <c r="K133"/>
      <c r="L133"/>
      <c r="M133"/>
      <c r="N133"/>
      <c r="O133"/>
      <c r="P133"/>
      <c r="S133" s="38"/>
      <c r="T133" s="38"/>
      <c r="U133" s="38"/>
      <c r="V133" s="38"/>
      <c r="W133" s="38"/>
      <c r="X133" s="38"/>
      <c r="Y133" s="38"/>
      <c r="Z133" s="38"/>
      <c r="AA133" s="38"/>
      <c r="AC133"/>
      <c r="AD133"/>
      <c r="AE133"/>
      <c r="AF133"/>
      <c r="AG133"/>
      <c r="AH133"/>
      <c r="AI133"/>
      <c r="AS133"/>
      <c r="AT133"/>
      <c r="AU133"/>
      <c r="AV133"/>
      <c r="AW133"/>
      <c r="AX133"/>
      <c r="AY133"/>
      <c r="AZ133"/>
      <c r="BA133"/>
      <c r="BB133"/>
      <c r="BC133"/>
      <c r="BD133"/>
      <c r="BE133"/>
      <c r="BF133"/>
    </row>
    <row r="134" spans="8:58" x14ac:dyDescent="0.3">
      <c r="H134"/>
      <c r="I134"/>
      <c r="J134"/>
      <c r="K134"/>
      <c r="L134"/>
      <c r="M134"/>
      <c r="N134"/>
      <c r="O134"/>
      <c r="P134"/>
      <c r="S134" s="38"/>
      <c r="T134" s="38"/>
      <c r="U134" s="38"/>
      <c r="V134" s="38"/>
      <c r="W134" s="38"/>
      <c r="X134" s="38"/>
      <c r="Y134" s="38"/>
      <c r="Z134" s="38"/>
      <c r="AA134" s="38"/>
      <c r="AC134"/>
      <c r="AD134"/>
      <c r="AE134"/>
      <c r="AF134"/>
      <c r="AG134"/>
      <c r="AH134"/>
      <c r="AI134"/>
      <c r="AS134"/>
      <c r="AT134"/>
      <c r="AU134"/>
      <c r="AV134"/>
      <c r="AW134"/>
      <c r="AX134"/>
      <c r="AY134"/>
      <c r="AZ134"/>
      <c r="BA134"/>
      <c r="BB134"/>
      <c r="BC134"/>
      <c r="BD134"/>
      <c r="BE134"/>
      <c r="BF134"/>
    </row>
    <row r="135" spans="8:58" x14ac:dyDescent="0.3">
      <c r="H135"/>
      <c r="I135"/>
      <c r="J135"/>
      <c r="K135"/>
      <c r="L135"/>
      <c r="M135"/>
      <c r="N135"/>
      <c r="O135"/>
      <c r="P135"/>
      <c r="S135" s="38"/>
      <c r="T135" s="38"/>
      <c r="U135" s="38"/>
      <c r="V135" s="38"/>
      <c r="W135" s="38"/>
      <c r="X135" s="38"/>
      <c r="Y135" s="38"/>
      <c r="Z135" s="38"/>
      <c r="AA135" s="38"/>
      <c r="AC135"/>
      <c r="AD135"/>
      <c r="AE135"/>
      <c r="AF135"/>
      <c r="AG135"/>
      <c r="AH135"/>
      <c r="AI135"/>
      <c r="AS135"/>
      <c r="AT135"/>
      <c r="AU135"/>
      <c r="AV135"/>
      <c r="AW135"/>
      <c r="AX135"/>
      <c r="AY135"/>
      <c r="AZ135"/>
      <c r="BA135"/>
      <c r="BB135"/>
      <c r="BC135"/>
      <c r="BD135"/>
      <c r="BE135"/>
      <c r="BF135"/>
    </row>
    <row r="136" spans="8:58" x14ac:dyDescent="0.3">
      <c r="H136"/>
      <c r="I136"/>
      <c r="J136"/>
      <c r="K136"/>
      <c r="L136"/>
      <c r="M136"/>
      <c r="N136"/>
      <c r="O136"/>
      <c r="P136"/>
      <c r="S136" s="38"/>
      <c r="T136" s="38"/>
      <c r="U136" s="38"/>
      <c r="V136" s="38"/>
      <c r="W136" s="38"/>
      <c r="X136" s="38"/>
      <c r="Y136" s="38"/>
      <c r="Z136" s="38"/>
      <c r="AA136" s="38"/>
      <c r="AC136"/>
      <c r="AD136"/>
      <c r="AE136"/>
      <c r="AF136"/>
      <c r="AG136"/>
      <c r="AH136"/>
      <c r="AI136"/>
      <c r="AS136"/>
      <c r="AT136"/>
      <c r="AU136"/>
      <c r="AV136"/>
      <c r="AW136"/>
      <c r="AX136"/>
      <c r="AY136"/>
      <c r="AZ136"/>
      <c r="BA136"/>
      <c r="BB136"/>
      <c r="BC136"/>
      <c r="BD136"/>
      <c r="BE136"/>
      <c r="BF136"/>
    </row>
    <row r="137" spans="8:58" x14ac:dyDescent="0.3">
      <c r="H137"/>
      <c r="I137"/>
      <c r="J137"/>
      <c r="K137"/>
      <c r="L137"/>
      <c r="M137"/>
      <c r="N137"/>
      <c r="O137"/>
      <c r="P137"/>
      <c r="S137" s="38"/>
      <c r="T137" s="38"/>
      <c r="U137" s="38"/>
      <c r="V137" s="38"/>
      <c r="W137" s="38"/>
      <c r="X137" s="38"/>
      <c r="Y137" s="38"/>
      <c r="Z137" s="38"/>
      <c r="AA137" s="38"/>
      <c r="AC137"/>
      <c r="AD137"/>
      <c r="AE137"/>
      <c r="AF137"/>
      <c r="AG137"/>
      <c r="AH137"/>
      <c r="AI137"/>
      <c r="AS137"/>
      <c r="AT137"/>
      <c r="AU137"/>
      <c r="AV137"/>
      <c r="AW137"/>
      <c r="AX137"/>
      <c r="AY137"/>
      <c r="AZ137"/>
      <c r="BA137"/>
      <c r="BB137"/>
      <c r="BC137"/>
      <c r="BD137"/>
      <c r="BE137"/>
      <c r="BF137"/>
    </row>
    <row r="138" spans="8:58" x14ac:dyDescent="0.3">
      <c r="H138"/>
      <c r="I138"/>
      <c r="J138"/>
      <c r="K138"/>
      <c r="L138"/>
      <c r="M138"/>
      <c r="N138"/>
      <c r="O138"/>
      <c r="P138"/>
      <c r="S138" s="38"/>
      <c r="T138" s="38"/>
      <c r="U138" s="38"/>
      <c r="V138" s="38"/>
      <c r="W138" s="38"/>
      <c r="X138" s="38"/>
      <c r="Y138" s="38"/>
      <c r="Z138" s="38"/>
      <c r="AA138" s="38"/>
      <c r="AC138"/>
      <c r="AD138"/>
      <c r="AE138"/>
      <c r="AF138"/>
      <c r="AG138"/>
      <c r="AH138"/>
      <c r="AI138"/>
      <c r="AS138"/>
      <c r="AT138"/>
      <c r="AU138"/>
      <c r="AV138"/>
      <c r="AW138"/>
      <c r="AX138"/>
      <c r="AY138"/>
      <c r="AZ138"/>
      <c r="BA138"/>
      <c r="BB138"/>
      <c r="BC138"/>
      <c r="BD138"/>
      <c r="BE138"/>
      <c r="BF138"/>
    </row>
    <row r="139" spans="8:58" x14ac:dyDescent="0.3">
      <c r="H139"/>
      <c r="I139"/>
      <c r="J139"/>
      <c r="K139"/>
      <c r="L139"/>
      <c r="M139"/>
      <c r="N139"/>
      <c r="O139"/>
      <c r="P139"/>
      <c r="S139" s="38"/>
      <c r="T139" s="38"/>
      <c r="U139" s="38"/>
      <c r="V139" s="38"/>
      <c r="W139" s="38"/>
      <c r="X139" s="38"/>
      <c r="Y139" s="38"/>
      <c r="Z139" s="38"/>
      <c r="AA139" s="38"/>
      <c r="AC139"/>
      <c r="AD139"/>
      <c r="AE139"/>
      <c r="AF139"/>
      <c r="AG139"/>
      <c r="AH139"/>
      <c r="AI139"/>
      <c r="AS139"/>
      <c r="AT139"/>
      <c r="AU139"/>
      <c r="AV139"/>
      <c r="AW139"/>
      <c r="AX139"/>
      <c r="AY139"/>
      <c r="AZ139"/>
      <c r="BA139"/>
      <c r="BB139"/>
      <c r="BC139"/>
      <c r="BD139"/>
      <c r="BE139"/>
      <c r="BF139"/>
    </row>
    <row r="140" spans="8:58" x14ac:dyDescent="0.3">
      <c r="H140"/>
      <c r="I140"/>
      <c r="J140"/>
      <c r="K140"/>
      <c r="L140"/>
      <c r="M140"/>
      <c r="N140"/>
      <c r="O140"/>
      <c r="P140"/>
      <c r="S140" s="38"/>
      <c r="T140" s="38"/>
      <c r="U140" s="38"/>
      <c r="V140" s="38"/>
      <c r="W140" s="38"/>
      <c r="X140" s="38"/>
      <c r="Y140" s="38"/>
      <c r="Z140" s="38"/>
      <c r="AA140" s="38"/>
      <c r="AC140"/>
      <c r="AD140"/>
      <c r="AE140"/>
      <c r="AF140"/>
      <c r="AG140"/>
      <c r="AH140"/>
      <c r="AI140"/>
      <c r="AS140"/>
      <c r="AT140"/>
      <c r="AU140"/>
      <c r="AV140"/>
      <c r="AW140"/>
      <c r="AX140"/>
      <c r="AY140"/>
      <c r="AZ140"/>
      <c r="BA140"/>
      <c r="BB140"/>
      <c r="BC140"/>
      <c r="BD140"/>
      <c r="BE140"/>
      <c r="BF140"/>
    </row>
    <row r="141" spans="8:58" x14ac:dyDescent="0.3">
      <c r="H141"/>
      <c r="I141"/>
      <c r="J141"/>
      <c r="K141"/>
      <c r="L141"/>
      <c r="M141"/>
      <c r="N141"/>
      <c r="O141"/>
      <c r="P141"/>
      <c r="S141" s="38"/>
      <c r="T141" s="38"/>
      <c r="U141" s="38"/>
      <c r="V141" s="38"/>
      <c r="W141" s="38"/>
      <c r="X141" s="38"/>
      <c r="Y141" s="38"/>
      <c r="Z141" s="38"/>
      <c r="AA141" s="38"/>
      <c r="AC141"/>
      <c r="AD141"/>
      <c r="AE141"/>
      <c r="AF141"/>
      <c r="AG141"/>
      <c r="AH141"/>
      <c r="AI141"/>
      <c r="AS141"/>
      <c r="AT141"/>
      <c r="AU141"/>
      <c r="AV141"/>
      <c r="AW141"/>
      <c r="AX141"/>
      <c r="AY141"/>
      <c r="AZ141"/>
      <c r="BA141"/>
      <c r="BB141"/>
      <c r="BC141"/>
      <c r="BD141"/>
      <c r="BE141"/>
      <c r="BF141"/>
    </row>
    <row r="142" spans="8:58" x14ac:dyDescent="0.3">
      <c r="H142"/>
      <c r="I142"/>
      <c r="J142"/>
      <c r="K142"/>
      <c r="L142"/>
      <c r="M142"/>
      <c r="N142"/>
      <c r="O142"/>
      <c r="P142"/>
      <c r="S142" s="38"/>
      <c r="T142" s="38"/>
      <c r="U142" s="38"/>
      <c r="V142" s="38"/>
      <c r="W142" s="38"/>
      <c r="X142" s="38"/>
      <c r="Y142" s="38"/>
      <c r="Z142" s="38"/>
      <c r="AA142" s="38"/>
      <c r="AC142"/>
      <c r="AD142"/>
      <c r="AE142"/>
      <c r="AF142"/>
      <c r="AG142"/>
      <c r="AH142"/>
      <c r="AI142"/>
      <c r="AS142"/>
      <c r="AT142"/>
      <c r="AU142"/>
      <c r="AV142"/>
      <c r="AW142"/>
      <c r="AX142"/>
      <c r="AY142"/>
      <c r="AZ142"/>
      <c r="BA142"/>
      <c r="BB142"/>
      <c r="BC142"/>
      <c r="BD142"/>
      <c r="BE142"/>
      <c r="BF142"/>
    </row>
    <row r="143" spans="8:58" x14ac:dyDescent="0.3">
      <c r="H143"/>
      <c r="I143"/>
      <c r="J143"/>
      <c r="K143"/>
      <c r="L143"/>
      <c r="M143"/>
      <c r="N143"/>
      <c r="O143"/>
      <c r="P143"/>
      <c r="S143" s="38"/>
      <c r="T143" s="38"/>
      <c r="U143" s="38"/>
      <c r="V143" s="38"/>
      <c r="W143" s="38"/>
      <c r="X143" s="38"/>
      <c r="Y143" s="38"/>
      <c r="Z143" s="38"/>
      <c r="AA143" s="38"/>
      <c r="AC143"/>
      <c r="AD143"/>
      <c r="AE143"/>
      <c r="AF143"/>
      <c r="AG143"/>
      <c r="AH143"/>
      <c r="AI143"/>
      <c r="AS143"/>
      <c r="AT143"/>
      <c r="AU143"/>
      <c r="AV143"/>
      <c r="AW143"/>
      <c r="AX143"/>
      <c r="AY143"/>
      <c r="AZ143"/>
      <c r="BA143"/>
      <c r="BB143"/>
      <c r="BC143"/>
      <c r="BD143"/>
      <c r="BE143"/>
      <c r="BF143"/>
    </row>
    <row r="144" spans="8:58" x14ac:dyDescent="0.3">
      <c r="H144"/>
      <c r="I144"/>
      <c r="J144"/>
      <c r="K144"/>
      <c r="L144"/>
      <c r="M144"/>
      <c r="N144"/>
      <c r="O144"/>
      <c r="P144"/>
      <c r="S144" s="38"/>
      <c r="T144" s="38"/>
      <c r="U144" s="38"/>
      <c r="V144" s="38"/>
      <c r="W144" s="38"/>
      <c r="X144" s="38"/>
      <c r="Y144" s="38"/>
      <c r="Z144" s="38"/>
      <c r="AA144" s="38"/>
      <c r="AC144"/>
      <c r="AD144"/>
      <c r="AE144"/>
      <c r="AF144"/>
      <c r="AG144"/>
      <c r="AH144"/>
      <c r="AI144"/>
      <c r="AS144"/>
      <c r="AT144"/>
      <c r="AU144"/>
      <c r="AV144"/>
      <c r="AW144"/>
      <c r="AX144"/>
      <c r="AY144"/>
      <c r="AZ144"/>
      <c r="BA144"/>
      <c r="BB144"/>
      <c r="BC144"/>
      <c r="BD144"/>
      <c r="BE144"/>
      <c r="BF144"/>
    </row>
    <row r="145" spans="8:58" x14ac:dyDescent="0.3">
      <c r="H145"/>
      <c r="I145"/>
      <c r="J145"/>
      <c r="K145"/>
      <c r="L145"/>
      <c r="M145"/>
      <c r="N145"/>
      <c r="O145"/>
      <c r="P145"/>
      <c r="S145" s="38"/>
      <c r="T145" s="38"/>
      <c r="U145" s="38"/>
      <c r="V145" s="38"/>
      <c r="W145" s="38"/>
      <c r="X145" s="38"/>
      <c r="Y145" s="38"/>
      <c r="Z145" s="38"/>
      <c r="AA145" s="38"/>
      <c r="AC145"/>
      <c r="AD145"/>
      <c r="AE145"/>
      <c r="AF145"/>
      <c r="AG145"/>
      <c r="AH145"/>
      <c r="AI145"/>
      <c r="AS145"/>
      <c r="AT145"/>
      <c r="AU145"/>
      <c r="AV145"/>
      <c r="AW145"/>
      <c r="AX145"/>
      <c r="AY145"/>
      <c r="AZ145"/>
      <c r="BA145"/>
      <c r="BB145"/>
      <c r="BC145"/>
      <c r="BD145"/>
      <c r="BE145"/>
      <c r="BF145"/>
    </row>
    <row r="146" spans="8:58" x14ac:dyDescent="0.3">
      <c r="H146"/>
      <c r="I146"/>
      <c r="J146"/>
      <c r="K146"/>
      <c r="L146"/>
      <c r="M146"/>
      <c r="N146"/>
      <c r="O146"/>
      <c r="P146"/>
      <c r="S146" s="38"/>
      <c r="T146" s="38"/>
      <c r="U146" s="38"/>
      <c r="V146" s="38"/>
      <c r="W146" s="38"/>
      <c r="X146" s="38"/>
      <c r="Y146" s="38"/>
      <c r="Z146" s="38"/>
      <c r="AA146" s="38"/>
      <c r="AC146"/>
      <c r="AD146"/>
      <c r="AE146"/>
      <c r="AF146"/>
      <c r="AG146"/>
      <c r="AH146"/>
      <c r="AI146"/>
      <c r="AS146"/>
      <c r="AT146"/>
      <c r="AU146"/>
      <c r="AV146"/>
      <c r="AW146"/>
      <c r="AX146"/>
      <c r="AY146"/>
      <c r="AZ146"/>
      <c r="BA146"/>
      <c r="BB146"/>
      <c r="BC146"/>
      <c r="BD146"/>
      <c r="BE146"/>
      <c r="BF146"/>
    </row>
    <row r="147" spans="8:58" x14ac:dyDescent="0.3">
      <c r="H147"/>
      <c r="I147"/>
      <c r="J147"/>
      <c r="K147"/>
      <c r="L147"/>
      <c r="M147"/>
      <c r="N147"/>
      <c r="O147"/>
      <c r="P147"/>
      <c r="S147" s="38"/>
      <c r="T147" s="38"/>
      <c r="U147" s="38"/>
      <c r="V147" s="38"/>
      <c r="W147" s="38"/>
      <c r="X147" s="38"/>
      <c r="Y147" s="38"/>
      <c r="Z147" s="38"/>
      <c r="AA147" s="38"/>
      <c r="AC147"/>
      <c r="AD147"/>
      <c r="AE147"/>
      <c r="AF147"/>
      <c r="AG147"/>
      <c r="AH147"/>
      <c r="AI147"/>
      <c r="AS147"/>
      <c r="AT147"/>
      <c r="AU147"/>
      <c r="AV147"/>
      <c r="AW147"/>
      <c r="AX147"/>
      <c r="AY147"/>
      <c r="AZ147"/>
      <c r="BA147"/>
      <c r="BB147"/>
      <c r="BC147"/>
      <c r="BD147"/>
      <c r="BE147"/>
      <c r="BF147"/>
    </row>
    <row r="148" spans="8:58" x14ac:dyDescent="0.3">
      <c r="H148"/>
      <c r="I148"/>
      <c r="J148"/>
      <c r="K148"/>
      <c r="L148"/>
      <c r="M148"/>
      <c r="N148"/>
      <c r="O148"/>
      <c r="P148"/>
      <c r="S148" s="38"/>
      <c r="T148" s="38"/>
      <c r="U148" s="38"/>
      <c r="V148" s="38"/>
      <c r="W148" s="38"/>
      <c r="X148" s="38"/>
      <c r="Y148" s="38"/>
      <c r="Z148" s="38"/>
      <c r="AA148" s="38"/>
      <c r="AC148"/>
      <c r="AD148"/>
      <c r="AE148"/>
      <c r="AF148"/>
      <c r="AG148"/>
      <c r="AH148"/>
      <c r="AI148"/>
      <c r="AS148"/>
      <c r="AT148"/>
      <c r="AU148"/>
      <c r="AV148"/>
      <c r="AW148"/>
      <c r="AX148"/>
      <c r="AY148"/>
      <c r="AZ148"/>
      <c r="BA148"/>
      <c r="BB148"/>
      <c r="BC148"/>
      <c r="BD148"/>
      <c r="BE148"/>
      <c r="BF148"/>
    </row>
    <row r="149" spans="8:58" x14ac:dyDescent="0.3">
      <c r="H149"/>
      <c r="I149"/>
      <c r="J149"/>
      <c r="K149"/>
      <c r="L149"/>
      <c r="M149"/>
      <c r="N149"/>
      <c r="O149"/>
      <c r="P149"/>
      <c r="S149" s="38"/>
      <c r="T149" s="38"/>
      <c r="U149" s="38"/>
      <c r="V149" s="38"/>
      <c r="W149" s="38"/>
      <c r="X149" s="38"/>
      <c r="Y149" s="38"/>
      <c r="Z149" s="38"/>
      <c r="AA149" s="38"/>
      <c r="AC149"/>
      <c r="AD149"/>
      <c r="AE149"/>
      <c r="AF149"/>
      <c r="AG149"/>
      <c r="AH149"/>
      <c r="AI149"/>
      <c r="AS149"/>
      <c r="AT149"/>
      <c r="AU149"/>
      <c r="AV149"/>
      <c r="AW149"/>
      <c r="AX149"/>
      <c r="AY149"/>
      <c r="AZ149"/>
      <c r="BA149"/>
      <c r="BB149"/>
      <c r="BC149"/>
      <c r="BD149"/>
      <c r="BE149"/>
      <c r="BF149"/>
    </row>
    <row r="150" spans="8:58" x14ac:dyDescent="0.3">
      <c r="H150"/>
      <c r="I150"/>
      <c r="J150"/>
      <c r="K150"/>
      <c r="L150"/>
      <c r="M150"/>
      <c r="N150"/>
      <c r="O150"/>
      <c r="P150"/>
      <c r="S150" s="38"/>
      <c r="T150" s="38"/>
      <c r="U150" s="38"/>
      <c r="V150" s="38"/>
      <c r="W150" s="38"/>
      <c r="X150" s="38"/>
      <c r="Y150" s="38"/>
      <c r="Z150" s="38"/>
      <c r="AA150" s="38"/>
      <c r="AC150"/>
      <c r="AD150"/>
      <c r="AE150"/>
      <c r="AF150"/>
      <c r="AG150"/>
      <c r="AH150"/>
      <c r="AI150"/>
      <c r="AS150"/>
      <c r="AT150"/>
      <c r="AU150"/>
      <c r="AV150"/>
      <c r="AW150"/>
      <c r="AX150"/>
      <c r="AY150"/>
      <c r="AZ150"/>
      <c r="BA150"/>
      <c r="BB150"/>
      <c r="BC150"/>
      <c r="BD150"/>
      <c r="BE150"/>
      <c r="BF150"/>
    </row>
    <row r="151" spans="8:58" x14ac:dyDescent="0.3">
      <c r="H151"/>
      <c r="I151"/>
      <c r="J151"/>
      <c r="K151"/>
      <c r="L151"/>
      <c r="M151"/>
      <c r="N151"/>
      <c r="O151"/>
      <c r="P151"/>
      <c r="S151" s="38"/>
      <c r="T151" s="38"/>
      <c r="U151" s="38"/>
      <c r="V151" s="38"/>
      <c r="W151" s="38"/>
      <c r="X151" s="38"/>
      <c r="Y151" s="38"/>
      <c r="Z151" s="38"/>
      <c r="AA151" s="38"/>
      <c r="AC151"/>
      <c r="AD151"/>
      <c r="AE151"/>
      <c r="AF151"/>
      <c r="AG151"/>
      <c r="AH151"/>
      <c r="AI151"/>
      <c r="AS151"/>
      <c r="AT151"/>
      <c r="AU151"/>
      <c r="AV151"/>
      <c r="AW151"/>
      <c r="AX151"/>
      <c r="AY151"/>
      <c r="AZ151"/>
      <c r="BA151"/>
      <c r="BB151"/>
      <c r="BC151"/>
      <c r="BD151"/>
      <c r="BE151"/>
      <c r="BF151"/>
    </row>
    <row r="152" spans="8:58" x14ac:dyDescent="0.3">
      <c r="H152"/>
      <c r="I152"/>
      <c r="J152"/>
      <c r="K152"/>
      <c r="L152"/>
      <c r="M152"/>
      <c r="N152"/>
      <c r="O152"/>
      <c r="P152"/>
      <c r="S152" s="38"/>
      <c r="T152" s="38"/>
      <c r="U152" s="38"/>
      <c r="V152" s="38"/>
      <c r="W152" s="38"/>
      <c r="X152" s="38"/>
      <c r="Y152" s="38"/>
      <c r="Z152" s="38"/>
      <c r="AA152" s="38"/>
      <c r="AC152"/>
      <c r="AD152"/>
      <c r="AE152"/>
      <c r="AF152"/>
      <c r="AG152"/>
      <c r="AH152"/>
      <c r="AI152"/>
      <c r="AS152"/>
      <c r="AT152"/>
      <c r="AU152"/>
      <c r="AV152"/>
      <c r="AW152"/>
      <c r="AX152"/>
      <c r="AY152"/>
      <c r="AZ152"/>
      <c r="BA152"/>
      <c r="BB152"/>
      <c r="BC152"/>
      <c r="BD152"/>
      <c r="BE152"/>
      <c r="BF152"/>
    </row>
    <row r="153" spans="8:58" x14ac:dyDescent="0.3">
      <c r="H153"/>
      <c r="I153"/>
      <c r="J153"/>
      <c r="K153"/>
      <c r="L153"/>
      <c r="M153"/>
      <c r="N153"/>
      <c r="O153"/>
      <c r="P153"/>
      <c r="S153" s="38"/>
      <c r="T153" s="38"/>
      <c r="U153" s="38"/>
      <c r="V153" s="38"/>
      <c r="W153" s="38"/>
      <c r="X153" s="38"/>
      <c r="Y153" s="38"/>
      <c r="Z153" s="38"/>
      <c r="AA153" s="38"/>
      <c r="AC153"/>
      <c r="AD153"/>
      <c r="AE153"/>
      <c r="AF153"/>
      <c r="AG153"/>
      <c r="AH153"/>
      <c r="AI153"/>
      <c r="AS153"/>
      <c r="AT153"/>
      <c r="AU153"/>
      <c r="AV153"/>
      <c r="AW153"/>
      <c r="AX153"/>
      <c r="AY153"/>
      <c r="AZ153"/>
      <c r="BA153"/>
      <c r="BB153"/>
      <c r="BC153"/>
      <c r="BD153"/>
      <c r="BE153"/>
      <c r="BF153"/>
    </row>
    <row r="154" spans="8:58" x14ac:dyDescent="0.3">
      <c r="H154"/>
      <c r="I154"/>
      <c r="J154"/>
      <c r="K154"/>
      <c r="L154"/>
      <c r="M154"/>
      <c r="N154"/>
      <c r="O154"/>
      <c r="P154"/>
      <c r="S154" s="38"/>
      <c r="T154" s="38"/>
      <c r="U154" s="38"/>
      <c r="V154" s="38"/>
      <c r="W154" s="38"/>
      <c r="X154" s="38"/>
      <c r="Y154" s="38"/>
      <c r="Z154" s="38"/>
      <c r="AA154" s="38"/>
      <c r="AC154"/>
      <c r="AD154"/>
      <c r="AE154"/>
      <c r="AF154"/>
      <c r="AG154"/>
      <c r="AH154"/>
      <c r="AI154"/>
      <c r="AS154"/>
      <c r="AT154"/>
      <c r="AU154"/>
      <c r="AV154"/>
      <c r="AW154"/>
      <c r="AX154"/>
      <c r="AY154"/>
      <c r="AZ154"/>
      <c r="BA154"/>
      <c r="BB154"/>
      <c r="BC154"/>
      <c r="BD154"/>
      <c r="BE154"/>
      <c r="BF154"/>
    </row>
    <row r="155" spans="8:58" x14ac:dyDescent="0.3">
      <c r="H155"/>
      <c r="I155"/>
      <c r="J155"/>
      <c r="K155"/>
      <c r="L155"/>
      <c r="M155"/>
      <c r="N155"/>
      <c r="O155"/>
      <c r="P155"/>
      <c r="S155" s="38"/>
      <c r="T155" s="38"/>
      <c r="U155" s="38"/>
      <c r="V155" s="38"/>
      <c r="W155" s="38"/>
      <c r="X155" s="38"/>
      <c r="Y155" s="38"/>
      <c r="Z155" s="38"/>
      <c r="AA155" s="38"/>
      <c r="AC155"/>
      <c r="AD155"/>
      <c r="AE155"/>
      <c r="AF155"/>
      <c r="AG155"/>
      <c r="AH155"/>
      <c r="AI155"/>
      <c r="AS155"/>
      <c r="AT155"/>
      <c r="AU155"/>
      <c r="AV155"/>
      <c r="AW155"/>
      <c r="AX155"/>
      <c r="AY155"/>
      <c r="AZ155"/>
      <c r="BA155"/>
      <c r="BB155"/>
      <c r="BC155"/>
      <c r="BD155"/>
      <c r="BE155"/>
      <c r="BF155"/>
    </row>
    <row r="156" spans="8:58" x14ac:dyDescent="0.3">
      <c r="H156"/>
      <c r="I156"/>
      <c r="J156"/>
      <c r="K156"/>
      <c r="L156"/>
      <c r="M156"/>
      <c r="N156"/>
      <c r="O156"/>
      <c r="P156"/>
      <c r="S156" s="38"/>
      <c r="T156" s="38"/>
      <c r="U156" s="38"/>
      <c r="V156" s="38"/>
      <c r="W156" s="38"/>
      <c r="X156" s="38"/>
      <c r="Y156" s="38"/>
      <c r="Z156" s="38"/>
      <c r="AA156" s="38"/>
      <c r="AC156"/>
      <c r="AD156"/>
      <c r="AE156"/>
      <c r="AF156"/>
      <c r="AG156"/>
      <c r="AH156"/>
      <c r="AI156"/>
      <c r="AS156"/>
      <c r="AT156"/>
      <c r="AU156"/>
      <c r="AV156"/>
      <c r="AW156"/>
      <c r="AX156"/>
      <c r="AY156"/>
      <c r="AZ156"/>
      <c r="BA156"/>
      <c r="BB156"/>
      <c r="BC156"/>
      <c r="BD156"/>
      <c r="BE156"/>
      <c r="BF156"/>
    </row>
    <row r="157" spans="8:58" x14ac:dyDescent="0.3">
      <c r="H157"/>
      <c r="I157"/>
      <c r="J157"/>
      <c r="K157"/>
      <c r="L157"/>
      <c r="M157"/>
      <c r="N157"/>
      <c r="O157"/>
      <c r="P157"/>
      <c r="S157" s="38"/>
      <c r="T157" s="38"/>
      <c r="U157" s="38"/>
      <c r="V157" s="38"/>
      <c r="W157" s="38"/>
      <c r="X157" s="38"/>
      <c r="Y157" s="38"/>
      <c r="Z157" s="38"/>
      <c r="AA157" s="38"/>
      <c r="AC157"/>
      <c r="AD157"/>
      <c r="AE157"/>
      <c r="AF157"/>
      <c r="AG157"/>
      <c r="AH157"/>
      <c r="AI157"/>
      <c r="AS157"/>
      <c r="AT157"/>
      <c r="AU157"/>
      <c r="AV157"/>
      <c r="AW157"/>
      <c r="AX157"/>
      <c r="AY157"/>
      <c r="AZ157"/>
      <c r="BA157"/>
      <c r="BB157"/>
      <c r="BC157"/>
      <c r="BD157"/>
      <c r="BE157"/>
      <c r="BF157"/>
    </row>
    <row r="158" spans="8:58" x14ac:dyDescent="0.3">
      <c r="H158"/>
      <c r="I158"/>
      <c r="J158"/>
      <c r="K158"/>
      <c r="L158"/>
      <c r="M158"/>
      <c r="N158"/>
      <c r="O158"/>
      <c r="P158"/>
      <c r="S158" s="38"/>
      <c r="T158" s="38"/>
      <c r="U158" s="38"/>
      <c r="V158" s="38"/>
      <c r="W158" s="38"/>
      <c r="X158" s="38"/>
      <c r="Y158" s="38"/>
      <c r="Z158" s="38"/>
      <c r="AA158" s="38"/>
      <c r="AC158"/>
      <c r="AD158"/>
      <c r="AE158"/>
      <c r="AF158"/>
      <c r="AG158"/>
      <c r="AH158"/>
      <c r="AI158"/>
      <c r="AS158"/>
      <c r="AT158"/>
      <c r="AU158"/>
      <c r="AV158"/>
      <c r="AW158"/>
      <c r="AX158"/>
      <c r="AY158"/>
      <c r="AZ158"/>
      <c r="BA158"/>
      <c r="BB158"/>
      <c r="BC158"/>
      <c r="BD158"/>
      <c r="BE158"/>
      <c r="BF158"/>
    </row>
    <row r="159" spans="8:58" x14ac:dyDescent="0.3">
      <c r="H159"/>
      <c r="I159"/>
      <c r="J159"/>
      <c r="K159"/>
      <c r="L159"/>
      <c r="M159"/>
      <c r="N159"/>
      <c r="O159"/>
      <c r="P159"/>
      <c r="S159" s="38"/>
      <c r="T159" s="38"/>
      <c r="U159" s="38"/>
      <c r="V159" s="38"/>
      <c r="W159" s="38"/>
      <c r="X159" s="38"/>
      <c r="Y159" s="38"/>
      <c r="Z159" s="38"/>
      <c r="AA159" s="38"/>
      <c r="AC159"/>
      <c r="AD159"/>
      <c r="AE159"/>
      <c r="AF159"/>
      <c r="AG159"/>
      <c r="AH159"/>
      <c r="AI159"/>
      <c r="AS159"/>
      <c r="AT159"/>
      <c r="AU159"/>
      <c r="AV159"/>
      <c r="AW159"/>
      <c r="AX159"/>
      <c r="AY159"/>
      <c r="AZ159"/>
      <c r="BA159"/>
      <c r="BB159"/>
      <c r="BC159"/>
      <c r="BD159"/>
      <c r="BE159"/>
      <c r="BF159"/>
    </row>
    <row r="160" spans="8:58" x14ac:dyDescent="0.3">
      <c r="H160"/>
      <c r="I160"/>
      <c r="J160"/>
      <c r="K160"/>
      <c r="L160"/>
      <c r="M160"/>
      <c r="N160"/>
      <c r="O160"/>
      <c r="P160"/>
      <c r="S160" s="38"/>
      <c r="T160" s="38"/>
      <c r="U160" s="38"/>
      <c r="V160" s="38"/>
      <c r="W160" s="38"/>
      <c r="X160" s="38"/>
      <c r="Y160" s="38"/>
      <c r="Z160" s="38"/>
      <c r="AA160" s="38"/>
      <c r="AC160"/>
      <c r="AD160"/>
      <c r="AE160"/>
      <c r="AF160"/>
      <c r="AG160"/>
      <c r="AH160"/>
      <c r="AI160"/>
      <c r="AS160"/>
      <c r="AT160"/>
      <c r="AU160"/>
      <c r="AV160"/>
      <c r="AW160"/>
      <c r="AX160"/>
      <c r="AY160"/>
      <c r="AZ160"/>
      <c r="BA160"/>
      <c r="BB160"/>
      <c r="BC160"/>
      <c r="BD160"/>
      <c r="BE160"/>
      <c r="BF160"/>
    </row>
    <row r="161" spans="8:58" x14ac:dyDescent="0.3">
      <c r="H161"/>
      <c r="I161"/>
      <c r="J161"/>
      <c r="K161"/>
      <c r="L161"/>
      <c r="M161"/>
      <c r="N161"/>
      <c r="O161"/>
      <c r="P161"/>
      <c r="S161" s="38"/>
      <c r="T161" s="38"/>
      <c r="U161" s="38"/>
      <c r="V161" s="38"/>
      <c r="W161" s="38"/>
      <c r="X161" s="38"/>
      <c r="Y161" s="38"/>
      <c r="Z161" s="38"/>
      <c r="AA161" s="38"/>
      <c r="AC161"/>
      <c r="AD161"/>
      <c r="AE161"/>
      <c r="AF161"/>
      <c r="AG161"/>
      <c r="AH161"/>
      <c r="AI161"/>
      <c r="AS161"/>
      <c r="AT161"/>
      <c r="AU161"/>
      <c r="AV161"/>
      <c r="AW161"/>
      <c r="AX161"/>
      <c r="AY161"/>
      <c r="AZ161"/>
      <c r="BA161"/>
      <c r="BB161"/>
      <c r="BC161"/>
      <c r="BD161"/>
      <c r="BE161"/>
      <c r="BF161"/>
    </row>
    <row r="162" spans="8:58" x14ac:dyDescent="0.3">
      <c r="H162"/>
      <c r="I162"/>
      <c r="J162"/>
      <c r="K162"/>
      <c r="L162"/>
      <c r="M162"/>
      <c r="N162"/>
      <c r="O162"/>
      <c r="P162"/>
      <c r="S162" s="38"/>
      <c r="T162" s="38"/>
      <c r="U162" s="38"/>
      <c r="V162" s="38"/>
      <c r="W162" s="38"/>
      <c r="X162" s="38"/>
      <c r="Y162" s="38"/>
      <c r="Z162" s="38"/>
      <c r="AA162" s="38"/>
      <c r="AC162"/>
      <c r="AD162"/>
      <c r="AE162"/>
      <c r="AF162"/>
      <c r="AG162"/>
      <c r="AH162"/>
      <c r="AI162"/>
      <c r="AS162"/>
      <c r="AT162"/>
      <c r="AU162"/>
      <c r="AV162"/>
      <c r="AW162"/>
      <c r="AX162"/>
      <c r="AY162"/>
      <c r="AZ162"/>
      <c r="BA162"/>
      <c r="BB162"/>
      <c r="BC162"/>
      <c r="BD162"/>
      <c r="BE162"/>
      <c r="BF162"/>
    </row>
    <row r="163" spans="8:58" x14ac:dyDescent="0.3">
      <c r="H163"/>
      <c r="I163"/>
      <c r="J163"/>
      <c r="K163"/>
      <c r="L163"/>
      <c r="M163"/>
      <c r="N163"/>
      <c r="O163"/>
      <c r="P163"/>
      <c r="S163" s="38"/>
      <c r="T163" s="38"/>
      <c r="U163" s="38"/>
      <c r="V163" s="38"/>
      <c r="W163" s="38"/>
      <c r="X163" s="38"/>
      <c r="Y163" s="38"/>
      <c r="Z163" s="38"/>
      <c r="AA163" s="38"/>
      <c r="AC163"/>
      <c r="AD163"/>
      <c r="AE163"/>
      <c r="AF163"/>
      <c r="AG163"/>
      <c r="AH163"/>
      <c r="AI163"/>
      <c r="AS163"/>
      <c r="AT163"/>
      <c r="AU163"/>
      <c r="AV163"/>
      <c r="AW163"/>
      <c r="AX163"/>
      <c r="AY163"/>
      <c r="AZ163"/>
      <c r="BA163"/>
      <c r="BB163"/>
      <c r="BC163"/>
      <c r="BD163"/>
      <c r="BE163"/>
      <c r="BF163"/>
    </row>
    <row r="164" spans="8:58" x14ac:dyDescent="0.3">
      <c r="H164"/>
      <c r="I164"/>
      <c r="J164"/>
      <c r="K164"/>
      <c r="L164"/>
      <c r="M164"/>
      <c r="N164"/>
      <c r="O164"/>
      <c r="P164"/>
      <c r="S164" s="38"/>
      <c r="T164" s="38"/>
      <c r="U164" s="38"/>
      <c r="V164" s="38"/>
      <c r="W164" s="38"/>
      <c r="X164" s="38"/>
      <c r="Y164" s="38"/>
      <c r="Z164" s="38"/>
      <c r="AA164" s="38"/>
      <c r="AC164"/>
      <c r="AD164"/>
      <c r="AE164"/>
      <c r="AF164"/>
      <c r="AG164"/>
      <c r="AH164"/>
      <c r="AI164"/>
      <c r="AS164"/>
      <c r="AT164"/>
      <c r="AU164"/>
      <c r="AV164"/>
      <c r="AW164"/>
      <c r="AX164"/>
      <c r="AY164"/>
      <c r="AZ164"/>
      <c r="BA164"/>
      <c r="BB164"/>
      <c r="BC164"/>
      <c r="BD164"/>
      <c r="BE164"/>
      <c r="BF164"/>
    </row>
    <row r="165" spans="8:58" x14ac:dyDescent="0.3">
      <c r="H165"/>
      <c r="I165"/>
      <c r="J165"/>
      <c r="K165"/>
      <c r="L165"/>
      <c r="M165"/>
      <c r="N165"/>
      <c r="O165"/>
      <c r="P165"/>
      <c r="S165" s="38"/>
      <c r="T165" s="38"/>
      <c r="U165" s="38"/>
      <c r="V165" s="38"/>
      <c r="W165" s="38"/>
      <c r="X165" s="38"/>
      <c r="Y165" s="38"/>
      <c r="Z165" s="38"/>
      <c r="AA165" s="38"/>
      <c r="AC165"/>
      <c r="AD165"/>
      <c r="AE165"/>
      <c r="AF165"/>
      <c r="AG165"/>
      <c r="AH165"/>
      <c r="AI165"/>
      <c r="AS165"/>
      <c r="AT165"/>
      <c r="AU165"/>
      <c r="AV165"/>
      <c r="AW165"/>
      <c r="AX165"/>
      <c r="AY165"/>
      <c r="AZ165"/>
      <c r="BA165"/>
      <c r="BB165"/>
      <c r="BC165"/>
      <c r="BD165"/>
      <c r="BE165"/>
      <c r="BF165"/>
    </row>
    <row r="166" spans="8:58" x14ac:dyDescent="0.3">
      <c r="H166"/>
      <c r="I166"/>
      <c r="J166"/>
      <c r="K166"/>
      <c r="L166"/>
      <c r="M166"/>
      <c r="N166"/>
      <c r="O166"/>
      <c r="P166"/>
      <c r="S166" s="38"/>
      <c r="T166" s="38"/>
      <c r="U166" s="38"/>
      <c r="V166" s="38"/>
      <c r="W166" s="38"/>
      <c r="X166" s="38"/>
      <c r="Y166" s="38"/>
      <c r="Z166" s="38"/>
      <c r="AA166" s="38"/>
      <c r="AC166"/>
      <c r="AD166"/>
      <c r="AE166"/>
      <c r="AF166"/>
      <c r="AG166"/>
      <c r="AH166"/>
      <c r="AI166"/>
      <c r="AS166"/>
      <c r="AT166"/>
      <c r="AU166"/>
      <c r="AV166"/>
      <c r="AW166"/>
      <c r="AX166"/>
      <c r="AY166"/>
      <c r="AZ166"/>
      <c r="BA166"/>
      <c r="BB166"/>
      <c r="BC166"/>
      <c r="BD166"/>
      <c r="BE166"/>
      <c r="BF166"/>
    </row>
    <row r="167" spans="8:58" x14ac:dyDescent="0.3">
      <c r="H167"/>
      <c r="I167"/>
      <c r="J167"/>
      <c r="K167"/>
      <c r="L167"/>
      <c r="M167"/>
      <c r="N167"/>
      <c r="O167"/>
      <c r="P167"/>
      <c r="S167" s="38"/>
      <c r="T167" s="38"/>
      <c r="U167" s="38"/>
      <c r="V167" s="38"/>
      <c r="W167" s="38"/>
      <c r="X167" s="38"/>
      <c r="Y167" s="38"/>
      <c r="Z167" s="38"/>
      <c r="AA167" s="38"/>
      <c r="AC167"/>
      <c r="AD167"/>
      <c r="AE167"/>
      <c r="AF167"/>
      <c r="AG167"/>
      <c r="AH167"/>
      <c r="AI167"/>
      <c r="AS167"/>
      <c r="AT167"/>
      <c r="AU167"/>
      <c r="AV167"/>
      <c r="AW167"/>
      <c r="AX167"/>
      <c r="AY167"/>
      <c r="AZ167"/>
      <c r="BA167"/>
      <c r="BB167"/>
      <c r="BC167"/>
      <c r="BD167"/>
      <c r="BE167"/>
      <c r="BF167"/>
    </row>
    <row r="168" spans="8:58" x14ac:dyDescent="0.3">
      <c r="H168"/>
      <c r="I168"/>
      <c r="J168"/>
      <c r="K168"/>
      <c r="L168"/>
      <c r="M168"/>
      <c r="N168"/>
      <c r="O168"/>
      <c r="P168"/>
      <c r="S168" s="38"/>
      <c r="T168" s="38"/>
      <c r="U168" s="38"/>
      <c r="V168" s="38"/>
      <c r="W168" s="38"/>
      <c r="X168" s="38"/>
      <c r="Y168" s="38"/>
      <c r="Z168" s="38"/>
      <c r="AA168" s="38"/>
      <c r="AC168"/>
      <c r="AD168"/>
      <c r="AE168"/>
      <c r="AF168"/>
      <c r="AG168"/>
      <c r="AH168"/>
      <c r="AI168"/>
      <c r="AS168"/>
      <c r="AT168"/>
      <c r="AU168"/>
      <c r="AV168"/>
      <c r="AW168"/>
      <c r="AX168"/>
      <c r="AY168"/>
      <c r="AZ168"/>
      <c r="BA168"/>
      <c r="BB168"/>
      <c r="BC168"/>
      <c r="BD168"/>
      <c r="BE168"/>
      <c r="BF168"/>
    </row>
    <row r="169" spans="8:58" x14ac:dyDescent="0.3">
      <c r="H169"/>
      <c r="I169"/>
      <c r="J169"/>
      <c r="K169"/>
      <c r="L169"/>
      <c r="M169"/>
      <c r="N169"/>
      <c r="O169"/>
      <c r="P169"/>
      <c r="S169" s="38"/>
      <c r="T169" s="38"/>
      <c r="U169" s="38"/>
      <c r="V169" s="38"/>
      <c r="W169" s="38"/>
      <c r="X169" s="38"/>
      <c r="Y169" s="38"/>
      <c r="Z169" s="38"/>
      <c r="AA169" s="38"/>
      <c r="AC169"/>
      <c r="AD169"/>
      <c r="AE169"/>
      <c r="AF169"/>
      <c r="AG169"/>
      <c r="AH169"/>
      <c r="AI169"/>
      <c r="AS169"/>
      <c r="AT169"/>
      <c r="AU169"/>
      <c r="AV169"/>
      <c r="AW169"/>
      <c r="AX169"/>
      <c r="AY169"/>
      <c r="AZ169"/>
      <c r="BA169"/>
      <c r="BB169"/>
      <c r="BC169"/>
      <c r="BD169"/>
      <c r="BE169"/>
      <c r="BF169"/>
    </row>
    <row r="170" spans="8:58" x14ac:dyDescent="0.3">
      <c r="H170"/>
      <c r="I170"/>
      <c r="J170"/>
      <c r="K170"/>
      <c r="L170"/>
      <c r="M170"/>
      <c r="N170"/>
      <c r="O170"/>
      <c r="P170"/>
      <c r="S170" s="38"/>
      <c r="T170" s="38"/>
      <c r="U170" s="38"/>
      <c r="V170" s="38"/>
      <c r="W170" s="38"/>
      <c r="X170" s="38"/>
      <c r="Y170" s="38"/>
      <c r="Z170" s="38"/>
      <c r="AA170" s="38"/>
      <c r="AC170"/>
      <c r="AD170"/>
      <c r="AE170"/>
      <c r="AF170"/>
      <c r="AG170"/>
      <c r="AH170"/>
      <c r="AI170"/>
      <c r="AS170"/>
      <c r="AT170"/>
      <c r="AU170"/>
      <c r="AV170"/>
      <c r="AW170"/>
      <c r="AX170"/>
      <c r="AY170"/>
      <c r="AZ170"/>
      <c r="BA170"/>
      <c r="BB170"/>
      <c r="BC170"/>
      <c r="BD170"/>
      <c r="BE170"/>
      <c r="BF170"/>
    </row>
    <row r="171" spans="8:58" x14ac:dyDescent="0.3">
      <c r="H171"/>
      <c r="I171"/>
      <c r="J171"/>
      <c r="K171"/>
      <c r="L171"/>
      <c r="M171"/>
      <c r="N171"/>
      <c r="O171"/>
      <c r="P171"/>
      <c r="S171" s="38"/>
      <c r="T171" s="38"/>
      <c r="U171" s="38"/>
      <c r="V171" s="38"/>
      <c r="W171" s="38"/>
      <c r="X171" s="38"/>
      <c r="Y171" s="38"/>
      <c r="Z171" s="38"/>
      <c r="AA171" s="38"/>
      <c r="AC171"/>
      <c r="AD171"/>
      <c r="AE171"/>
      <c r="AF171"/>
      <c r="AG171"/>
      <c r="AH171"/>
      <c r="AI171"/>
      <c r="AS171"/>
      <c r="AT171"/>
      <c r="AU171"/>
      <c r="AV171"/>
      <c r="AW171"/>
      <c r="AX171"/>
      <c r="AY171"/>
      <c r="AZ171"/>
      <c r="BA171"/>
      <c r="BB171"/>
      <c r="BC171"/>
      <c r="BD171"/>
      <c r="BE171"/>
      <c r="BF171"/>
    </row>
    <row r="172" spans="8:58" x14ac:dyDescent="0.3">
      <c r="H172"/>
      <c r="I172"/>
      <c r="J172"/>
      <c r="K172"/>
      <c r="L172"/>
      <c r="M172"/>
      <c r="N172"/>
      <c r="O172"/>
      <c r="P172"/>
      <c r="S172" s="38"/>
      <c r="T172" s="38"/>
      <c r="U172" s="38"/>
      <c r="V172" s="38"/>
      <c r="W172" s="38"/>
      <c r="X172" s="38"/>
      <c r="Y172" s="38"/>
      <c r="Z172" s="38"/>
      <c r="AA172" s="38"/>
      <c r="AC172"/>
      <c r="AD172"/>
      <c r="AE172"/>
      <c r="AF172"/>
      <c r="AG172"/>
      <c r="AH172"/>
      <c r="AI172"/>
      <c r="AS172"/>
      <c r="AT172"/>
      <c r="AU172"/>
      <c r="AV172"/>
      <c r="AW172"/>
      <c r="AX172"/>
      <c r="AY172"/>
      <c r="AZ172"/>
      <c r="BA172"/>
      <c r="BB172"/>
      <c r="BC172"/>
      <c r="BD172"/>
      <c r="BE172"/>
      <c r="BF172"/>
    </row>
    <row r="173" spans="8:58" x14ac:dyDescent="0.3">
      <c r="H173"/>
      <c r="I173"/>
      <c r="J173"/>
      <c r="K173"/>
      <c r="L173"/>
      <c r="M173"/>
      <c r="N173"/>
      <c r="O173"/>
      <c r="P173"/>
      <c r="S173" s="38"/>
      <c r="T173" s="38"/>
      <c r="U173" s="38"/>
      <c r="V173" s="38"/>
      <c r="W173" s="38"/>
      <c r="X173" s="38"/>
      <c r="Y173" s="38"/>
      <c r="Z173" s="38"/>
      <c r="AA173" s="38"/>
      <c r="AC173"/>
      <c r="AD173"/>
      <c r="AE173"/>
      <c r="AF173"/>
      <c r="AG173"/>
      <c r="AH173"/>
      <c r="AI173"/>
      <c r="AS173"/>
      <c r="AT173"/>
      <c r="AU173"/>
      <c r="AV173"/>
      <c r="AW173"/>
      <c r="AX173"/>
      <c r="AY173"/>
      <c r="AZ173"/>
      <c r="BA173"/>
      <c r="BB173"/>
      <c r="BC173"/>
      <c r="BD173"/>
      <c r="BE173"/>
      <c r="BF173"/>
    </row>
    <row r="174" spans="8:58" x14ac:dyDescent="0.3">
      <c r="H174"/>
      <c r="I174"/>
      <c r="J174"/>
      <c r="K174"/>
      <c r="L174"/>
      <c r="M174"/>
      <c r="N174"/>
      <c r="O174"/>
      <c r="P174"/>
      <c r="S174" s="38"/>
      <c r="T174" s="38"/>
      <c r="U174" s="38"/>
      <c r="V174" s="38"/>
      <c r="W174" s="38"/>
      <c r="X174" s="38"/>
      <c r="Y174" s="38"/>
      <c r="Z174" s="38"/>
      <c r="AA174" s="38"/>
      <c r="AC174"/>
      <c r="AD174"/>
      <c r="AE174"/>
      <c r="AF174"/>
      <c r="AG174"/>
      <c r="AH174"/>
      <c r="AI174"/>
      <c r="AS174"/>
      <c r="AT174"/>
      <c r="AU174"/>
      <c r="AV174"/>
      <c r="AW174"/>
      <c r="AX174"/>
      <c r="AY174"/>
      <c r="AZ174"/>
      <c r="BA174"/>
      <c r="BB174"/>
      <c r="BC174"/>
      <c r="BD174"/>
      <c r="BE174"/>
      <c r="BF174"/>
    </row>
    <row r="175" spans="8:58" x14ac:dyDescent="0.3">
      <c r="H175"/>
      <c r="I175"/>
      <c r="J175"/>
      <c r="K175"/>
      <c r="L175"/>
      <c r="M175"/>
      <c r="N175"/>
      <c r="O175"/>
      <c r="P175"/>
      <c r="S175" s="38"/>
      <c r="T175" s="38"/>
      <c r="U175" s="38"/>
      <c r="V175" s="38"/>
      <c r="W175" s="38"/>
      <c r="X175" s="38"/>
      <c r="Y175" s="38"/>
      <c r="Z175" s="38"/>
      <c r="AA175" s="38"/>
      <c r="AC175"/>
      <c r="AD175"/>
      <c r="AE175"/>
      <c r="AF175"/>
      <c r="AG175"/>
      <c r="AH175"/>
      <c r="AI175"/>
      <c r="AS175"/>
      <c r="AT175"/>
      <c r="AU175"/>
      <c r="AV175"/>
      <c r="AW175"/>
      <c r="AX175"/>
      <c r="AY175"/>
      <c r="AZ175"/>
      <c r="BA175"/>
      <c r="BB175"/>
      <c r="BC175"/>
      <c r="BD175"/>
      <c r="BE175"/>
      <c r="BF175"/>
    </row>
    <row r="176" spans="8:58" x14ac:dyDescent="0.3">
      <c r="H176"/>
      <c r="I176"/>
      <c r="J176"/>
      <c r="K176"/>
      <c r="L176"/>
      <c r="M176"/>
      <c r="N176"/>
      <c r="O176"/>
      <c r="P176"/>
      <c r="S176" s="38"/>
      <c r="T176" s="38"/>
      <c r="U176" s="38"/>
      <c r="V176" s="38"/>
      <c r="W176" s="38"/>
      <c r="X176" s="38"/>
      <c r="Y176" s="38"/>
      <c r="Z176" s="38"/>
      <c r="AA176" s="38"/>
      <c r="AC176"/>
      <c r="AD176"/>
      <c r="AE176"/>
      <c r="AF176"/>
      <c r="AG176"/>
      <c r="AH176"/>
      <c r="AI176"/>
      <c r="AS176"/>
      <c r="AT176"/>
      <c r="AU176"/>
      <c r="AV176"/>
      <c r="AW176"/>
      <c r="AX176"/>
      <c r="AY176"/>
      <c r="AZ176"/>
      <c r="BA176"/>
      <c r="BB176"/>
      <c r="BC176"/>
      <c r="BD176"/>
      <c r="BE176"/>
      <c r="BF176"/>
    </row>
    <row r="177" spans="8:58" x14ac:dyDescent="0.3">
      <c r="H177"/>
      <c r="I177"/>
      <c r="J177"/>
      <c r="K177"/>
      <c r="L177"/>
      <c r="M177"/>
      <c r="N177"/>
      <c r="O177"/>
      <c r="P177"/>
      <c r="S177" s="38"/>
      <c r="T177" s="38"/>
      <c r="U177" s="38"/>
      <c r="V177" s="38"/>
      <c r="W177" s="38"/>
      <c r="X177" s="38"/>
      <c r="Y177" s="38"/>
      <c r="Z177" s="38"/>
      <c r="AA177" s="38"/>
      <c r="AC177"/>
      <c r="AD177"/>
      <c r="AE177"/>
      <c r="AF177"/>
      <c r="AG177"/>
      <c r="AH177"/>
      <c r="AI177"/>
      <c r="AS177"/>
      <c r="AT177"/>
      <c r="AU177"/>
      <c r="AV177"/>
      <c r="AW177"/>
      <c r="AX177"/>
      <c r="AY177"/>
      <c r="AZ177"/>
      <c r="BA177"/>
      <c r="BB177"/>
      <c r="BC177"/>
      <c r="BD177"/>
      <c r="BE177"/>
      <c r="BF177"/>
    </row>
    <row r="178" spans="8:58" x14ac:dyDescent="0.3">
      <c r="H178"/>
      <c r="I178"/>
      <c r="J178"/>
      <c r="K178"/>
      <c r="L178"/>
      <c r="M178"/>
      <c r="N178"/>
      <c r="O178"/>
      <c r="P178"/>
      <c r="S178" s="38"/>
      <c r="T178" s="38"/>
      <c r="U178" s="38"/>
      <c r="V178" s="38"/>
      <c r="W178" s="38"/>
      <c r="X178" s="38"/>
      <c r="Y178" s="38"/>
      <c r="Z178" s="38"/>
      <c r="AA178" s="38"/>
      <c r="AC178"/>
      <c r="AD178"/>
      <c r="AE178"/>
      <c r="AF178"/>
      <c r="AG178"/>
      <c r="AH178"/>
      <c r="AI178"/>
      <c r="AS178"/>
      <c r="AT178"/>
      <c r="AU178"/>
      <c r="AV178"/>
      <c r="AW178"/>
      <c r="AX178"/>
      <c r="AY178"/>
      <c r="AZ178"/>
      <c r="BA178"/>
      <c r="BB178"/>
      <c r="BC178"/>
      <c r="BD178"/>
      <c r="BE178"/>
      <c r="BF178"/>
    </row>
    <row r="179" spans="8:58" x14ac:dyDescent="0.3">
      <c r="H179"/>
      <c r="I179"/>
      <c r="J179"/>
      <c r="K179"/>
      <c r="L179"/>
      <c r="M179"/>
      <c r="N179"/>
      <c r="O179"/>
      <c r="P179"/>
      <c r="S179" s="38"/>
      <c r="T179" s="38"/>
      <c r="U179" s="38"/>
      <c r="V179" s="38"/>
      <c r="W179" s="38"/>
      <c r="X179" s="38"/>
      <c r="Y179" s="38"/>
      <c r="Z179" s="38"/>
      <c r="AA179" s="38"/>
      <c r="AC179"/>
      <c r="AD179"/>
      <c r="AE179"/>
      <c r="AF179"/>
      <c r="AG179"/>
      <c r="AH179"/>
      <c r="AI179"/>
      <c r="AS179"/>
      <c r="AT179"/>
      <c r="AU179"/>
      <c r="AV179"/>
      <c r="AW179"/>
      <c r="AX179"/>
      <c r="AY179"/>
      <c r="AZ179"/>
      <c r="BA179"/>
      <c r="BB179"/>
      <c r="BC179"/>
      <c r="BD179"/>
      <c r="BE179"/>
      <c r="BF179"/>
    </row>
    <row r="180" spans="8:58" x14ac:dyDescent="0.3">
      <c r="H180"/>
      <c r="I180"/>
      <c r="J180"/>
      <c r="K180"/>
      <c r="L180"/>
      <c r="M180"/>
      <c r="N180"/>
      <c r="O180"/>
      <c r="P180"/>
      <c r="S180" s="38"/>
      <c r="T180" s="38"/>
      <c r="U180" s="38"/>
      <c r="V180" s="38"/>
      <c r="W180" s="38"/>
      <c r="X180" s="38"/>
      <c r="Y180" s="38"/>
      <c r="Z180" s="38"/>
      <c r="AA180" s="38"/>
      <c r="AC180"/>
      <c r="AD180"/>
      <c r="AE180"/>
      <c r="AF180"/>
      <c r="AG180"/>
      <c r="AH180"/>
      <c r="AI180"/>
      <c r="AS180"/>
      <c r="AT180"/>
      <c r="AU180"/>
      <c r="AV180"/>
      <c r="AW180"/>
      <c r="AX180"/>
      <c r="AY180"/>
      <c r="AZ180"/>
      <c r="BA180"/>
      <c r="BB180"/>
      <c r="BC180"/>
      <c r="BD180"/>
      <c r="BE180"/>
      <c r="BF180"/>
    </row>
    <row r="181" spans="8:58" x14ac:dyDescent="0.3">
      <c r="H181"/>
      <c r="I181"/>
      <c r="J181"/>
      <c r="K181"/>
      <c r="L181"/>
      <c r="M181"/>
      <c r="N181"/>
      <c r="O181"/>
      <c r="P181"/>
      <c r="S181" s="38"/>
      <c r="T181" s="38"/>
      <c r="U181" s="38"/>
      <c r="V181" s="38"/>
      <c r="W181" s="38"/>
      <c r="X181" s="38"/>
      <c r="Y181" s="38"/>
      <c r="Z181" s="38"/>
      <c r="AA181" s="38"/>
      <c r="AC181"/>
      <c r="AD181"/>
      <c r="AE181"/>
      <c r="AF181"/>
      <c r="AG181"/>
      <c r="AH181"/>
      <c r="AI181"/>
      <c r="AS181"/>
      <c r="AT181"/>
      <c r="AU181"/>
      <c r="AV181"/>
      <c r="AW181"/>
      <c r="AX181"/>
      <c r="AY181"/>
      <c r="AZ181"/>
      <c r="BA181"/>
      <c r="BB181"/>
      <c r="BC181"/>
      <c r="BD181"/>
      <c r="BE181"/>
      <c r="BF181"/>
    </row>
    <row r="182" spans="8:58" x14ac:dyDescent="0.3">
      <c r="H182"/>
      <c r="I182"/>
      <c r="J182"/>
      <c r="K182"/>
      <c r="L182"/>
      <c r="M182"/>
      <c r="N182"/>
      <c r="O182"/>
      <c r="P182"/>
      <c r="S182" s="38"/>
      <c r="T182" s="38"/>
      <c r="U182" s="38"/>
      <c r="V182" s="38"/>
      <c r="W182" s="38"/>
      <c r="X182" s="38"/>
      <c r="Y182" s="38"/>
      <c r="Z182" s="38"/>
      <c r="AA182" s="38"/>
      <c r="AC182"/>
      <c r="AD182"/>
      <c r="AE182"/>
      <c r="AF182"/>
      <c r="AG182"/>
      <c r="AH182"/>
      <c r="AI182"/>
      <c r="AS182"/>
      <c r="AT182"/>
      <c r="AU182"/>
      <c r="AV182"/>
      <c r="AW182"/>
      <c r="AX182"/>
      <c r="AY182"/>
      <c r="AZ182"/>
      <c r="BA182"/>
      <c r="BB182"/>
      <c r="BC182"/>
      <c r="BD182"/>
      <c r="BE182"/>
      <c r="BF182"/>
    </row>
    <row r="183" spans="8:58" x14ac:dyDescent="0.3">
      <c r="H183"/>
      <c r="I183"/>
      <c r="J183"/>
      <c r="K183"/>
      <c r="L183"/>
      <c r="M183"/>
      <c r="N183"/>
      <c r="O183"/>
      <c r="P183"/>
      <c r="S183" s="38"/>
      <c r="T183" s="38"/>
      <c r="U183" s="38"/>
      <c r="V183" s="38"/>
      <c r="W183" s="38"/>
      <c r="X183" s="38"/>
      <c r="Y183" s="38"/>
      <c r="Z183" s="38"/>
      <c r="AA183" s="38"/>
      <c r="AC183"/>
      <c r="AD183"/>
      <c r="AE183"/>
      <c r="AF183"/>
      <c r="AG183"/>
      <c r="AH183"/>
      <c r="AI183"/>
      <c r="AS183"/>
      <c r="AT183"/>
      <c r="AU183"/>
      <c r="AV183"/>
      <c r="AW183"/>
      <c r="AX183"/>
      <c r="AY183"/>
      <c r="AZ183"/>
      <c r="BA183"/>
      <c r="BB183"/>
      <c r="BC183"/>
      <c r="BD183"/>
      <c r="BE183"/>
      <c r="BF183"/>
    </row>
    <row r="184" spans="8:58" x14ac:dyDescent="0.3">
      <c r="H184"/>
      <c r="I184"/>
      <c r="J184"/>
      <c r="K184"/>
      <c r="L184"/>
      <c r="M184"/>
      <c r="N184"/>
      <c r="O184"/>
      <c r="P184"/>
      <c r="S184" s="38"/>
      <c r="T184" s="38"/>
      <c r="U184" s="38"/>
      <c r="V184" s="38"/>
      <c r="W184" s="38"/>
      <c r="X184" s="38"/>
      <c r="Y184" s="38"/>
      <c r="Z184" s="38"/>
      <c r="AA184" s="38"/>
      <c r="AC184"/>
      <c r="AD184"/>
      <c r="AE184"/>
      <c r="AF184"/>
      <c r="AG184"/>
      <c r="AH184"/>
      <c r="AI184"/>
      <c r="AS184"/>
      <c r="AT184"/>
      <c r="AU184"/>
      <c r="AV184"/>
      <c r="AW184"/>
      <c r="AX184"/>
      <c r="AY184"/>
      <c r="AZ184"/>
      <c r="BA184"/>
      <c r="BB184"/>
      <c r="BC184"/>
      <c r="BD184"/>
      <c r="BE184"/>
      <c r="BF184"/>
    </row>
    <row r="185" spans="8:58" x14ac:dyDescent="0.3">
      <c r="H185"/>
      <c r="I185"/>
      <c r="J185"/>
      <c r="K185"/>
      <c r="L185"/>
      <c r="M185"/>
      <c r="N185"/>
      <c r="O185"/>
      <c r="P185"/>
      <c r="S185" s="38"/>
      <c r="T185" s="38"/>
      <c r="U185" s="38"/>
      <c r="V185" s="38"/>
      <c r="W185" s="38"/>
      <c r="X185" s="38"/>
      <c r="Y185" s="38"/>
      <c r="Z185" s="38"/>
      <c r="AA185" s="38"/>
      <c r="AC185"/>
      <c r="AD185"/>
      <c r="AE185"/>
      <c r="AF185"/>
      <c r="AG185"/>
      <c r="AH185"/>
      <c r="AI185"/>
      <c r="AS185"/>
      <c r="AT185"/>
      <c r="AU185"/>
      <c r="AV185"/>
      <c r="AW185"/>
      <c r="AX185"/>
      <c r="AY185"/>
      <c r="AZ185"/>
      <c r="BA185"/>
      <c r="BB185"/>
      <c r="BC185"/>
      <c r="BD185"/>
      <c r="BE185"/>
      <c r="BF185"/>
    </row>
    <row r="186" spans="8:58" x14ac:dyDescent="0.3">
      <c r="H186"/>
      <c r="I186"/>
      <c r="J186"/>
      <c r="K186"/>
      <c r="L186"/>
      <c r="M186"/>
      <c r="N186"/>
      <c r="O186"/>
      <c r="P186"/>
      <c r="S186" s="38"/>
      <c r="T186" s="38"/>
      <c r="U186" s="38"/>
      <c r="V186" s="38"/>
      <c r="W186" s="38"/>
      <c r="X186" s="38"/>
      <c r="Y186" s="38"/>
      <c r="Z186" s="38"/>
      <c r="AA186" s="38"/>
      <c r="AC186"/>
      <c r="AD186"/>
      <c r="AE186"/>
      <c r="AF186"/>
      <c r="AG186"/>
      <c r="AH186"/>
      <c r="AI186"/>
      <c r="AS186"/>
      <c r="AT186"/>
      <c r="AU186"/>
      <c r="AV186"/>
      <c r="AW186"/>
      <c r="AX186"/>
      <c r="AY186"/>
      <c r="AZ186"/>
      <c r="BA186"/>
      <c r="BB186"/>
      <c r="BC186"/>
      <c r="BD186"/>
      <c r="BE186"/>
      <c r="BF186"/>
    </row>
    <row r="187" spans="8:58" x14ac:dyDescent="0.3">
      <c r="H187"/>
      <c r="I187"/>
      <c r="J187"/>
      <c r="K187"/>
      <c r="L187"/>
      <c r="M187"/>
      <c r="N187"/>
      <c r="O187"/>
      <c r="P187"/>
      <c r="S187" s="38"/>
      <c r="T187" s="38"/>
      <c r="U187" s="38"/>
      <c r="V187" s="38"/>
      <c r="W187" s="38"/>
      <c r="X187" s="38"/>
      <c r="Y187" s="38"/>
      <c r="Z187" s="38"/>
      <c r="AA187" s="38"/>
      <c r="AC187"/>
      <c r="AD187"/>
      <c r="AE187"/>
      <c r="AF187"/>
      <c r="AG187"/>
      <c r="AH187"/>
      <c r="AI187"/>
      <c r="AS187"/>
      <c r="AT187"/>
      <c r="AU187"/>
      <c r="AV187"/>
      <c r="AW187"/>
      <c r="AX187"/>
      <c r="AY187"/>
      <c r="AZ187"/>
      <c r="BA187"/>
      <c r="BB187"/>
      <c r="BC187"/>
      <c r="BD187"/>
      <c r="BE187"/>
      <c r="BF187"/>
    </row>
    <row r="188" spans="8:58" x14ac:dyDescent="0.3">
      <c r="H188"/>
      <c r="I188"/>
      <c r="J188"/>
      <c r="K188"/>
      <c r="L188"/>
      <c r="M188"/>
      <c r="N188"/>
      <c r="O188"/>
      <c r="P188"/>
      <c r="S188" s="38"/>
      <c r="T188" s="38"/>
      <c r="U188" s="38"/>
      <c r="V188" s="38"/>
      <c r="W188" s="38"/>
      <c r="X188" s="38"/>
      <c r="Y188" s="38"/>
      <c r="Z188" s="38"/>
      <c r="AA188" s="38"/>
      <c r="AC188"/>
      <c r="AD188"/>
      <c r="AE188"/>
      <c r="AF188"/>
      <c r="AG188"/>
      <c r="AH188"/>
      <c r="AI188"/>
      <c r="AS188"/>
      <c r="AT188"/>
      <c r="AU188"/>
      <c r="AV188"/>
      <c r="AW188"/>
      <c r="AX188"/>
      <c r="AY188"/>
      <c r="AZ188"/>
      <c r="BA188"/>
      <c r="BB188"/>
      <c r="BC188"/>
      <c r="BD188"/>
      <c r="BE188"/>
      <c r="BF188"/>
    </row>
    <row r="189" spans="8:58" x14ac:dyDescent="0.3">
      <c r="H189"/>
      <c r="I189"/>
      <c r="J189"/>
      <c r="K189"/>
      <c r="L189"/>
      <c r="M189"/>
      <c r="N189"/>
      <c r="O189"/>
      <c r="P189"/>
      <c r="S189" s="38"/>
      <c r="T189" s="38"/>
      <c r="U189" s="38"/>
      <c r="V189" s="38"/>
      <c r="W189" s="38"/>
      <c r="X189" s="38"/>
      <c r="Y189" s="38"/>
      <c r="Z189" s="38"/>
      <c r="AA189" s="38"/>
      <c r="AC189"/>
      <c r="AD189"/>
      <c r="AE189"/>
      <c r="AF189"/>
      <c r="AG189"/>
      <c r="AH189"/>
      <c r="AI189"/>
      <c r="AS189"/>
      <c r="AT189"/>
      <c r="AU189"/>
      <c r="AV189"/>
      <c r="AW189"/>
      <c r="AX189"/>
      <c r="AY189"/>
      <c r="AZ189"/>
      <c r="BA189"/>
      <c r="BB189"/>
      <c r="BC189"/>
      <c r="BD189"/>
      <c r="BE189"/>
      <c r="BF189"/>
    </row>
    <row r="190" spans="8:58" x14ac:dyDescent="0.3">
      <c r="H190"/>
      <c r="I190"/>
      <c r="J190"/>
      <c r="K190"/>
      <c r="L190"/>
      <c r="M190"/>
      <c r="N190"/>
      <c r="O190"/>
      <c r="P190"/>
      <c r="S190" s="38"/>
      <c r="T190" s="38"/>
      <c r="U190" s="38"/>
      <c r="V190" s="38"/>
      <c r="W190" s="38"/>
      <c r="X190" s="38"/>
      <c r="Y190" s="38"/>
      <c r="Z190" s="38"/>
      <c r="AA190" s="38"/>
      <c r="AC190"/>
      <c r="AD190"/>
      <c r="AE190"/>
      <c r="AF190"/>
      <c r="AG190"/>
      <c r="AH190"/>
      <c r="AI190"/>
      <c r="AS190"/>
      <c r="AT190"/>
      <c r="AU190"/>
      <c r="AV190"/>
      <c r="AW190"/>
      <c r="AX190"/>
      <c r="AY190"/>
      <c r="AZ190"/>
      <c r="BA190"/>
      <c r="BB190"/>
      <c r="BC190"/>
      <c r="BD190"/>
      <c r="BE190"/>
      <c r="BF190"/>
    </row>
    <row r="191" spans="8:58" x14ac:dyDescent="0.3">
      <c r="H191"/>
      <c r="I191"/>
      <c r="J191"/>
      <c r="K191"/>
      <c r="L191"/>
      <c r="M191"/>
      <c r="N191"/>
      <c r="O191"/>
      <c r="P191"/>
      <c r="S191" s="38"/>
      <c r="T191" s="38"/>
      <c r="U191" s="38"/>
      <c r="V191" s="38"/>
      <c r="W191" s="38"/>
      <c r="X191" s="38"/>
      <c r="Y191" s="38"/>
      <c r="Z191" s="38"/>
      <c r="AA191" s="38"/>
      <c r="AC191"/>
      <c r="AD191"/>
      <c r="AE191"/>
      <c r="AF191"/>
      <c r="AG191"/>
      <c r="AH191"/>
      <c r="AI191"/>
      <c r="AS191"/>
      <c r="AT191"/>
      <c r="AU191"/>
      <c r="AV191"/>
      <c r="AW191"/>
      <c r="AX191"/>
      <c r="AY191"/>
      <c r="AZ191"/>
      <c r="BA191"/>
      <c r="BB191"/>
      <c r="BC191"/>
      <c r="BD191"/>
      <c r="BE191"/>
      <c r="BF191"/>
    </row>
    <row r="192" spans="8:58" x14ac:dyDescent="0.3">
      <c r="H192"/>
      <c r="I192"/>
      <c r="J192"/>
      <c r="K192"/>
      <c r="L192"/>
      <c r="M192"/>
      <c r="N192"/>
      <c r="O192"/>
      <c r="P192"/>
      <c r="S192" s="38"/>
      <c r="T192" s="38"/>
      <c r="U192" s="38"/>
      <c r="V192" s="38"/>
      <c r="W192" s="38"/>
      <c r="X192" s="38"/>
      <c r="Y192" s="38"/>
      <c r="Z192" s="38"/>
      <c r="AA192" s="38"/>
      <c r="AC192"/>
      <c r="AD192"/>
      <c r="AE192"/>
      <c r="AF192"/>
      <c r="AG192"/>
      <c r="AH192"/>
      <c r="AI192"/>
      <c r="AS192"/>
      <c r="AT192"/>
      <c r="AU192"/>
      <c r="AV192"/>
      <c r="AW192"/>
      <c r="AX192"/>
      <c r="AY192"/>
      <c r="AZ192"/>
      <c r="BA192"/>
      <c r="BB192"/>
      <c r="BC192"/>
      <c r="BD192"/>
      <c r="BE192"/>
      <c r="BF192"/>
    </row>
    <row r="193" spans="8:58" x14ac:dyDescent="0.3">
      <c r="H193"/>
      <c r="I193"/>
      <c r="J193"/>
      <c r="K193"/>
      <c r="L193"/>
      <c r="M193"/>
      <c r="N193"/>
      <c r="O193"/>
      <c r="P193"/>
      <c r="S193" s="38"/>
      <c r="T193" s="38"/>
      <c r="U193" s="38"/>
      <c r="V193" s="38"/>
      <c r="W193" s="38"/>
      <c r="X193" s="38"/>
      <c r="Y193" s="38"/>
      <c r="Z193" s="38"/>
      <c r="AA193" s="38"/>
      <c r="AC193"/>
      <c r="AD193"/>
      <c r="AE193"/>
      <c r="AF193"/>
      <c r="AG193"/>
      <c r="AH193"/>
      <c r="AI193"/>
      <c r="AS193"/>
      <c r="AT193"/>
      <c r="AU193"/>
      <c r="AV193"/>
      <c r="AW193"/>
      <c r="AX193"/>
      <c r="AY193"/>
      <c r="AZ193"/>
      <c r="BA193"/>
      <c r="BB193"/>
      <c r="BC193"/>
      <c r="BD193"/>
      <c r="BE193"/>
      <c r="BF193"/>
    </row>
    <row r="194" spans="8:58" x14ac:dyDescent="0.3">
      <c r="H194"/>
      <c r="I194"/>
      <c r="J194"/>
      <c r="K194"/>
      <c r="L194"/>
      <c r="M194"/>
      <c r="N194"/>
      <c r="O194"/>
      <c r="P194"/>
      <c r="S194" s="38"/>
      <c r="T194" s="38"/>
      <c r="U194" s="38"/>
      <c r="V194" s="38"/>
      <c r="W194" s="38"/>
      <c r="X194" s="38"/>
      <c r="Y194" s="38"/>
      <c r="Z194" s="38"/>
      <c r="AA194" s="38"/>
      <c r="AC194"/>
      <c r="AD194"/>
      <c r="AE194"/>
      <c r="AF194"/>
      <c r="AG194"/>
      <c r="AH194"/>
      <c r="AI194"/>
      <c r="AS194"/>
      <c r="AT194"/>
      <c r="AU194"/>
      <c r="AV194"/>
      <c r="AW194"/>
      <c r="AX194"/>
      <c r="AY194"/>
      <c r="AZ194"/>
      <c r="BA194"/>
      <c r="BB194"/>
      <c r="BC194"/>
      <c r="BD194"/>
      <c r="BE194"/>
      <c r="BF194"/>
    </row>
    <row r="195" spans="8:58" x14ac:dyDescent="0.3">
      <c r="H195"/>
      <c r="I195"/>
      <c r="J195"/>
      <c r="K195"/>
      <c r="L195"/>
      <c r="M195"/>
      <c r="N195"/>
      <c r="O195"/>
      <c r="P195"/>
      <c r="S195" s="38"/>
      <c r="T195" s="38"/>
      <c r="U195" s="38"/>
      <c r="V195" s="38"/>
      <c r="W195" s="38"/>
      <c r="X195" s="38"/>
      <c r="Y195" s="38"/>
      <c r="Z195" s="38"/>
      <c r="AA195" s="38"/>
      <c r="AC195"/>
      <c r="AD195"/>
      <c r="AE195"/>
      <c r="AF195"/>
      <c r="AG195"/>
      <c r="AH195"/>
      <c r="AI195"/>
      <c r="AS195"/>
      <c r="AT195"/>
      <c r="AU195"/>
      <c r="AV195"/>
      <c r="AW195"/>
      <c r="AX195"/>
      <c r="AY195"/>
      <c r="AZ195"/>
      <c r="BA195"/>
      <c r="BB195"/>
      <c r="BC195"/>
      <c r="BD195"/>
      <c r="BE195"/>
      <c r="BF195"/>
    </row>
    <row r="196" spans="8:58" x14ac:dyDescent="0.3">
      <c r="H196"/>
      <c r="I196"/>
      <c r="J196"/>
      <c r="K196"/>
      <c r="L196"/>
      <c r="M196"/>
      <c r="N196"/>
      <c r="O196"/>
      <c r="P196"/>
      <c r="S196" s="38"/>
      <c r="T196" s="38"/>
      <c r="U196" s="38"/>
      <c r="V196" s="38"/>
      <c r="W196" s="38"/>
      <c r="X196" s="38"/>
      <c r="Y196" s="38"/>
      <c r="Z196" s="38"/>
      <c r="AA196" s="38"/>
      <c r="AC196"/>
      <c r="AD196"/>
      <c r="AE196"/>
      <c r="AF196"/>
      <c r="AG196"/>
      <c r="AH196"/>
      <c r="AI196"/>
      <c r="AS196"/>
      <c r="AT196"/>
      <c r="AU196"/>
      <c r="AV196"/>
      <c r="AW196"/>
      <c r="AX196"/>
      <c r="AY196"/>
      <c r="AZ196"/>
      <c r="BA196"/>
      <c r="BB196"/>
      <c r="BC196"/>
      <c r="BD196"/>
      <c r="BE196"/>
      <c r="BF196"/>
    </row>
    <row r="197" spans="8:58" x14ac:dyDescent="0.3">
      <c r="H197"/>
      <c r="I197"/>
      <c r="J197"/>
      <c r="K197"/>
      <c r="L197"/>
      <c r="M197"/>
      <c r="N197"/>
      <c r="O197"/>
      <c r="P197"/>
      <c r="S197" s="38"/>
      <c r="T197" s="38"/>
      <c r="U197" s="38"/>
      <c r="V197" s="38"/>
      <c r="W197" s="38"/>
      <c r="X197" s="38"/>
      <c r="Y197" s="38"/>
      <c r="Z197" s="38"/>
      <c r="AA197" s="38"/>
      <c r="AC197"/>
      <c r="AD197"/>
      <c r="AE197"/>
      <c r="AF197"/>
      <c r="AG197"/>
      <c r="AH197"/>
      <c r="AI197"/>
      <c r="AS197"/>
      <c r="AT197"/>
      <c r="AU197"/>
      <c r="AV197"/>
      <c r="AW197"/>
      <c r="AX197"/>
      <c r="AY197"/>
      <c r="AZ197"/>
      <c r="BA197"/>
      <c r="BB197"/>
      <c r="BC197"/>
      <c r="BD197"/>
      <c r="BE197"/>
      <c r="BF197"/>
    </row>
    <row r="198" spans="8:58" x14ac:dyDescent="0.3">
      <c r="H198"/>
      <c r="I198"/>
      <c r="J198"/>
      <c r="K198"/>
      <c r="L198"/>
      <c r="M198"/>
      <c r="N198"/>
      <c r="O198"/>
      <c r="P198"/>
      <c r="S198" s="38"/>
      <c r="T198" s="38"/>
      <c r="U198" s="38"/>
      <c r="V198" s="38"/>
      <c r="W198" s="38"/>
      <c r="X198" s="38"/>
      <c r="Y198" s="38"/>
      <c r="Z198" s="38"/>
      <c r="AA198" s="38"/>
      <c r="AC198"/>
      <c r="AD198"/>
      <c r="AE198"/>
      <c r="AF198"/>
      <c r="AG198"/>
      <c r="AH198"/>
      <c r="AI198"/>
      <c r="AS198"/>
      <c r="AT198"/>
      <c r="AU198"/>
      <c r="AV198"/>
      <c r="AW198"/>
      <c r="AX198"/>
      <c r="AY198"/>
      <c r="AZ198"/>
      <c r="BA198"/>
      <c r="BB198"/>
      <c r="BC198"/>
      <c r="BD198"/>
      <c r="BE198"/>
      <c r="BF198"/>
    </row>
    <row r="199" spans="8:58" x14ac:dyDescent="0.3">
      <c r="H199"/>
      <c r="I199"/>
      <c r="J199"/>
      <c r="K199"/>
      <c r="L199"/>
      <c r="M199"/>
      <c r="N199"/>
      <c r="O199"/>
      <c r="P199"/>
      <c r="S199" s="38"/>
      <c r="T199" s="38"/>
      <c r="U199" s="38"/>
      <c r="V199" s="38"/>
      <c r="W199" s="38"/>
      <c r="X199" s="38"/>
      <c r="Y199" s="38"/>
      <c r="Z199" s="38"/>
      <c r="AA199" s="38"/>
      <c r="AC199"/>
      <c r="AD199"/>
      <c r="AE199"/>
      <c r="AF199"/>
      <c r="AG199"/>
      <c r="AH199"/>
      <c r="AI199"/>
      <c r="AS199"/>
      <c r="AT199"/>
      <c r="AU199"/>
      <c r="AV199"/>
      <c r="AW199"/>
      <c r="AX199"/>
      <c r="AY199"/>
      <c r="AZ199"/>
      <c r="BA199"/>
      <c r="BB199"/>
      <c r="BC199"/>
      <c r="BD199"/>
      <c r="BE199"/>
      <c r="BF199"/>
    </row>
    <row r="200" spans="8:58" x14ac:dyDescent="0.3">
      <c r="H200"/>
      <c r="I200"/>
      <c r="J200"/>
      <c r="K200"/>
      <c r="L200"/>
      <c r="M200"/>
      <c r="N200"/>
      <c r="O200"/>
      <c r="P200"/>
      <c r="S200" s="38"/>
      <c r="T200" s="38"/>
      <c r="U200" s="38"/>
      <c r="V200" s="38"/>
      <c r="W200" s="38"/>
      <c r="X200" s="38"/>
      <c r="Y200" s="38"/>
      <c r="Z200" s="38"/>
      <c r="AA200" s="38"/>
      <c r="AC200"/>
      <c r="AD200"/>
      <c r="AE200"/>
      <c r="AF200"/>
      <c r="AG200"/>
      <c r="AH200"/>
      <c r="AI200"/>
      <c r="AS200"/>
      <c r="AT200"/>
      <c r="AU200"/>
      <c r="AV200"/>
      <c r="AW200"/>
      <c r="AX200"/>
      <c r="AY200"/>
      <c r="AZ200"/>
      <c r="BA200"/>
      <c r="BB200"/>
      <c r="BC200"/>
      <c r="BD200"/>
      <c r="BE200"/>
      <c r="BF200"/>
    </row>
    <row r="201" spans="8:58" x14ac:dyDescent="0.3">
      <c r="H201"/>
      <c r="I201"/>
      <c r="J201"/>
      <c r="K201"/>
      <c r="L201"/>
      <c r="M201"/>
      <c r="N201"/>
      <c r="O201"/>
      <c r="P201"/>
      <c r="S201" s="38"/>
      <c r="T201" s="38"/>
      <c r="U201" s="38"/>
      <c r="V201" s="38"/>
      <c r="W201" s="38"/>
      <c r="X201" s="38"/>
      <c r="Y201" s="38"/>
      <c r="Z201" s="38"/>
      <c r="AA201" s="38"/>
      <c r="AC201"/>
      <c r="AD201"/>
      <c r="AE201"/>
      <c r="AF201"/>
      <c r="AG201"/>
      <c r="AH201"/>
      <c r="AI201"/>
      <c r="AS201"/>
      <c r="AT201"/>
      <c r="AU201"/>
      <c r="AV201"/>
      <c r="AW201"/>
      <c r="AX201"/>
      <c r="AY201"/>
      <c r="AZ201"/>
      <c r="BA201"/>
      <c r="BB201"/>
      <c r="BC201"/>
      <c r="BD201"/>
      <c r="BE201"/>
      <c r="BF201"/>
    </row>
    <row r="202" spans="8:58" x14ac:dyDescent="0.3">
      <c r="H202"/>
      <c r="I202"/>
      <c r="J202"/>
      <c r="K202"/>
      <c r="L202"/>
      <c r="M202"/>
      <c r="N202"/>
      <c r="O202"/>
      <c r="P202"/>
      <c r="S202" s="38"/>
      <c r="T202" s="38"/>
      <c r="U202" s="38"/>
      <c r="V202" s="38"/>
      <c r="W202" s="38"/>
      <c r="X202" s="38"/>
      <c r="Y202" s="38"/>
      <c r="Z202" s="38"/>
      <c r="AA202" s="38"/>
      <c r="AC202"/>
      <c r="AD202"/>
      <c r="AE202"/>
      <c r="AF202"/>
      <c r="AG202"/>
      <c r="AH202"/>
      <c r="AI202"/>
      <c r="AS202"/>
      <c r="AT202"/>
      <c r="AU202"/>
      <c r="AV202"/>
      <c r="AW202"/>
      <c r="AX202"/>
      <c r="AY202"/>
      <c r="AZ202"/>
      <c r="BA202"/>
      <c r="BB202"/>
      <c r="BC202"/>
      <c r="BD202"/>
      <c r="BE202"/>
      <c r="BF202"/>
    </row>
    <row r="203" spans="8:58" x14ac:dyDescent="0.3">
      <c r="H203"/>
      <c r="I203"/>
      <c r="J203"/>
      <c r="K203"/>
      <c r="L203"/>
      <c r="M203"/>
      <c r="N203"/>
      <c r="O203"/>
      <c r="P203"/>
      <c r="S203" s="38"/>
      <c r="T203" s="38"/>
      <c r="U203" s="38"/>
      <c r="V203" s="38"/>
      <c r="W203" s="38"/>
      <c r="X203" s="38"/>
      <c r="Y203" s="38"/>
      <c r="Z203" s="38"/>
      <c r="AA203" s="38"/>
      <c r="AC203"/>
      <c r="AD203"/>
      <c r="AE203"/>
      <c r="AF203"/>
      <c r="AG203"/>
      <c r="AH203"/>
      <c r="AI203"/>
      <c r="AS203"/>
      <c r="AT203"/>
      <c r="AU203"/>
      <c r="AV203"/>
      <c r="AW203"/>
      <c r="AX203"/>
      <c r="AY203"/>
      <c r="AZ203"/>
      <c r="BA203"/>
      <c r="BB203"/>
      <c r="BC203"/>
      <c r="BD203"/>
      <c r="BE203"/>
      <c r="BF203"/>
    </row>
    <row r="204" spans="8:58" x14ac:dyDescent="0.3">
      <c r="H204"/>
      <c r="I204"/>
      <c r="J204"/>
      <c r="K204"/>
      <c r="L204"/>
      <c r="M204"/>
      <c r="N204"/>
      <c r="O204"/>
      <c r="P204"/>
      <c r="S204" s="38"/>
      <c r="T204" s="38"/>
      <c r="U204" s="38"/>
      <c r="V204" s="38"/>
      <c r="W204" s="38"/>
      <c r="X204" s="38"/>
      <c r="Y204" s="38"/>
      <c r="Z204" s="38"/>
      <c r="AA204" s="38"/>
      <c r="AC204"/>
      <c r="AD204"/>
      <c r="AE204"/>
      <c r="AF204"/>
      <c r="AG204"/>
      <c r="AH204"/>
      <c r="AI204"/>
      <c r="AS204"/>
      <c r="AT204"/>
      <c r="AU204"/>
      <c r="AV204"/>
      <c r="AW204"/>
      <c r="AX204"/>
      <c r="AY204"/>
      <c r="AZ204"/>
      <c r="BA204"/>
      <c r="BB204"/>
      <c r="BC204"/>
      <c r="BD204"/>
      <c r="BE204"/>
      <c r="BF204"/>
    </row>
    <row r="205" spans="8:58" x14ac:dyDescent="0.3">
      <c r="H205"/>
      <c r="I205"/>
      <c r="J205"/>
      <c r="K205"/>
      <c r="L205"/>
      <c r="M205"/>
      <c r="N205"/>
      <c r="O205"/>
      <c r="P205"/>
      <c r="S205" s="38"/>
      <c r="T205" s="38"/>
      <c r="U205" s="38"/>
      <c r="V205" s="38"/>
      <c r="W205" s="38"/>
      <c r="X205" s="38"/>
      <c r="Y205" s="38"/>
      <c r="Z205" s="38"/>
      <c r="AA205" s="38"/>
      <c r="AC205"/>
      <c r="AD205"/>
      <c r="AE205"/>
      <c r="AF205"/>
      <c r="AG205"/>
      <c r="AH205"/>
      <c r="AI205"/>
      <c r="AS205"/>
      <c r="AT205"/>
      <c r="AU205"/>
      <c r="AV205"/>
      <c r="AW205"/>
      <c r="AX205"/>
      <c r="AY205"/>
      <c r="AZ205"/>
      <c r="BA205"/>
      <c r="BB205"/>
      <c r="BC205"/>
      <c r="BD205"/>
      <c r="BE205"/>
      <c r="BF205"/>
    </row>
    <row r="206" spans="8:58" x14ac:dyDescent="0.3">
      <c r="H206"/>
      <c r="I206"/>
      <c r="J206"/>
      <c r="K206"/>
      <c r="L206"/>
      <c r="M206"/>
      <c r="N206"/>
      <c r="O206"/>
      <c r="P206"/>
      <c r="S206" s="38"/>
      <c r="T206" s="38"/>
      <c r="U206" s="38"/>
      <c r="V206" s="38"/>
      <c r="W206" s="38"/>
      <c r="X206" s="38"/>
      <c r="Y206" s="38"/>
      <c r="Z206" s="38"/>
      <c r="AA206" s="38"/>
      <c r="AC206"/>
      <c r="AD206"/>
      <c r="AE206"/>
      <c r="AF206"/>
      <c r="AG206"/>
      <c r="AH206"/>
      <c r="AI206"/>
      <c r="AS206"/>
      <c r="AT206"/>
      <c r="AU206"/>
      <c r="AV206"/>
      <c r="AW206"/>
      <c r="AX206"/>
      <c r="AY206"/>
      <c r="AZ206"/>
      <c r="BA206"/>
      <c r="BB206"/>
      <c r="BC206"/>
      <c r="BD206"/>
      <c r="BE206"/>
      <c r="BF206"/>
    </row>
    <row r="207" spans="8:58" x14ac:dyDescent="0.3">
      <c r="H207"/>
      <c r="I207"/>
      <c r="J207"/>
      <c r="K207"/>
      <c r="L207"/>
      <c r="M207"/>
      <c r="N207"/>
      <c r="O207"/>
      <c r="P207"/>
      <c r="S207" s="38"/>
      <c r="T207" s="38"/>
      <c r="U207" s="38"/>
      <c r="V207" s="38"/>
      <c r="W207" s="38"/>
      <c r="X207" s="38"/>
      <c r="Y207" s="38"/>
      <c r="Z207" s="38"/>
      <c r="AA207" s="38"/>
      <c r="AC207"/>
      <c r="AD207"/>
      <c r="AE207"/>
      <c r="AF207"/>
      <c r="AG207"/>
      <c r="AH207"/>
      <c r="AI207"/>
      <c r="AS207"/>
      <c r="AT207"/>
      <c r="AU207"/>
      <c r="AV207"/>
      <c r="AW207"/>
      <c r="AX207"/>
      <c r="AY207"/>
      <c r="AZ207"/>
      <c r="BA207"/>
      <c r="BB207"/>
      <c r="BC207"/>
      <c r="BD207"/>
      <c r="BE207"/>
      <c r="BF207"/>
    </row>
    <row r="208" spans="8:58" x14ac:dyDescent="0.3">
      <c r="H208"/>
      <c r="I208"/>
      <c r="J208"/>
      <c r="K208"/>
      <c r="L208"/>
      <c r="M208"/>
      <c r="N208"/>
      <c r="O208"/>
      <c r="P208"/>
      <c r="S208" s="38"/>
      <c r="T208" s="38"/>
      <c r="U208" s="38"/>
      <c r="V208" s="38"/>
      <c r="W208" s="38"/>
      <c r="X208" s="38"/>
      <c r="Y208" s="38"/>
      <c r="Z208" s="38"/>
      <c r="AA208" s="38"/>
      <c r="AC208"/>
      <c r="AD208"/>
      <c r="AE208"/>
      <c r="AF208"/>
      <c r="AG208"/>
      <c r="AH208"/>
      <c r="AI208"/>
      <c r="AS208"/>
      <c r="AT208"/>
      <c r="AU208"/>
      <c r="AV208"/>
      <c r="AW208"/>
      <c r="AX208"/>
      <c r="AY208"/>
      <c r="AZ208"/>
      <c r="BA208"/>
      <c r="BB208"/>
      <c r="BC208"/>
      <c r="BD208"/>
      <c r="BE208"/>
      <c r="BF208"/>
    </row>
    <row r="209" spans="8:58" x14ac:dyDescent="0.3">
      <c r="H209"/>
      <c r="I209"/>
      <c r="J209"/>
      <c r="K209"/>
      <c r="L209"/>
      <c r="M209"/>
      <c r="N209"/>
      <c r="O209"/>
      <c r="P209"/>
      <c r="S209" s="38"/>
      <c r="T209" s="38"/>
      <c r="U209" s="38"/>
      <c r="V209" s="38"/>
      <c r="W209" s="38"/>
      <c r="X209" s="38"/>
      <c r="Y209" s="38"/>
      <c r="Z209" s="38"/>
      <c r="AA209" s="38"/>
      <c r="AC209"/>
      <c r="AD209"/>
      <c r="AE209"/>
      <c r="AF209"/>
      <c r="AG209"/>
      <c r="AH209"/>
      <c r="AI209"/>
      <c r="AS209"/>
      <c r="AT209"/>
      <c r="AU209"/>
      <c r="AV209"/>
      <c r="AW209"/>
      <c r="AX209"/>
      <c r="AY209"/>
      <c r="AZ209"/>
      <c r="BA209"/>
      <c r="BB209"/>
      <c r="BC209"/>
      <c r="BD209"/>
      <c r="BE209"/>
      <c r="BF209"/>
    </row>
    <row r="210" spans="8:58" x14ac:dyDescent="0.3">
      <c r="H210"/>
      <c r="I210"/>
      <c r="J210"/>
      <c r="K210"/>
      <c r="L210"/>
      <c r="M210"/>
      <c r="N210"/>
      <c r="O210"/>
      <c r="P210"/>
      <c r="S210" s="38"/>
      <c r="T210" s="38"/>
      <c r="U210" s="38"/>
      <c r="V210" s="38"/>
      <c r="W210" s="38"/>
      <c r="X210" s="38"/>
      <c r="Y210" s="38"/>
      <c r="Z210" s="38"/>
      <c r="AA210" s="38"/>
      <c r="AC210"/>
      <c r="AD210"/>
      <c r="AE210"/>
      <c r="AF210"/>
      <c r="AG210"/>
      <c r="AH210"/>
      <c r="AI210"/>
      <c r="AS210"/>
      <c r="AT210"/>
      <c r="AU210"/>
      <c r="AV210"/>
      <c r="AW210"/>
      <c r="AX210"/>
      <c r="AY210"/>
      <c r="AZ210"/>
      <c r="BA210"/>
      <c r="BB210"/>
      <c r="BC210"/>
      <c r="BD210"/>
      <c r="BE210"/>
      <c r="BF210"/>
    </row>
    <row r="211" spans="8:58" x14ac:dyDescent="0.3">
      <c r="H211"/>
      <c r="I211"/>
      <c r="J211"/>
      <c r="K211"/>
      <c r="L211"/>
      <c r="M211"/>
      <c r="N211"/>
      <c r="O211"/>
      <c r="P211"/>
      <c r="S211" s="38"/>
      <c r="T211" s="38"/>
      <c r="U211" s="38"/>
      <c r="V211" s="38"/>
      <c r="W211" s="38"/>
      <c r="X211" s="38"/>
      <c r="Y211" s="38"/>
      <c r="Z211" s="38"/>
      <c r="AA211" s="38"/>
      <c r="AC211"/>
      <c r="AD211"/>
      <c r="AE211"/>
      <c r="AF211"/>
      <c r="AG211"/>
      <c r="AH211"/>
      <c r="AI211"/>
      <c r="AS211"/>
      <c r="AT211"/>
      <c r="AU211"/>
      <c r="AV211"/>
      <c r="AW211"/>
      <c r="AX211"/>
      <c r="AY211"/>
      <c r="AZ211"/>
      <c r="BA211"/>
      <c r="BB211"/>
      <c r="BC211"/>
      <c r="BD211"/>
      <c r="BE211"/>
      <c r="BF211"/>
    </row>
    <row r="212" spans="8:58" x14ac:dyDescent="0.3">
      <c r="H212"/>
      <c r="I212"/>
      <c r="J212"/>
      <c r="K212"/>
      <c r="L212"/>
      <c r="M212"/>
      <c r="N212"/>
      <c r="O212"/>
      <c r="P212"/>
      <c r="S212" s="38"/>
      <c r="T212" s="38"/>
      <c r="U212" s="38"/>
      <c r="V212" s="38"/>
      <c r="W212" s="38"/>
      <c r="X212" s="38"/>
      <c r="Y212" s="38"/>
      <c r="Z212" s="38"/>
      <c r="AA212" s="38"/>
      <c r="AC212"/>
      <c r="AD212"/>
      <c r="AE212"/>
      <c r="AF212"/>
      <c r="AG212"/>
      <c r="AH212"/>
      <c r="AI212"/>
      <c r="AS212"/>
      <c r="AT212"/>
      <c r="AU212"/>
      <c r="AV212"/>
      <c r="AW212"/>
      <c r="AX212"/>
      <c r="AY212"/>
      <c r="AZ212"/>
      <c r="BA212"/>
      <c r="BB212"/>
      <c r="BC212"/>
      <c r="BD212"/>
      <c r="BE212"/>
      <c r="BF212"/>
    </row>
    <row r="213" spans="8:58" x14ac:dyDescent="0.3">
      <c r="H213"/>
      <c r="I213"/>
      <c r="J213"/>
      <c r="K213"/>
      <c r="L213"/>
      <c r="M213"/>
      <c r="N213"/>
      <c r="O213"/>
      <c r="P213"/>
      <c r="S213" s="38"/>
      <c r="T213" s="38"/>
      <c r="U213" s="38"/>
      <c r="V213" s="38"/>
      <c r="W213" s="38"/>
      <c r="X213" s="38"/>
      <c r="Y213" s="38"/>
      <c r="Z213" s="38"/>
      <c r="AA213" s="38"/>
      <c r="AC213"/>
      <c r="AD213"/>
      <c r="AE213"/>
      <c r="AF213"/>
      <c r="AG213"/>
      <c r="AH213"/>
      <c r="AI213"/>
      <c r="AS213"/>
      <c r="AT213"/>
      <c r="AU213"/>
      <c r="AV213"/>
      <c r="AW213"/>
      <c r="AX213"/>
      <c r="AY213"/>
      <c r="AZ213"/>
      <c r="BA213"/>
      <c r="BB213"/>
      <c r="BC213"/>
      <c r="BD213"/>
      <c r="BE213"/>
      <c r="BF213"/>
    </row>
    <row r="214" spans="8:58" x14ac:dyDescent="0.3">
      <c r="H214"/>
      <c r="I214"/>
      <c r="J214"/>
      <c r="K214"/>
      <c r="L214"/>
      <c r="M214"/>
      <c r="N214"/>
      <c r="O214"/>
      <c r="P214"/>
      <c r="S214" s="38"/>
      <c r="T214" s="38"/>
      <c r="U214" s="38"/>
      <c r="V214" s="38"/>
      <c r="W214" s="38"/>
      <c r="X214" s="38"/>
      <c r="Y214" s="38"/>
      <c r="Z214" s="38"/>
      <c r="AA214" s="38"/>
      <c r="AC214"/>
      <c r="AD214"/>
      <c r="AE214"/>
      <c r="AF214"/>
      <c r="AG214"/>
      <c r="AH214"/>
      <c r="AI214"/>
      <c r="AS214"/>
      <c r="AT214"/>
      <c r="AU214"/>
      <c r="AV214"/>
      <c r="AW214"/>
      <c r="AX214"/>
      <c r="AY214"/>
      <c r="AZ214"/>
      <c r="BA214"/>
      <c r="BB214"/>
      <c r="BC214"/>
      <c r="BD214"/>
      <c r="BE214"/>
      <c r="BF214"/>
    </row>
    <row r="215" spans="8:58" x14ac:dyDescent="0.3">
      <c r="H215"/>
      <c r="I215"/>
      <c r="J215"/>
      <c r="K215"/>
      <c r="L215"/>
      <c r="M215"/>
      <c r="N215"/>
      <c r="O215"/>
      <c r="P215"/>
      <c r="S215" s="38"/>
      <c r="T215" s="38"/>
      <c r="U215" s="38"/>
      <c r="V215" s="38"/>
      <c r="W215" s="38"/>
      <c r="X215" s="38"/>
      <c r="Y215" s="38"/>
      <c r="Z215" s="38"/>
      <c r="AA215" s="38"/>
      <c r="AC215"/>
      <c r="AD215"/>
      <c r="AE215"/>
      <c r="AF215"/>
      <c r="AG215"/>
      <c r="AH215"/>
      <c r="AI215"/>
      <c r="AS215"/>
      <c r="AT215"/>
      <c r="AU215"/>
      <c r="AV215"/>
      <c r="AW215"/>
      <c r="AX215"/>
      <c r="AY215"/>
      <c r="AZ215"/>
      <c r="BA215"/>
      <c r="BB215"/>
      <c r="BC215"/>
      <c r="BD215"/>
      <c r="BE215"/>
      <c r="BF215"/>
    </row>
    <row r="216" spans="8:58" x14ac:dyDescent="0.3">
      <c r="H216"/>
      <c r="I216"/>
      <c r="J216"/>
      <c r="K216"/>
      <c r="L216"/>
      <c r="M216"/>
      <c r="N216"/>
      <c r="O216"/>
      <c r="P216"/>
      <c r="S216" s="38"/>
      <c r="T216" s="38"/>
      <c r="U216" s="38"/>
      <c r="V216" s="38"/>
      <c r="W216" s="38"/>
      <c r="X216" s="38"/>
      <c r="Y216" s="38"/>
      <c r="Z216" s="38"/>
      <c r="AA216" s="38"/>
      <c r="AC216"/>
      <c r="AD216"/>
      <c r="AE216"/>
      <c r="AF216"/>
      <c r="AG216"/>
      <c r="AH216"/>
      <c r="AI216"/>
      <c r="AS216"/>
      <c r="AT216"/>
      <c r="AU216"/>
      <c r="AV216"/>
      <c r="AW216"/>
      <c r="AX216"/>
      <c r="AY216"/>
      <c r="AZ216"/>
      <c r="BA216"/>
      <c r="BB216"/>
      <c r="BC216"/>
      <c r="BD216"/>
      <c r="BE216"/>
      <c r="BF216"/>
    </row>
    <row r="217" spans="8:58" x14ac:dyDescent="0.3">
      <c r="H217"/>
      <c r="I217"/>
      <c r="J217"/>
      <c r="K217"/>
      <c r="L217"/>
      <c r="M217"/>
      <c r="N217"/>
      <c r="O217"/>
      <c r="P217"/>
      <c r="S217" s="38"/>
      <c r="T217" s="38"/>
      <c r="U217" s="38"/>
      <c r="V217" s="38"/>
      <c r="W217" s="38"/>
      <c r="X217" s="38"/>
      <c r="Y217" s="38"/>
      <c r="Z217" s="38"/>
      <c r="AA217" s="38"/>
      <c r="AC217"/>
      <c r="AD217"/>
      <c r="AE217"/>
      <c r="AF217"/>
      <c r="AG217"/>
      <c r="AH217"/>
      <c r="AI217"/>
      <c r="AS217"/>
      <c r="AT217"/>
      <c r="AU217"/>
      <c r="AV217"/>
      <c r="AW217"/>
      <c r="AX217"/>
      <c r="AY217"/>
      <c r="AZ217"/>
      <c r="BA217"/>
      <c r="BB217"/>
      <c r="BC217"/>
      <c r="BD217"/>
      <c r="BE217"/>
      <c r="BF217"/>
    </row>
    <row r="218" spans="8:58" x14ac:dyDescent="0.3">
      <c r="H218"/>
      <c r="I218"/>
      <c r="J218"/>
      <c r="K218"/>
      <c r="L218"/>
      <c r="M218"/>
      <c r="N218"/>
      <c r="O218"/>
      <c r="P218"/>
      <c r="S218" s="38"/>
      <c r="T218" s="38"/>
      <c r="U218" s="38"/>
      <c r="V218" s="38"/>
      <c r="W218" s="38"/>
      <c r="X218" s="38"/>
      <c r="Y218" s="38"/>
      <c r="Z218" s="38"/>
      <c r="AA218" s="38"/>
      <c r="AC218"/>
      <c r="AD218"/>
      <c r="AE218"/>
      <c r="AF218"/>
      <c r="AG218"/>
      <c r="AH218"/>
      <c r="AI218"/>
      <c r="AS218"/>
      <c r="AT218"/>
      <c r="AU218"/>
      <c r="AV218"/>
      <c r="AW218"/>
      <c r="AX218"/>
      <c r="AY218"/>
      <c r="AZ218"/>
      <c r="BA218"/>
      <c r="BB218"/>
      <c r="BC218"/>
      <c r="BD218"/>
      <c r="BE218"/>
      <c r="BF218"/>
    </row>
    <row r="219" spans="8:58" x14ac:dyDescent="0.3">
      <c r="H219"/>
      <c r="I219"/>
      <c r="J219"/>
      <c r="K219"/>
      <c r="L219"/>
      <c r="M219"/>
      <c r="N219"/>
      <c r="O219"/>
      <c r="P219"/>
      <c r="S219" s="38"/>
      <c r="T219" s="38"/>
      <c r="U219" s="38"/>
      <c r="V219" s="38"/>
      <c r="W219" s="38"/>
      <c r="X219" s="38"/>
      <c r="Y219" s="38"/>
      <c r="Z219" s="38"/>
      <c r="AA219" s="38"/>
      <c r="AC219"/>
      <c r="AD219"/>
      <c r="AE219"/>
      <c r="AF219"/>
      <c r="AG219"/>
      <c r="AH219"/>
      <c r="AI219"/>
      <c r="AS219"/>
      <c r="AT219"/>
      <c r="AU219"/>
      <c r="AV219"/>
      <c r="AW219"/>
      <c r="AX219"/>
      <c r="AY219"/>
      <c r="AZ219"/>
      <c r="BA219"/>
      <c r="BB219"/>
      <c r="BC219"/>
      <c r="BD219"/>
      <c r="BE219"/>
      <c r="BF219"/>
    </row>
    <row r="220" spans="8:58" x14ac:dyDescent="0.3">
      <c r="H220"/>
      <c r="I220"/>
      <c r="J220"/>
      <c r="K220"/>
      <c r="L220"/>
      <c r="M220"/>
      <c r="N220"/>
      <c r="O220"/>
      <c r="P220"/>
      <c r="S220" s="38"/>
      <c r="T220" s="38"/>
      <c r="U220" s="38"/>
      <c r="V220" s="38"/>
      <c r="W220" s="38"/>
      <c r="X220" s="38"/>
      <c r="Y220" s="38"/>
      <c r="Z220" s="38"/>
      <c r="AA220" s="38"/>
      <c r="AC220"/>
      <c r="AD220"/>
      <c r="AE220"/>
      <c r="AF220"/>
      <c r="AG220"/>
      <c r="AH220"/>
      <c r="AI220"/>
      <c r="AS220"/>
      <c r="AT220"/>
      <c r="AU220"/>
      <c r="AV220"/>
      <c r="AW220"/>
      <c r="AX220"/>
      <c r="AY220"/>
      <c r="AZ220"/>
      <c r="BA220"/>
      <c r="BB220"/>
      <c r="BC220"/>
      <c r="BD220"/>
      <c r="BE220"/>
      <c r="BF220"/>
    </row>
    <row r="221" spans="8:58" x14ac:dyDescent="0.3">
      <c r="H221"/>
      <c r="I221"/>
      <c r="J221"/>
      <c r="K221"/>
      <c r="L221"/>
      <c r="M221"/>
      <c r="N221"/>
      <c r="O221"/>
      <c r="P221"/>
      <c r="S221" s="38"/>
      <c r="T221" s="38"/>
      <c r="U221" s="38"/>
      <c r="V221" s="38"/>
      <c r="W221" s="38"/>
      <c r="X221" s="38"/>
      <c r="Y221" s="38"/>
      <c r="Z221" s="38"/>
      <c r="AA221" s="38"/>
      <c r="AC221"/>
      <c r="AD221"/>
      <c r="AE221"/>
      <c r="AF221"/>
      <c r="AG221"/>
      <c r="AH221"/>
      <c r="AI221"/>
      <c r="AS221"/>
      <c r="AT221"/>
      <c r="AU221"/>
      <c r="AV221"/>
      <c r="AW221"/>
      <c r="AX221"/>
      <c r="AY221"/>
      <c r="AZ221"/>
      <c r="BA221"/>
      <c r="BB221"/>
      <c r="BC221"/>
      <c r="BD221"/>
      <c r="BE221"/>
      <c r="BF221"/>
    </row>
    <row r="222" spans="8:58" x14ac:dyDescent="0.3">
      <c r="H222"/>
      <c r="I222"/>
      <c r="J222"/>
      <c r="K222"/>
      <c r="L222"/>
      <c r="M222"/>
      <c r="N222"/>
      <c r="O222"/>
      <c r="P222"/>
      <c r="S222" s="38"/>
      <c r="T222" s="38"/>
      <c r="U222" s="38"/>
      <c r="V222" s="38"/>
      <c r="W222" s="38"/>
      <c r="X222" s="38"/>
      <c r="Y222" s="38"/>
      <c r="Z222" s="38"/>
      <c r="AA222" s="38"/>
      <c r="AC222"/>
      <c r="AD222"/>
      <c r="AE222"/>
      <c r="AF222"/>
      <c r="AG222"/>
      <c r="AH222"/>
      <c r="AI222"/>
      <c r="AS222"/>
      <c r="AT222"/>
      <c r="AU222"/>
      <c r="AV222"/>
      <c r="AW222"/>
      <c r="AX222"/>
      <c r="AY222"/>
      <c r="AZ222"/>
      <c r="BA222"/>
      <c r="BB222"/>
      <c r="BC222"/>
      <c r="BD222"/>
      <c r="BE222"/>
      <c r="BF222"/>
    </row>
    <row r="223" spans="8:58" x14ac:dyDescent="0.3">
      <c r="H223"/>
      <c r="I223"/>
      <c r="J223"/>
      <c r="K223"/>
      <c r="L223"/>
      <c r="M223"/>
      <c r="N223"/>
      <c r="O223"/>
      <c r="P223"/>
      <c r="S223" s="38"/>
      <c r="T223" s="38"/>
      <c r="U223" s="38"/>
      <c r="V223" s="38"/>
      <c r="W223" s="38"/>
      <c r="X223" s="38"/>
      <c r="Y223" s="38"/>
      <c r="Z223" s="38"/>
      <c r="AA223" s="38"/>
      <c r="AC223"/>
      <c r="AD223"/>
      <c r="AE223"/>
      <c r="AF223"/>
      <c r="AG223"/>
      <c r="AH223"/>
      <c r="AI223"/>
      <c r="AS223"/>
      <c r="AT223"/>
      <c r="AU223"/>
      <c r="AV223"/>
      <c r="AW223"/>
      <c r="AX223"/>
      <c r="AY223"/>
      <c r="AZ223"/>
      <c r="BA223"/>
      <c r="BB223"/>
      <c r="BC223"/>
      <c r="BD223"/>
      <c r="BE223"/>
      <c r="BF223"/>
    </row>
    <row r="224" spans="8:58" x14ac:dyDescent="0.3">
      <c r="H224"/>
      <c r="I224"/>
      <c r="J224"/>
      <c r="K224"/>
      <c r="L224"/>
      <c r="M224"/>
      <c r="N224"/>
      <c r="O224"/>
      <c r="P224"/>
      <c r="AS224"/>
      <c r="AT224"/>
      <c r="AU224"/>
      <c r="AV224"/>
      <c r="AW224"/>
      <c r="AX224"/>
      <c r="AY224"/>
      <c r="AZ224"/>
      <c r="BA224"/>
      <c r="BB224"/>
      <c r="BC224"/>
      <c r="BD224"/>
      <c r="BE224"/>
      <c r="BF224"/>
    </row>
    <row r="225" spans="45:58" x14ac:dyDescent="0.3">
      <c r="AS225"/>
      <c r="AT225"/>
      <c r="AU225"/>
      <c r="AV225"/>
      <c r="AW225"/>
      <c r="AX225"/>
      <c r="AY225"/>
      <c r="AZ225"/>
      <c r="BA225"/>
      <c r="BB225"/>
      <c r="BC225"/>
      <c r="BD225"/>
      <c r="BE225"/>
      <c r="BF225"/>
    </row>
    <row r="226" spans="45:58" x14ac:dyDescent="0.3">
      <c r="AS226"/>
      <c r="AT226"/>
      <c r="AU226"/>
      <c r="AV226"/>
      <c r="AW226"/>
      <c r="AX226"/>
      <c r="AY226"/>
      <c r="AZ226"/>
      <c r="BA226"/>
      <c r="BB226"/>
      <c r="BC226"/>
      <c r="BD226"/>
      <c r="BE226"/>
      <c r="BF226"/>
    </row>
    <row r="227" spans="45:58" x14ac:dyDescent="0.3">
      <c r="AS227"/>
      <c r="AT227"/>
      <c r="AU227"/>
      <c r="AV227"/>
      <c r="AW227"/>
      <c r="AX227"/>
      <c r="AY227"/>
      <c r="AZ227"/>
      <c r="BA227"/>
      <c r="BB227"/>
      <c r="BC227"/>
      <c r="BD227"/>
      <c r="BE227"/>
      <c r="BF227"/>
    </row>
  </sheetData>
  <sheetProtection algorithmName="SHA-512" hashValue="n+QrWIRSzMrKJ9EcjaEMIMXYp7j8L7jvQH05RlY6PbM0/bwqgIUBt2nNQHoH4L/m/InbM+mROBE2lORJHvlxfw==" saltValue="u+EYN8mv2Lfl6aSmlIsvlw==" spinCount="100000" sheet="1" scenarios="1" formatCells="0" formatColumns="0" formatRows="0" insertColumns="0" insertRows="0" deleteColumns="0" deleteRows="0" sort="0" autoFilter="0" pivotTables="0"/>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21" r:id="rId10" name="Button 1">
              <controlPr defaultSize="0" print="0" autoFill="0" autoPict="0" macro="[0]!TimeUpdate.TimeUpdate">
                <anchor moveWithCells="1">
                  <from>
                    <xdr:col>59</xdr:col>
                    <xdr:colOff>38100</xdr:colOff>
                    <xdr:row>1</xdr:row>
                    <xdr:rowOff>76200</xdr:rowOff>
                  </from>
                  <to>
                    <xdr:col>59</xdr:col>
                    <xdr:colOff>552450</xdr:colOff>
                    <xdr:row>2</xdr:row>
                    <xdr:rowOff>123825</xdr:rowOff>
                  </to>
                </anchor>
              </controlPr>
            </control>
          </mc:Choice>
        </mc:AlternateContent>
        <mc:AlternateContent xmlns:mc="http://schemas.openxmlformats.org/markup-compatibility/2006">
          <mc:Choice Requires="x14">
            <control shapeId="5122" r:id="rId11" name="Button 2">
              <controlPr defaultSize="0" print="0" autoFill="0" autoPict="0" macro="[0]!RefreshTables">
                <anchor moveWithCells="1">
                  <from>
                    <xdr:col>5</xdr:col>
                    <xdr:colOff>438150</xdr:colOff>
                    <xdr:row>0</xdr:row>
                    <xdr:rowOff>190500</xdr:rowOff>
                  </from>
                  <to>
                    <xdr:col>6</xdr:col>
                    <xdr:colOff>295275</xdr:colOff>
                    <xdr:row>2</xdr:row>
                    <xdr:rowOff>28575</xdr:rowOff>
                  </to>
                </anchor>
              </controlPr>
            </control>
          </mc:Choice>
        </mc:AlternateContent>
      </controls>
    </mc:Choice>
  </mc:AlternateContent>
  <tableParts count="2">
    <tablePart r:id="rId12"/>
    <tablePart r:id="rId1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A1:DH55"/>
  <sheetViews>
    <sheetView showGridLines="0" topLeftCell="BF4" zoomScale="85" zoomScaleNormal="85" workbookViewId="0">
      <selection activeCell="CE1" sqref="CE1"/>
    </sheetView>
  </sheetViews>
  <sheetFormatPr defaultRowHeight="18" customHeight="1" outlineLevelCol="1" x14ac:dyDescent="0.3"/>
  <cols>
    <col min="1" max="1" width="9.75" style="130" customWidth="1" collapsed="1"/>
    <col min="2" max="4" width="9" style="130" hidden="1" customWidth="1" outlineLevel="1"/>
    <col min="5" max="5" width="9.5" style="130" hidden="1" customWidth="1" outlineLevel="1"/>
    <col min="6" max="6" width="12.25" style="130" hidden="1" customWidth="1" outlineLevel="1"/>
    <col min="7" max="7" width="12.125" style="130" hidden="1" customWidth="1" outlineLevel="1"/>
    <col min="8" max="8" width="9.875" style="130" hidden="1" customWidth="1" outlineLevel="1"/>
    <col min="9" max="9" width="10.875" style="130" hidden="1" customWidth="1" outlineLevel="1"/>
    <col min="10" max="10" width="13.75" style="130" hidden="1" customWidth="1" outlineLevel="1"/>
    <col min="11" max="11" width="12.25" style="130" hidden="1" customWidth="1" outlineLevel="1"/>
    <col min="12" max="12" width="13.25" style="130" hidden="1" customWidth="1" outlineLevel="1"/>
    <col min="13" max="13" width="16.375" style="130" hidden="1" customWidth="1" outlineLevel="1"/>
    <col min="14" max="14" width="11.625" style="130" hidden="1" customWidth="1" outlineLevel="1"/>
    <col min="15" max="15" width="12.75" style="130" hidden="1" customWidth="1" outlineLevel="1"/>
    <col min="16" max="16" width="12.5" style="130" hidden="1" customWidth="1" outlineLevel="1"/>
    <col min="17" max="17" width="13" style="130" hidden="1" customWidth="1" outlineLevel="1"/>
    <col min="18" max="18" width="15.625" style="130" hidden="1" customWidth="1" outlineLevel="1"/>
    <col min="19" max="19" width="15.875" style="130" hidden="1" customWidth="1" outlineLevel="1"/>
    <col min="20" max="20" width="13.25" style="130" hidden="1" customWidth="1" outlineLevel="1"/>
    <col min="21" max="21" width="10.5" style="130" hidden="1" customWidth="1" outlineLevel="1"/>
    <col min="22" max="22" width="13.125" style="130" hidden="1" customWidth="1" outlineLevel="1"/>
    <col min="23" max="23" width="15.25" style="130" hidden="1" customWidth="1" outlineLevel="1"/>
    <col min="24" max="24" width="12" style="130" hidden="1" customWidth="1" outlineLevel="1"/>
    <col min="25" max="25" width="10.125" style="130" hidden="1" customWidth="1" outlineLevel="1"/>
    <col min="26" max="26" width="11.375" style="130" hidden="1" customWidth="1" outlineLevel="1"/>
    <col min="27" max="27" width="9.375" style="130" hidden="1" customWidth="1" outlineLevel="1"/>
    <col min="28" max="28" width="11.625" style="130" hidden="1" customWidth="1" outlineLevel="1"/>
    <col min="29" max="29" width="9" style="130" hidden="1" customWidth="1" outlineLevel="1"/>
    <col min="30" max="30" width="17.625" style="130" hidden="1" customWidth="1" outlineLevel="1"/>
    <col min="31" max="32" width="15.75" style="130" hidden="1" customWidth="1" outlineLevel="1"/>
    <col min="33" max="33" width="12.625" style="130" hidden="1" customWidth="1" outlineLevel="1"/>
    <col min="34" max="34" width="9.125" style="130" hidden="1" customWidth="1" outlineLevel="1"/>
    <col min="35" max="35" width="19.25" style="130" hidden="1" customWidth="1" outlineLevel="1"/>
    <col min="36" max="36" width="16.375" style="130" hidden="1" customWidth="1" outlineLevel="1"/>
    <col min="37" max="37" width="17.75" style="130" hidden="1" customWidth="1" outlineLevel="1"/>
    <col min="38" max="38" width="13.25" style="130" hidden="1" customWidth="1" outlineLevel="1"/>
    <col min="39" max="39" width="14.625" style="130" hidden="1" customWidth="1" outlineLevel="1"/>
    <col min="40" max="40" width="19.875" style="130" hidden="1" customWidth="1" outlineLevel="1"/>
    <col min="41" max="41" width="11.625" style="130" hidden="1" customWidth="1" outlineLevel="1"/>
    <col min="42" max="42" width="16.875" style="130" hidden="1" customWidth="1" outlineLevel="1"/>
    <col min="43" max="44" width="14.75" style="130" hidden="1" customWidth="1" outlineLevel="1"/>
    <col min="45" max="45" width="17" style="130" hidden="1" customWidth="1" outlineLevel="1"/>
    <col min="46" max="46" width="17.625" style="130" hidden="1" customWidth="1" outlineLevel="1"/>
    <col min="47" max="47" width="24.125" style="130" hidden="1" customWidth="1" outlineLevel="1"/>
    <col min="48" max="48" width="19.5" style="130" hidden="1" customWidth="1" outlineLevel="1"/>
    <col min="49" max="49" width="12.75" style="130" hidden="1" customWidth="1" outlineLevel="1"/>
    <col min="50" max="50" width="15.125" style="130" hidden="1" customWidth="1" outlineLevel="1"/>
    <col min="51" max="51" width="15.5" style="130" hidden="1" customWidth="1" outlineLevel="1"/>
    <col min="52" max="52" width="14.75" style="130" hidden="1" customWidth="1" outlineLevel="1"/>
    <col min="53" max="53" width="20.625" style="130" hidden="1" customWidth="1" outlineLevel="1"/>
    <col min="54" max="54" width="9.75" style="130" hidden="1" customWidth="1" outlineLevel="1"/>
    <col min="55" max="55" width="16.5" style="130" hidden="1" customWidth="1" outlineLevel="1"/>
    <col min="56" max="56" width="3" style="130" customWidth="1"/>
    <col min="57" max="57" width="9" style="134"/>
    <col min="58" max="63" width="8" style="130" customWidth="1"/>
    <col min="64" max="64" width="9" style="130"/>
    <col min="65" max="65" width="12.375" style="130" bestFit="1" customWidth="1"/>
    <col min="66" max="69" width="9" style="130"/>
    <col min="70" max="70" width="9.375" style="130" bestFit="1" customWidth="1"/>
    <col min="71" max="92" width="9" style="130"/>
    <col min="93" max="93" width="8" style="132" customWidth="1"/>
    <col min="94" max="94" width="6.625" style="132" bestFit="1" customWidth="1"/>
    <col min="95" max="95" width="10.875" style="132" bestFit="1" customWidth="1"/>
    <col min="96" max="96" width="10.25" style="132" bestFit="1" customWidth="1"/>
    <col min="97" max="97" width="9.125" style="132" bestFit="1" customWidth="1"/>
    <col min="98" max="98" width="9" style="132"/>
    <col min="99" max="99" width="8" style="162" customWidth="1"/>
    <col min="100" max="100" width="9" style="138" customWidth="1"/>
    <col min="101" max="103" width="10.25" style="138" customWidth="1"/>
    <col min="104" max="104" width="10" style="138" bestFit="1" customWidth="1"/>
    <col min="105" max="105" width="6.5" style="138" bestFit="1" customWidth="1"/>
    <col min="106" max="107" width="9" style="138" customWidth="1"/>
    <col min="108" max="109" width="9" style="138"/>
    <col min="110" max="110" width="8.25" style="138" bestFit="1" customWidth="1"/>
    <col min="111" max="111" width="9" style="138"/>
    <col min="112" max="112" width="9" style="132"/>
    <col min="113" max="16384" width="9" style="130"/>
  </cols>
  <sheetData>
    <row r="1" spans="2:110" ht="18" customHeight="1" x14ac:dyDescent="0.3">
      <c r="BE1" s="130"/>
    </row>
    <row r="2" spans="2:110" ht="18" customHeight="1" x14ac:dyDescent="0.3">
      <c r="BE2" s="130"/>
      <c r="CT2" s="136"/>
    </row>
    <row r="3" spans="2:110" ht="18" customHeight="1" x14ac:dyDescent="0.3">
      <c r="BE3" s="130"/>
      <c r="CQ3" s="136"/>
      <c r="CT3" s="136"/>
    </row>
    <row r="4" spans="2:110" ht="18" customHeight="1" x14ac:dyDescent="0.3">
      <c r="BE4" s="130"/>
      <c r="CP4" s="132" t="s">
        <v>2</v>
      </c>
      <c r="CQ4" s="132" t="s">
        <v>66</v>
      </c>
      <c r="CR4" s="132" t="s">
        <v>67</v>
      </c>
      <c r="CS4" s="132" t="s">
        <v>22</v>
      </c>
      <c r="CT4" s="132" t="s">
        <v>68</v>
      </c>
      <c r="CV4" s="138" t="s">
        <v>21</v>
      </c>
      <c r="CW4" s="138" t="s">
        <v>69</v>
      </c>
      <c r="CX4" s="138" t="s">
        <v>22</v>
      </c>
      <c r="CY4" s="138" t="s">
        <v>68</v>
      </c>
      <c r="CZ4" s="138" t="s">
        <v>70</v>
      </c>
      <c r="DB4" s="138" t="s">
        <v>22</v>
      </c>
      <c r="DC4" s="138" t="s">
        <v>71</v>
      </c>
      <c r="DE4" s="138" t="s">
        <v>72</v>
      </c>
    </row>
    <row r="5" spans="2:110" ht="18" customHeight="1" x14ac:dyDescent="0.3">
      <c r="B5" s="132" t="s">
        <v>3</v>
      </c>
      <c r="C5" s="132" t="s">
        <v>2</v>
      </c>
      <c r="D5" s="132" t="s">
        <v>1</v>
      </c>
      <c r="E5" s="132" t="s">
        <v>73</v>
      </c>
      <c r="F5" s="132" t="s">
        <v>74</v>
      </c>
      <c r="G5" s="132" t="s">
        <v>75</v>
      </c>
      <c r="H5" s="132" t="s">
        <v>33</v>
      </c>
      <c r="I5" s="132" t="s">
        <v>76</v>
      </c>
      <c r="J5" s="132" t="s">
        <v>77</v>
      </c>
      <c r="K5" s="132" t="s">
        <v>78</v>
      </c>
      <c r="L5" s="132" t="s">
        <v>79</v>
      </c>
      <c r="M5" s="132" t="s">
        <v>80</v>
      </c>
      <c r="N5" s="132" t="s">
        <v>81</v>
      </c>
      <c r="O5" s="132" t="s">
        <v>82</v>
      </c>
      <c r="P5" s="132" t="s">
        <v>83</v>
      </c>
      <c r="Q5" s="132" t="s">
        <v>84</v>
      </c>
      <c r="R5" s="132" t="s">
        <v>85</v>
      </c>
      <c r="S5" s="132" t="s">
        <v>86</v>
      </c>
      <c r="T5" s="132" t="s">
        <v>87</v>
      </c>
      <c r="U5" s="132" t="s">
        <v>88</v>
      </c>
      <c r="V5" s="132" t="s">
        <v>89</v>
      </c>
      <c r="W5" s="132" t="s">
        <v>90</v>
      </c>
      <c r="X5" s="132" t="s">
        <v>91</v>
      </c>
      <c r="Y5" s="132" t="s">
        <v>92</v>
      </c>
      <c r="Z5" s="132" t="s">
        <v>93</v>
      </c>
      <c r="AA5" s="132" t="s">
        <v>94</v>
      </c>
      <c r="AB5" s="132" t="s">
        <v>95</v>
      </c>
      <c r="AC5" s="132" t="s">
        <v>96</v>
      </c>
      <c r="AD5" s="132" t="s">
        <v>97</v>
      </c>
      <c r="AE5" s="132" t="s">
        <v>98</v>
      </c>
      <c r="AF5" s="132" t="s">
        <v>99</v>
      </c>
      <c r="AG5" s="132" t="s">
        <v>100</v>
      </c>
      <c r="AH5" s="132" t="s">
        <v>101</v>
      </c>
      <c r="AI5" s="132" t="s">
        <v>102</v>
      </c>
      <c r="AJ5" s="132" t="s">
        <v>103</v>
      </c>
      <c r="AK5" s="132" t="s">
        <v>104</v>
      </c>
      <c r="AL5" s="132" t="s">
        <v>105</v>
      </c>
      <c r="AM5" s="132" t="s">
        <v>106</v>
      </c>
      <c r="AN5" s="132" t="s">
        <v>107</v>
      </c>
      <c r="AO5" s="132" t="s">
        <v>108</v>
      </c>
      <c r="AP5" s="132" t="s">
        <v>109</v>
      </c>
      <c r="AQ5" s="132" t="s">
        <v>110</v>
      </c>
      <c r="AR5" s="132" t="s">
        <v>111</v>
      </c>
      <c r="AS5" s="132" t="s">
        <v>112</v>
      </c>
      <c r="AT5" s="132" t="s">
        <v>113</v>
      </c>
      <c r="AU5" s="132" t="s">
        <v>114</v>
      </c>
      <c r="AV5" s="132" t="s">
        <v>115</v>
      </c>
      <c r="AW5" s="132" t="s">
        <v>116</v>
      </c>
      <c r="AX5" s="132" t="s">
        <v>117</v>
      </c>
      <c r="AY5" s="132" t="s">
        <v>118</v>
      </c>
      <c r="AZ5" s="132" t="s">
        <v>119</v>
      </c>
      <c r="BA5" s="132" t="s">
        <v>120</v>
      </c>
      <c r="BB5" s="132" t="s">
        <v>121</v>
      </c>
      <c r="BC5" s="132" t="s">
        <v>122</v>
      </c>
      <c r="BE5" s="130"/>
      <c r="BF5" s="134"/>
      <c r="BG5" s="134"/>
      <c r="BH5" s="134"/>
      <c r="BI5" s="134"/>
      <c r="BJ5" s="134"/>
      <c r="BK5" s="134"/>
      <c r="CO5" s="197"/>
      <c r="CP5" s="132">
        <v>2023</v>
      </c>
      <c r="CQ5" s="198" cm="1">
        <f t="array" ref="CQ5">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5" s="148" t="str" cm="1">
        <f t="array" ref="CR5"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5" s="151" t="str">
        <f>IFERROR(TEXT(Dashboard_GiaTriNam[[#This Row],[Giá trị đạt]],LOOKUP(Dashboard_GiaTriNam[[#This Row],[Giá trị đạt]],Pivot!$B$6:$B$12,Pivot!$C$6:$C$12)),"")</f>
        <v/>
      </c>
      <c r="CT5" s="150" t="e" cm="1">
        <f t="array" ref="CT5">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#DIV/0!</v>
      </c>
      <c r="CU5" s="199"/>
      <c r="CV5" s="138" t="s">
        <v>73</v>
      </c>
      <c r="CW5" s="166" cm="1">
        <f t="array" ref="CW5">IFERROR(SUM(_xlfn._xlws.FILTER(Table_Datafeed[Sản lượng],
(Table_Datafeed[Kỳ] &gt;= Pivot!$E$2)*
(Table_Datafeed[Kỳ]&lt;=Pivot!$E$3)
)),0)</f>
        <v>0</v>
      </c>
      <c r="CY5" s="160" t="e">
        <f>CW5/CW6</f>
        <v>#DIV/0!</v>
      </c>
      <c r="CZ5" s="138" cm="1">
        <f t="array" ref="CZ5">CW5-
IFERROR(SUM(_xlfn._xlws.FILTER(Table_Datafeed[Sản lượng],
(Table_Datafeed[Kỳ] &gt;= DATE(YEAR(Pivot!$E$2)-1,MONTH(Pivot!$E$2),1))*
(Table_Datafeed[Kỳ]&lt;=DATE(YEAR(Pivot!$E$3)-1,MONTH(Pivot!$E$3),1))
)),0)</f>
        <v>0</v>
      </c>
      <c r="DC5" s="160" t="e">
        <f>CW5/(CW5-CZ5)-1</f>
        <v>#DIV/0!</v>
      </c>
      <c r="DE5" s="160"/>
    </row>
    <row r="6" spans="2:110" ht="16.5" x14ac:dyDescent="0.3">
      <c r="B6" s="163">
        <f>DATE(Table_Datafeed[[#This Row],[Năm]],Table_Datafeed[[#This Row],[Tháng]],1)</f>
        <v>44927</v>
      </c>
      <c r="C6" s="130">
        <v>2023</v>
      </c>
      <c r="D6" s="130">
        <v>1</v>
      </c>
      <c r="E6" s="198" cm="1">
        <f t="array" ref="E6">+IFERROR(SUM(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f>
        <v>0</v>
      </c>
      <c r="F6" s="148" t="e">
        <f>-Table_Datafeed[[#This Row],[Chi phí cố định]]/(Table_Datafeed[[#This Row],[Lợi nhuận biến đổi]]/Table_Datafeed[[#This Row],[Sản lượng]])</f>
        <v>#DIV/0!</v>
      </c>
      <c r="G6" s="149" t="e">
        <f>Table_Datafeed[[#This Row],[Sản lượng]]/Table_Datafeed[[#This Row],[Điểm hòa vốn]]-1</f>
        <v>#DIV/0!</v>
      </c>
      <c r="H6" s="198" cm="1">
        <f t="array" ref="H6">IFERROR(SUM(
_xlfn._xlws.FILTER(Table_Main[Thành tiền niêm yết],
NOT(ISBLANK(Table_Main[Đơn bán]))*
(Table_Main[Ngày lên đơn] &gt;= Table_Datafeed[[#This Row],[Kỳ]])*
(Table_Main[Ngày lên đơn] &lt;DATE(YEAR(Table_Datafeed[[#This Row],[Kỳ]]),MONTH(Table_Datafeed[[#This Row],[Kỳ]])+1,1))
)),0)</f>
        <v>0</v>
      </c>
      <c r="I6" s="150" t="e">
        <f>(Table_Datafeed[[#This Row],[Doanh thu]]+Table_Datafeed[[#This Row],[Chi phí biến đổi]])/Table_Datafeed[[#This Row],[Doanh thu]]</f>
        <v>#DIV/0!</v>
      </c>
      <c r="J6" s="198">
        <f>SUM(Table_Datafeed[[#This Row],[CP chiết khấu]:[CP vận chuyển]])</f>
        <v>0</v>
      </c>
      <c r="K6" s="148" cm="1">
        <f t="array" ref="K6">-IFERROR(SUM(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f>
        <v>0</v>
      </c>
      <c r="L6" s="148" cm="1">
        <f t="array" ref="L6">-IFERROR(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f>
        <v>0</v>
      </c>
      <c r="M6" s="198" cm="1">
        <f t="array" ref="M6">-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N6" s="148" cm="1">
        <f t="array" ref="N6">-IFERROR(SUM(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f>
        <v>0</v>
      </c>
      <c r="O6" s="198" cm="1">
        <f t="array" ref="O6"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f>
        <v>0</v>
      </c>
      <c r="P6" s="198" cm="1">
        <f t="array" ref="P6">-IFERROR(SUM(
_xlfn._xlws.FILTER(Table_ThuChiKD[Phí GD],
(Table_ThuChiKD[Ngày GD] &gt;= Table_Datafeed[[#This Row],[Kỳ]])*
(Table_ThuChiKD[Ngày GD] &lt; DATE(Table_Datafeed[[#This Row],[Năm]],Table_Datafeed[[#This Row],[Tháng]]+1,1))
)),0)</f>
        <v>0</v>
      </c>
      <c r="Q6" s="198" cm="1">
        <f t="array" ref="Q6">-IFERROR(
SUM(_xlfn._xlws.FILTER(Table_VanDon[Phí ship],
(Table_VanDon[Bên chịu phí] = "Bên bán") *
(Table_VanDon[Ngày lập] &gt;= Table_Datafeed[[#This Row],[Kỳ]]) *
(Table_VanDon[Ngày lập] &lt; DATE(Table_Datafeed[[#This Row],[Năm]],Table_Datafeed[[#This Row],[Tháng]]+1,1))
)),0)</f>
        <v>0</v>
      </c>
      <c r="R6" s="198">
        <f>+Table_Datafeed[[#This Row],[Doanh thu]]+Table_Datafeed[[#This Row],[Chi phí biến đổi]]</f>
        <v>0</v>
      </c>
      <c r="S6" s="150" t="e">
        <f>Table_Datafeed[[#This Row],[Chi phí cố định]]/(Table_Datafeed[[#This Row],[Chi phí cố định]]+Table_Datafeed[[#This Row],[Chi phí biến đổi]])</f>
        <v>#DIV/0!</v>
      </c>
      <c r="T6" s="198">
        <f>SUM(Table_Datafeed[[#This Row],[CP nhân sự]:[CP khác]])</f>
        <v>0</v>
      </c>
      <c r="U6" s="458" cm="1">
        <f t="array" ref="U6">-IFERROR(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f>
        <v>0</v>
      </c>
      <c r="V6" s="198" cm="1">
        <f t="array" ref="V6">-IFERROR(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W6" s="162" cm="1">
        <f t="array" ref="W6"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f>
        <v>0</v>
      </c>
      <c r="X6" s="162" cm="1">
        <f t="array" ref="X6"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f>
        <v>0</v>
      </c>
      <c r="Y6" s="162" cm="1">
        <f t="array" ref="Y6">-IFERROR(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f>
        <v>0</v>
      </c>
      <c r="Z6" s="162" cm="1">
        <f t="array" ref="Z6">-IFERROR(SUM(_xlfn._xlws.FILTER(Table_TSCD_KhauHao[Khấu hao],
(Table_TSCD_KhauHao[Kỳ] = Table_Datafeed[[#This Row],[Kỳ]]))),0)</f>
        <v>0</v>
      </c>
      <c r="AA6" s="198" cm="1">
        <f t="array" ref="AA6"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f>
        <v>0</v>
      </c>
      <c r="AB6" s="162" cm="1">
        <f t="array" ref="AB6">-IFERROR(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f>
        <v>0</v>
      </c>
      <c r="AC6" s="198" cm="1">
        <f t="array" ref="AC6">-IFERROR(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f>
        <v>0</v>
      </c>
      <c r="AD6" s="198">
        <f>+Table_Datafeed[[#This Row],[Lợi nhuận biến đổi]]+Table_Datafeed[[#This Row],[Chi phí cố định]]</f>
        <v>0</v>
      </c>
      <c r="AE6" s="459" t="e">
        <f>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F6" s="198">
        <f>+Table_Datafeed[[#This Row],[Tiền bán hàng]]+Table_Datafeed[[#This Row],[Tiền VAT]]+Table_Datafeed[[#This Row],[Tiền chi kinh doanh]]+Table_Datafeed[[#This Row],[Tiền nộp NN]]</f>
        <v>0</v>
      </c>
      <c r="AG6" s="198" cm="1">
        <f t="array" ref="AG6">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f>
        <v>0</v>
      </c>
      <c r="AH6" s="198" cm="1">
        <f t="array" ref="AH6">IFERROR(
SUM(_xlfn._xlws.FILTER(Table_NopNS[Giá trị tính thuế],
(Table_NopNS[Ngân sách] = "Thuế VAT")*
(Table_NopNS[Năm]=Table_Datafeed[[#This Row],[Năm]])*
(Table_NopNS[Tháng] = Table_Datafeed[[#This Row],[Tháng]])
)),0)</f>
        <v>0</v>
      </c>
      <c r="AI6" s="151" t="e">
        <f>(Table_Datafeed[[#This Row],[Doanh thu]]-Table_Datafeed[[#This Row],[Tiền bán hàng]])/Table_Datafeed[[#This Row],[Doanh thu]]</f>
        <v>#DIV/0!</v>
      </c>
      <c r="AJ6" s="198">
        <f>+Table_Datafeed[[#This Row],[Tiền mua nguyên liệu]]+Table_Datafeed[[#This Row],[Tiền trả chi phí]]+Table_Datafeed[[#This Row],[Tiền trả lao động]]</f>
        <v>0</v>
      </c>
      <c r="AK6" s="198" cm="1">
        <f t="array" ref="AK6">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f>
        <v>0</v>
      </c>
      <c r="AL6" s="198" cm="1">
        <f t="array" ref="AL6">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f>
        <v>0</v>
      </c>
      <c r="AM6" s="198" cm="1">
        <f t="array" ref="AM6">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f>
        <v>0</v>
      </c>
      <c r="AN6" s="151" t="e">
        <f>(SUM(Table_Datafeed[[#This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f>
        <v>#DIV/0!</v>
      </c>
      <c r="AO6" s="198" cm="1">
        <f t="array" ref="AO6">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f>
        <v>0</v>
      </c>
      <c r="AP6" s="198">
        <f>+Table_Datafeed[[#This Row],[Tiền trả gốc &amp; lãi]]+Table_Datafeed[[#This Row],[Tiền đầu tư TSCĐ]]+Table_Datafeed[[#This Row],[Tiền đầu tư tài chính]]</f>
        <v>0</v>
      </c>
      <c r="AQ6" s="198" cm="1">
        <f t="array" ref="AQ6"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f>
        <v>0</v>
      </c>
      <c r="AR6" s="198" cm="1">
        <f t="array" ref="AR6"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f>
        <v>0</v>
      </c>
      <c r="AS6" s="198" cm="1">
        <f t="array" ref="AS6"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f>
        <v>0</v>
      </c>
      <c r="AT6" s="198">
        <f>+Table_Datafeed[[#This Row],[Dòng tiền kinh doanh]]+Table_Datafeed[[#This Row],[Tiền trả gốc &amp; lãi]]</f>
        <v>0</v>
      </c>
      <c r="AU6" s="151" t="e">
        <f>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V6" s="148" cm="1">
        <f t="array" ref="AV6">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f>
        <v>0</v>
      </c>
      <c r="AW6" s="198" cm="1">
        <f t="array" ref="AW6"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f>
        <v>0</v>
      </c>
      <c r="AX6" s="198" cm="1">
        <f t="array" ref="AX6">+IFERROR(SUM(_xlfn._xlws.FILTER(Table_ThuChiTC[Giá trị GD],
(Table_ThuChiTC[Loại GD]="THU")*
(Table_ThuChiTC[Nội dung GD]=Sheet_ThuChiTC!$F$9)*
(Table_ThuChiTC[Ngày GD]&gt;=Table_Datafeed[[#This Row],[Kỳ]])*
(Table_ThuChiTC[Ngày GD]&lt;DATE(Table_Datafeed[[#This Row],[Năm]],Table_Datafeed[[#This Row],[Tháng]]+1,1))
)),0)</f>
        <v>0</v>
      </c>
      <c r="AY6" s="198" cm="1">
        <f t="array" ref="AY6"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f>
        <v>0</v>
      </c>
      <c r="AZ6" s="151" cm="1">
        <f t="array" ref="AZ6"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f>
        <v>1</v>
      </c>
      <c r="BA6" s="198">
        <f>+Table_Datafeed[[#This Row],[Số dư tiền mặt vận hành]]+
+SUM(Table_Datafeed[[#This Row],[Tiền lời đầu tư]:[Huy động vốn góp]])</f>
        <v>0</v>
      </c>
      <c r="BB6" s="198" cm="1">
        <f t="array" ref="BB6"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f>
        <v>0</v>
      </c>
      <c r="BC6" s="198">
        <f>+Table_Datafeed[[#This Row],[Số dư tiền mặt nguồn vốn]]+Table_Datafeed[[#This Row],[Trả cổ tức]]</f>
        <v>0</v>
      </c>
      <c r="BE6" s="130"/>
      <c r="BF6" s="134"/>
      <c r="BG6" s="134"/>
      <c r="BH6" s="134"/>
      <c r="BI6" s="134"/>
      <c r="BJ6" s="134"/>
      <c r="BK6" s="134"/>
      <c r="CO6" s="197"/>
      <c r="CP6" s="132">
        <v>2024</v>
      </c>
      <c r="CQ6" s="162" cm="1">
        <f t="array" ref="CQ6">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6" s="439" t="str" cm="1">
        <f t="array" ref="CR6"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6" s="441" t="str">
        <f>IFERROR(TEXT(Dashboard_GiaTriNam[[#This Row],[Giá trị đạt]],LOOKUP(Dashboard_GiaTriNam[[#This Row],[Giá trị đạt]],Pivot!$B$6:$B$12,Pivot!$C$6:$C$12)),"")</f>
        <v/>
      </c>
      <c r="CT6" s="440" t="e" cm="1" vm="1">
        <f t="array" ref="CT6">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#VALUE!</v>
      </c>
      <c r="CU6" s="199"/>
      <c r="CV6" s="138" t="s">
        <v>74</v>
      </c>
      <c r="CW6" s="166" cm="1">
        <f t="array" ref="CW6">IFERROR(SUM(_xlfn._xlws.FILTER(Table_Datafeed[Điểm hòa vốn],
(Table_Datafeed[Kỳ] &gt;= Pivot!$E$2)*
(Table_Datafeed[Kỳ]&lt;=Pivot!$E$3)
)),0)</f>
        <v>0</v>
      </c>
      <c r="DC6" s="160"/>
      <c r="DE6" s="160"/>
      <c r="DF6" s="144"/>
    </row>
    <row r="7" spans="2:110" ht="18" customHeight="1" x14ac:dyDescent="0.3">
      <c r="BE7" s="130"/>
      <c r="BF7" s="134"/>
      <c r="BG7" s="134"/>
      <c r="BH7" s="134"/>
      <c r="BI7" s="134"/>
      <c r="BJ7" s="134"/>
      <c r="BK7" s="134"/>
      <c r="CO7" s="197"/>
      <c r="CU7" s="199"/>
      <c r="CV7" s="138" t="s">
        <v>33</v>
      </c>
      <c r="CW7" s="166" cm="1">
        <f t="array" ref="CW7">IFERROR(SUM(_xlfn._xlws.FILTER(Table_Datafeed[Doanh thu],
(Table_Datafeed[Kỳ] &gt;= Pivot!$E$2)*
(Table_Datafeed[Kỳ]&lt;=Pivot!$E$3)
)),0)</f>
        <v>0</v>
      </c>
      <c r="CX7" s="138" t="str">
        <f>IFERROR(TEXT(CW7,LOOKUP(CW7,Pivot!$B$6:$B$12,Pivot!$C$6:$C$12)),"")</f>
        <v/>
      </c>
      <c r="CZ7" s="138" cm="1">
        <f t="array" ref="CZ7">CW7-
IFERROR(SUM(_xlfn._xlws.FILTER(Table_Datafeed[Doanh thu],
(Table_Datafeed[Kỳ] &gt;= DATE(YEAR(Pivot!$E$2)-1,MONTH(Pivot!$E$2),1))*
(Table_Datafeed[Kỳ]&lt;=DATE(YEAR(Pivot!$E$3)-1,MONTH(Pivot!$E$3),1))
)),0)</f>
        <v>0</v>
      </c>
      <c r="DB7" s="138" t="str">
        <f>IFERROR(TEXT(CZ7,LOOKUP(CZ7,Pivot!$B$6:$B$12,Pivot!$C$6:$C$12)),"")</f>
        <v/>
      </c>
      <c r="DC7" s="160" t="e">
        <f>CW7/(CW7-CZ7)-1</f>
        <v>#DIV/0!</v>
      </c>
      <c r="DE7" s="160"/>
      <c r="DF7" s="144"/>
    </row>
    <row r="8" spans="2:110" ht="18" customHeight="1" x14ac:dyDescent="0.3">
      <c r="BE8" s="130"/>
      <c r="BF8" s="134"/>
      <c r="BG8" s="134"/>
      <c r="BH8" s="134"/>
      <c r="BI8" s="134"/>
      <c r="BJ8" s="134"/>
      <c r="BK8" s="134"/>
      <c r="CO8" s="197"/>
      <c r="CU8" s="199"/>
      <c r="CV8" s="138" t="s">
        <v>123</v>
      </c>
      <c r="CW8" s="166" cm="1">
        <f t="array" ref="CW8">IFERROR(SUM(_xlfn._xlws.FILTER(Table_Datafeed[Lợi nhuận kinh doanh],
(Table_Datafeed[Kỳ] &gt;= Pivot!$E$2)*
(Table_Datafeed[Kỳ]&lt;=Pivot!$E$3)
)),0)</f>
        <v>0</v>
      </c>
      <c r="CX8" s="138" t="str">
        <f>IFERROR(TEXT(CW8,LOOKUP(CW8,Pivot!$B$6:$B$12,Pivot!$C$6:$C$12)),"")</f>
        <v/>
      </c>
      <c r="CY8" s="179" t="e" cm="1" vm="1">
        <f t="array" ref="CY8">CW8/
(-(
SUM(_xlfn._xlws.FILTER(Table_Datafeed[CP nguyên liệu],
(Table_Datafeed[Kỳ] &gt;= Pivot!$E$2)*
(Table_Datafeed[Kỳ] &lt;= Pivot!$E$3)
))
+SUM(_xlfn._xlws.FILTER(Table_Datafeed[CP tiện ích sản xuất],
(Table_Datafeed[Kỳ] &gt;= Pivot!$E$2)*
(Table_Datafeed[Kỳ] &lt;= Pivot!$E$3)
))
+SUM(_xlfn._xlws.FILTER(Table_Datafeed[Chi phí cố định],
(Table_Datafeed[Kỳ] &gt;= Pivot!$E$2)*
(Table_Datafeed[Kỳ] &lt;= Pivot!$E$3)
))
-SUM(_xlfn._xlws.FILTER(Table_Datafeed[CP khấu hao],
(Table_Datafeed[Kỳ] &gt;= Pivot!$E$2)*
(Table_Datafeed[Kỳ] &lt;= Pivot!$E$3)
))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#VALUE!</v>
      </c>
      <c r="CZ8" s="138" cm="1">
        <f t="array" ref="CZ8">CW8-
IFERROR(SUM(_xlfn._xlws.FILTER(Table_Datafeed[Lợi nhuận kinh doanh],
(Table_Datafeed[Kỳ] &gt;= DATE(YEAR(Pivot!$E$2)-1,MONTH(Pivot!$E$2),1))*
(Table_Datafeed[Kỳ]&lt;=DATE(YEAR(Pivot!$E$3)-1,MONTH(Pivot!$E$3),1))
)),0)</f>
        <v>0</v>
      </c>
      <c r="DA8" s="138" t="str" cm="1">
        <f t="array" ref="DA8">IF(CW8-
IFERROR(SUM(_xlfn._xlws.FILTER(Table_Datafeed[Lợi nhuận kinh doanh],
(Table_Datafeed[Kỳ] &gt;= DATE(YEAR(Pivot!$E$2)-1,MONTH(Pivot!$E$2),1))*
(Table_Datafeed[Kỳ]&lt;=DATE(YEAR(Pivot!$E$3)-1,MONTH(Pivot!$E$3),1))
)),0)&gt;0,"tăng",
IF(CW8-
IFERROR(SUM(_xlfn._xlws.FILTER(Table_Datafeed[Lợi nhuận kinh doanh],
(Table_Datafeed[Kỳ] &gt;= DATE(YEAR(Pivot!$E$2)-1,MONTH(Pivot!$E$2),1))*
(Table_Datafeed[Kỳ]&lt;=DATE(YEAR(Pivot!$E$3)-1,MONTH(Pivot!$E$3),1))
)),0)&lt;0,"giảm","không đổi"))</f>
        <v>không đổi</v>
      </c>
      <c r="DB8" s="138" t="str">
        <f>IFERROR(TEXT(ABS(CZ8),LOOKUP(ABS(CZ8),Pivot!$B$6:$B$12,Pivot!$C$6:$C$12)),"")</f>
        <v/>
      </c>
      <c r="DC8" s="144" t="e" cm="1" vm="2">
        <f t="array" ref="DC8">ABS(CY8-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#VALUE!</v>
      </c>
      <c r="DD8" s="138" t="e" cm="1" vm="2">
        <f t="array" ref="DD8">IF(CY8-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#VALUE!</v>
      </c>
      <c r="DE8" s="144" cm="1">
        <f t="array" ref="DE8">IFERROR(
SUM(_xlfn._xlws.FILTER(Table_Datafeed[Lợi nhuận biến đổi],
(Table_Datafeed[Kỳ] &gt;=Pivot!$E$2)*
(Table_Datafeed[Kỳ] &lt;=Pivot!$E$3)
)) /
SUM(_xlfn._xlws.FILTER(Table_Datafeed[Doanh thu],
(Table_Datafeed[Kỳ] &gt;=Pivot!$E$2)*
(Table_Datafeed[Kỳ] &lt;=Pivot!$E$3)
)),0)</f>
        <v>0</v>
      </c>
      <c r="DF8" s="166" cm="1">
        <f t="array" ref="DF8">ROUND(1000000*(DE8-IFERROR(
SUM(_xlfn._xlws.FILTER(Table_Datafeed[Lợi nhuận biến đổi],
(Table_Datafeed[Kỳ] &gt;=DATE(YEAR(Pivot!$E$2)-1, MONTH(Pivot!$E$2),1))*
(Table_Datafeed[Kỳ] &lt;=DATE(YEAR(Pivot!$E$3)-1, MONTH(Pivot!$E$3),1))
)) /
SUM(_xlfn._xlws.FILTER(Table_Datafeed[Doanh thu],
(Table_Datafeed[Kỳ] &gt;=DATE(YEAR(Pivot!$E$2)-1, MONTH(Pivot!$E$2),1))*
(Table_Datafeed[Kỳ] &lt;=DATE(YEAR(Pivot!$E$3)-1, MONTH(Pivot!$E$3),1))
)),0)),-4)</f>
        <v>0</v>
      </c>
    </row>
    <row r="9" spans="2:110" ht="18" customHeight="1" x14ac:dyDescent="0.3">
      <c r="BE9" s="130"/>
      <c r="BF9" s="134"/>
      <c r="BG9" s="134"/>
      <c r="BH9" s="134"/>
      <c r="BI9" s="134"/>
      <c r="BJ9" s="134"/>
      <c r="BK9" s="134"/>
      <c r="CO9" s="197"/>
      <c r="CU9" s="199"/>
      <c r="CV9" s="138" t="s">
        <v>124</v>
      </c>
      <c r="CW9" s="166" cm="1">
        <f t="array" ref="CW9">IFERROR(SUM(_xlfn._xlws.FILTER(Table_Datafeed[Dòng tiền vận hành],
(Table_Datafeed[Kỳ] &gt;= Pivot!$E$2)*
(Table_Datafeed[Kỳ]&lt;=Pivot!$E$3)
)),0)</f>
        <v>0</v>
      </c>
      <c r="CX9" s="138" t="str">
        <f>IFERROR(TEXT(CW9,LOOKUP(CW9,Pivot!$B$6:$B$12,Pivot!$C$6:$C$12)),"")</f>
        <v/>
      </c>
      <c r="CY9" s="179" cm="1">
        <f t="array" ref="CY9">CW9/
(
-(
IFERROR(SUM(_xlfn._xlws.FILTER(Table_Datafeed[Tiền chi kinh doanh],
(Table_Datafeed[Kỳ] &gt;= Pivot!$E$2)*
(Table_Datafeed[Kỳ] &lt;= Pivot!$E$3)
)),0)
+IFERROR(SUM(_xlfn._xlws.FILTER(Table_Datafeed[Tiền nộp NN],
(Table_Datafeed[Kỳ] &gt;= Pivot!$E$2)*
(Table_Datafeed[Kỳ] &lt;= Pivot!$E$3)
)),0)
+IFERROR(SUM(_xlfn._xlws.FILTER(Table_Datafeed[Tiền trả gốc &amp; lãi],
(Table_Datafeed[Kỳ] &gt;= Pivot!$E$2)*
(Table_Datafeed[Kỳ] &lt;= Pivot!$E$3)
)),0)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0</v>
      </c>
      <c r="CZ9" s="138" cm="1">
        <f t="array" ref="CZ9">CW9-
IFERROR(SUM(_xlfn._xlws.FILTER(Table_Datafeed[Dòng tiền vận hành],
(Table_Datafeed[Kỳ] &gt;= DATE(YEAR(Pivot!$E$2)-1,MONTH(Pivot!$E$2),1))*
(Table_Datafeed[Kỳ]&lt;=DATE(YEAR(Pivot!$E$3)-1,MONTH(Pivot!$E$3),1))
)),0)</f>
        <v>0</v>
      </c>
      <c r="DA9" s="138" t="str" cm="1">
        <f t="array" ref="DA9">IF(CW9-
IFERROR(SUM(_xlfn._xlws.FILTER(Table_Datafeed[Dòng tiền vận hành],
(Table_Datafeed[Kỳ] &gt;= DATE(YEAR(Pivot!$E$2)-1,MONTH(Pivot!$E$2),1))*
(Table_Datafeed[Kỳ]&lt;=DATE(YEAR(Pivot!$E$3)-1,MONTH(Pivot!$E$3),1))
)),0)&gt;0,"tăng",
IF(CW9-
IFERROR(SUM(_xlfn._xlws.FILTER(Table_Datafeed[Dòng tiền vận hành],
(Table_Datafeed[Kỳ] &gt;= DATE(YEAR(Pivot!$E$2)-1,MONTH(Pivot!$E$2),1))*
(Table_Datafeed[Kỳ]&lt;=DATE(YEAR(Pivot!$E$3)-1,MONTH(Pivot!$E$3),1))
)),0)&lt;0,"giảm","không đổi"))</f>
        <v>không đổi</v>
      </c>
      <c r="DB9" s="138" t="str">
        <f>IFERROR(TEXT(ABS(CZ9),LOOKUP(ABS(CZ9),Pivot!$B$6:$B$12,Pivot!$C$6:$C$12)),"")</f>
        <v/>
      </c>
      <c r="DC9" s="144" cm="1">
        <f t="array" ref="DC9">ABS(CY9-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0</v>
      </c>
      <c r="DD9" s="138" t="str" cm="1">
        <f t="array" ref="DD9" xml:space="preserve">
IF(CY9-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tăng</v>
      </c>
      <c r="DE9" s="144" cm="1">
        <f t="array" ref="DE9">IFERROR(
SUM(_xlfn._xlws.FILTER(Table_Datafeed[Tiền bán hàng],
(Table_Datafeed[Kỳ] &gt;=Pivot!$E$2)*
(Table_Datafeed[Kỳ] &lt;=Pivot!$E$3)
)) /
SUM(_xlfn._xlws.FILTER(Table_Datafeed[Doanh thu],
(Table_Datafeed[Kỳ] &gt;=Pivot!$E$2)*
(Table_Datafeed[Kỳ] &lt;=Pivot!$E$3)
)),0)</f>
        <v>0</v>
      </c>
      <c r="DF9" s="166" cm="1">
        <f t="array" ref="DF9">ROUND(1000000*(DE9-IFERROR(
SUM(_xlfn._xlws.FILTER(Table_Datafeed[Tiền bán hàng],
(Table_Datafeed[Kỳ] &gt;=DATE(YEAR(Pivot!$E$2)-1, MONTH(Pivot!$E$2),1))*
(Table_Datafeed[Kỳ] &lt;=DATE(YEAR(Pivot!$E$3)-1, MONTH(Pivot!$E$3),1))
)) /
SUM(_xlfn._xlws.FILTER(Table_Datafeed[Doanh thu],
(Table_Datafeed[Kỳ] &gt;=DATE(YEAR(Pivot!$E$2)-1, MONTH(Pivot!$E$2),1))*
(Table_Datafeed[Kỳ] &lt;=DATE(YEAR(Pivot!$E$3)-1, MONTH(Pivot!$E$3),1))
)),0)),-4)</f>
        <v>0</v>
      </c>
    </row>
    <row r="10" spans="2:110" ht="18" customHeight="1" x14ac:dyDescent="0.3">
      <c r="BE10" s="130"/>
      <c r="BF10" s="134"/>
      <c r="BG10" s="134"/>
      <c r="BH10" s="134"/>
      <c r="BI10" s="134"/>
      <c r="BJ10" s="134"/>
      <c r="BK10" s="134"/>
      <c r="CO10" s="197"/>
      <c r="CU10" s="199"/>
      <c r="CV10" s="142" t="s">
        <v>125</v>
      </c>
      <c r="DD10" s="144"/>
      <c r="DE10" s="144"/>
    </row>
    <row r="11" spans="2:110" ht="18" customHeight="1" x14ac:dyDescent="0.3">
      <c r="BE11" s="130"/>
      <c r="BF11" s="134"/>
      <c r="BG11" s="134"/>
      <c r="BH11" s="134"/>
      <c r="BI11" s="134"/>
      <c r="BJ11" s="134"/>
      <c r="BK11" s="134"/>
      <c r="CO11" s="197"/>
      <c r="CU11" s="199"/>
      <c r="CV11" s="138" t="str" cm="1">
        <f t="array" ref="CV11">_xlfn.IFS(
($CV$12)=1, "sản lượng trong kỳ",
($CV$12)=2, "doanh thu trong kỳ",
($CV$12)=3, "lợi nhuận trong kỳ",
($CV$12)=4, "dòng tiền trong kỳ"
)</f>
        <v>sản lượng trong kỳ</v>
      </c>
      <c r="CX11" s="138">
        <f>COUNTIF(Dashboard_BCQT!$CX$14:$CX$25, "&gt;0")</f>
        <v>0</v>
      </c>
      <c r="DD11" s="144"/>
      <c r="DE11" s="144"/>
    </row>
    <row r="12" spans="2:110" ht="18" customHeight="1" x14ac:dyDescent="0.3">
      <c r="BE12" s="130"/>
      <c r="BF12" s="134"/>
      <c r="BG12" s="134"/>
      <c r="BH12" s="134"/>
      <c r="BI12" s="134"/>
      <c r="BJ12" s="134"/>
      <c r="BK12" s="134"/>
      <c r="CO12" s="197"/>
      <c r="CU12" s="199"/>
      <c r="CV12" s="138">
        <v>1</v>
      </c>
      <c r="CX12" s="144" t="e">
        <f>SUM(Dashboard_BCQT!$CX$14:$CX$25)/SUM(Dashboard_BCQT!$CW$14:$CW$25)</f>
        <v>#DIV/0!</v>
      </c>
      <c r="DD12" s="144"/>
      <c r="DE12" s="144"/>
    </row>
    <row r="13" spans="2:110" ht="18" customHeight="1" x14ac:dyDescent="0.3">
      <c r="BE13" s="130"/>
      <c r="BF13" s="134"/>
      <c r="BG13" s="134"/>
      <c r="BH13" s="134"/>
      <c r="BI13" s="134"/>
      <c r="BJ13" s="134"/>
      <c r="BK13" s="134"/>
      <c r="CO13" s="197"/>
      <c r="CU13" s="199"/>
      <c r="CV13" s="138" t="s">
        <v>1</v>
      </c>
      <c r="CW13" s="138" t="s">
        <v>66</v>
      </c>
      <c r="CX13" s="138" t="s">
        <v>126</v>
      </c>
      <c r="CY13" s="138" t="s">
        <v>127</v>
      </c>
      <c r="CZ13" s="138" t="s">
        <v>68</v>
      </c>
      <c r="DD13" s="144"/>
      <c r="DE13" s="144"/>
    </row>
    <row r="14" spans="2:110" ht="18" customHeight="1" x14ac:dyDescent="0.3">
      <c r="BE14" s="130"/>
      <c r="BF14" s="134"/>
      <c r="BG14" s="134"/>
      <c r="BH14" s="134"/>
      <c r="BI14" s="134"/>
      <c r="BJ14" s="134"/>
      <c r="BK14" s="134"/>
      <c r="CO14" s="197"/>
      <c r="CU14" s="199"/>
      <c r="CV14" s="138">
        <v>1</v>
      </c>
      <c r="CW14" s="138" cm="1">
        <f t="array" ref="CW14">IFERROR(
_xlfn.IFS(
($CV$12)=1,
SUM(_xlfn._xlws.FILTER(Table_Datafeed[Sản lượng],
(Table_Datafeed[Kỳ]&gt;=Pivot!$E$2)*
(Table_Datafeed[Kỳ]&lt;=Pivot!$E$3)*
(Table_Datafeed[Tháng] = $CV14))),
($CV$12)=2,
SUM(_xlfn._xlws.FILTER(Table_Datafeed[Doanh thu],
(Table_Datafeed[Kỳ]&gt;=Pivot!$E$2)*
(Table_Datafeed[Kỳ]&lt;=Pivot!$E$3)*
(Table_Datafeed[Tháng] = $CV14))),
($CV$12)=3,
SUM(_xlfn._xlws.FILTER(Table_Datafeed[Lợi nhuận kinh doanh],
(Table_Datafeed[Kỳ]&gt;=Pivot!$E$2)*
(Table_Datafeed[Kỳ]&lt;=Pivot!$E$3)*
(Table_Datafeed[Tháng] =$CV14))),
($CV$12)=4,
SUM(_xlfn._xlws.FILTER(Table_Datafeed[Dòng tiền vận hành],
(Table_Datafeed[Kỳ]&gt;=Pivot!$E$2)*
(Table_Datafeed[Kỳ]&lt;=Pivot!$E$3)*
(Table_Datafeed[Tháng] = $CV14)))
),0)</f>
        <v>0</v>
      </c>
      <c r="CX14" s="138" cm="1">
        <f t="array" ref="CX14" xml:space="preserve">
IFERROR(
_xlfn.IFS(
AND($CV$12=1, $CZ14&gt;=$BM$18),$CW14,
AND($CV$12=2, $CZ14&gt;=0),$CW14,
AND($CV$12=3, $CZ14&gt;=$BM$24),$CW14,
AND($CV$12=4, $CZ14&gt;=$BM$27),$CW14
),"")</f>
        <v>0</v>
      </c>
      <c r="CY14" s="138" t="str">
        <f>IFERROR(TEXT($CX14,LOOKUP($CX14,Pivot!$B$6:$B$12,Pivot!$C$6:$C$12)),"")</f>
        <v/>
      </c>
      <c r="CZ14" s="138" t="str" cm="1">
        <f t="array" ref="CZ14">IFERROR(
_xlfn.IFS(
$CV$12=1,
AVERAGE(_xlfn._xlws.FILTER(Table_Datafeed[Tỷ lệ hòa vốn],
(Table_Datafeed[Kỳ] &gt;= Pivot!$E$2)*
(Table_Datafeed[Kỳ] &lt;= Pivot!$E$3)*
(Table_Datafeed[Tháng] = $CV14))),
$CV$12=2, $CW14/$BM$21-1,
$CV$12=3,
AVERAGE(_xlfn._xlws.FILTER(Table_Datafeed[Hiệu quả lợi nhuận],
(Table_Datafeed[Kỳ] &gt;= Pivot!$E$2)*
(Table_Datafeed[Kỳ] &lt;= Pivot!$E$3)*
(Table_Datafeed[Tháng] = $CV14))),
$CV$12=4,
AVERAGE(_xlfn._xlws.FILTER(Table_Datafeed[Hiệu quả dòng tiền kinh doanh],
(Table_Datafeed[Kỳ] &gt;= Pivot!$E$2)*
(Table_Datafeed[Kỳ] &lt;= Pivot!$E$3)*
(Table_Datafeed[Tháng] = $CV14)))
),"")</f>
        <v/>
      </c>
      <c r="DA14" s="144"/>
      <c r="DD14" s="144"/>
      <c r="DE14" s="144"/>
    </row>
    <row r="15" spans="2:110" ht="18" customHeight="1" x14ac:dyDescent="0.3">
      <c r="BE15" s="130"/>
      <c r="BF15" s="134"/>
      <c r="BG15" s="134"/>
      <c r="BH15" s="134"/>
      <c r="BI15" s="134"/>
      <c r="BJ15" s="134"/>
      <c r="BK15" s="134"/>
      <c r="BM15" s="152" t="s">
        <v>128</v>
      </c>
      <c r="CO15" s="197"/>
      <c r="CU15" s="199"/>
      <c r="CV15" s="138">
        <v>2</v>
      </c>
      <c r="CW15" s="138" cm="1">
        <f t="array" ref="CW15">IFERROR(
_xlfn.IFS(
($CV$12)=1,
SUM(_xlfn._xlws.FILTER(Table_Datafeed[Sản lượng],
(Table_Datafeed[Kỳ]&gt;=Pivot!$E$2)*
(Table_Datafeed[Kỳ]&lt;=Pivot!$E$3)*
(Table_Datafeed[Tháng] = $CV15))),
($CV$12)=2,
SUM(_xlfn._xlws.FILTER(Table_Datafeed[Doanh thu],
(Table_Datafeed[Kỳ]&gt;=Pivot!$E$2)*
(Table_Datafeed[Kỳ]&lt;=Pivot!$E$3)*
(Table_Datafeed[Tháng] = $CV15))),
($CV$12)=3,
SUM(_xlfn._xlws.FILTER(Table_Datafeed[Lợi nhuận kinh doanh],
(Table_Datafeed[Kỳ]&gt;=Pivot!$E$2)*
(Table_Datafeed[Kỳ]&lt;=Pivot!$E$3)*
(Table_Datafeed[Tháng] =$CV15))),
($CV$12)=4,
SUM(_xlfn._xlws.FILTER(Table_Datafeed[Dòng tiền vận hành],
(Table_Datafeed[Kỳ]&gt;=Pivot!$E$2)*
(Table_Datafeed[Kỳ]&lt;=Pivot!$E$3)*
(Table_Datafeed[Tháng] = $CV15)))
),0)</f>
        <v>0</v>
      </c>
      <c r="CX15" s="138" cm="1">
        <f t="array" ref="CX15" xml:space="preserve">
IFERROR(
_xlfn.IFS(
AND($CV$12=1, $CZ15&gt;=$BM$18),$CW15,
AND($CV$12=2, $CZ15&gt;=0),$CW15,
AND($CV$12=3, $CZ15&gt;=$BM$24),$CW15,
AND($CV$12=4, $CZ15&gt;=$BM$27),$CW15
),"")</f>
        <v>0</v>
      </c>
      <c r="CY15" s="138" t="str">
        <f>IFERROR(TEXT($CX15,LOOKUP($CX15,Pivot!$B$6:$B$12,Pivot!$C$6:$C$12)),"")</f>
        <v/>
      </c>
      <c r="CZ15" s="138" t="str" cm="1">
        <f t="array" ref="CZ15">IFERROR(
_xlfn.IFS(
$CV$12=1,
AVERAGE(_xlfn._xlws.FILTER(Table_Datafeed[Tỷ lệ hòa vốn],
(Table_Datafeed[Kỳ] &gt;= Pivot!$E$2)*
(Table_Datafeed[Kỳ] &lt;= Pivot!$E$3)*
(Table_Datafeed[Tháng] = $CV15))),
$CV$12=2, $CW15/$BM$21-1,
$CV$12=3,
AVERAGE(_xlfn._xlws.FILTER(Table_Datafeed[Hiệu quả lợi nhuận],
(Table_Datafeed[Kỳ] &gt;= Pivot!$E$2)*
(Table_Datafeed[Kỳ] &lt;= Pivot!$E$3)*
(Table_Datafeed[Tháng] = $CV15))),
$CV$12=4,
AVERAGE(_xlfn._xlws.FILTER(Table_Datafeed[Hiệu quả dòng tiền kinh doanh],
(Table_Datafeed[Kỳ] &gt;= Pivot!$E$2)*
(Table_Datafeed[Kỳ] &lt;= Pivot!$E$3)*
(Table_Datafeed[Tháng] = $CV15)))
),"")</f>
        <v/>
      </c>
      <c r="DA15" s="144"/>
      <c r="DD15" s="144"/>
      <c r="DE15" s="144"/>
    </row>
    <row r="16" spans="2:110" ht="18" customHeight="1" x14ac:dyDescent="0.3">
      <c r="BE16" s="130"/>
      <c r="BF16" s="134"/>
      <c r="BG16" s="134"/>
      <c r="BH16" s="134"/>
      <c r="BI16" s="134"/>
      <c r="BJ16" s="134"/>
      <c r="BK16" s="134"/>
      <c r="BM16" s="200"/>
      <c r="BR16" s="201"/>
      <c r="BS16" s="201"/>
      <c r="CO16" s="197"/>
      <c r="CU16" s="199"/>
      <c r="CV16" s="138">
        <v>3</v>
      </c>
      <c r="CW16" s="138" cm="1">
        <f t="array" ref="CW16">IFERROR(
_xlfn.IFS(
($CV$12)=1,
SUM(_xlfn._xlws.FILTER(Table_Datafeed[Sản lượng],
(Table_Datafeed[Kỳ]&gt;=Pivot!$E$2)*
(Table_Datafeed[Kỳ]&lt;=Pivot!$E$3)*
(Table_Datafeed[Tháng] = $CV16))),
($CV$12)=2,
SUM(_xlfn._xlws.FILTER(Table_Datafeed[Doanh thu],
(Table_Datafeed[Kỳ]&gt;=Pivot!$E$2)*
(Table_Datafeed[Kỳ]&lt;=Pivot!$E$3)*
(Table_Datafeed[Tháng] = $CV16))),
($CV$12)=3,
SUM(_xlfn._xlws.FILTER(Table_Datafeed[Lợi nhuận kinh doanh],
(Table_Datafeed[Kỳ]&gt;=Pivot!$E$2)*
(Table_Datafeed[Kỳ]&lt;=Pivot!$E$3)*
(Table_Datafeed[Tháng] =$CV16))),
($CV$12)=4,
SUM(_xlfn._xlws.FILTER(Table_Datafeed[Dòng tiền vận hành],
(Table_Datafeed[Kỳ]&gt;=Pivot!$E$2)*
(Table_Datafeed[Kỳ]&lt;=Pivot!$E$3)*
(Table_Datafeed[Tháng] = $CV16)))
),0)</f>
        <v>0</v>
      </c>
      <c r="CX16" s="138" cm="1">
        <f t="array" ref="CX16" xml:space="preserve">
IFERROR(
_xlfn.IFS(
AND($CV$12=1, $CZ16&gt;=$BM$18),$CW16,
AND($CV$12=2, $CZ16&gt;=0),$CW16,
AND($CV$12=3, $CZ16&gt;=$BM$24),$CW16,
AND($CV$12=4, $CZ16&gt;=$BM$27),$CW16
),"")</f>
        <v>0</v>
      </c>
      <c r="CY16" s="138" t="str">
        <f>IFERROR(TEXT($CX16,LOOKUP($CX16,Pivot!$B$6:$B$12,Pivot!$C$6:$C$12)),"")</f>
        <v/>
      </c>
      <c r="CZ16" s="138" t="str" cm="1">
        <f t="array" ref="CZ16">IFERROR(
_xlfn.IFS(
$CV$12=1,
AVERAGE(_xlfn._xlws.FILTER(Table_Datafeed[Tỷ lệ hòa vốn],
(Table_Datafeed[Kỳ] &gt;= Pivot!$E$2)*
(Table_Datafeed[Kỳ] &lt;= Pivot!$E$3)*
(Table_Datafeed[Tháng] = $CV16))),
$CV$12=2, $CW16/$BM$21-1,
$CV$12=3,
AVERAGE(_xlfn._xlws.FILTER(Table_Datafeed[Hiệu quả lợi nhuận],
(Table_Datafeed[Kỳ] &gt;= Pivot!$E$2)*
(Table_Datafeed[Kỳ] &lt;= Pivot!$E$3)*
(Table_Datafeed[Tháng] = $CV16))),
$CV$12=4,
AVERAGE(_xlfn._xlws.FILTER(Table_Datafeed[Hiệu quả dòng tiền kinh doanh],
(Table_Datafeed[Kỳ] &gt;= Pivot!$E$2)*
(Table_Datafeed[Kỳ] &lt;= Pivot!$E$3)*
(Table_Datafeed[Tháng] = $CV16)))
),"")</f>
        <v/>
      </c>
      <c r="DA16" s="144"/>
      <c r="DD16" s="144"/>
      <c r="DE16" s="144"/>
    </row>
    <row r="17" spans="57:109" ht="18" customHeight="1" x14ac:dyDescent="0.3">
      <c r="BE17" s="130"/>
      <c r="BF17" s="134"/>
      <c r="BG17" s="134"/>
      <c r="BH17" s="134"/>
      <c r="BI17" s="134"/>
      <c r="BJ17" s="134"/>
      <c r="BK17" s="134"/>
      <c r="BM17" s="153" t="s">
        <v>75</v>
      </c>
      <c r="CO17" s="197"/>
      <c r="CU17" s="199"/>
      <c r="CV17" s="138">
        <v>4</v>
      </c>
      <c r="CW17" s="138" cm="1">
        <f t="array" ref="CW17">IFERROR(
_xlfn.IFS(
($CV$12)=1,
SUM(_xlfn._xlws.FILTER(Table_Datafeed[Sản lượng],
(Table_Datafeed[Kỳ]&gt;=Pivot!$E$2)*
(Table_Datafeed[Kỳ]&lt;=Pivot!$E$3)*
(Table_Datafeed[Tháng] = $CV17))),
($CV$12)=2,
SUM(_xlfn._xlws.FILTER(Table_Datafeed[Doanh thu],
(Table_Datafeed[Kỳ]&gt;=Pivot!$E$2)*
(Table_Datafeed[Kỳ]&lt;=Pivot!$E$3)*
(Table_Datafeed[Tháng] = $CV17))),
($CV$12)=3,
SUM(_xlfn._xlws.FILTER(Table_Datafeed[Lợi nhuận kinh doanh],
(Table_Datafeed[Kỳ]&gt;=Pivot!$E$2)*
(Table_Datafeed[Kỳ]&lt;=Pivot!$E$3)*
(Table_Datafeed[Tháng] =$CV17))),
($CV$12)=4,
SUM(_xlfn._xlws.FILTER(Table_Datafeed[Dòng tiền vận hành],
(Table_Datafeed[Kỳ]&gt;=Pivot!$E$2)*
(Table_Datafeed[Kỳ]&lt;=Pivot!$E$3)*
(Table_Datafeed[Tháng] = $CV17)))
),0)</f>
        <v>0</v>
      </c>
      <c r="CX17" s="138" cm="1">
        <f t="array" ref="CX17" xml:space="preserve">
IFERROR(
_xlfn.IFS(
AND($CV$12=1, $CZ17&gt;=$BM$18),$CW17,
AND($CV$12=2, $CZ17&gt;=0),$CW17,
AND($CV$12=3, $CZ17&gt;=$BM$24),$CW17,
AND($CV$12=4, $CZ17&gt;=$BM$27),$CW17
),"")</f>
        <v>0</v>
      </c>
      <c r="CY17" s="138" t="str">
        <f>IFERROR(TEXT($CX17,LOOKUP($CX17,Pivot!$B$6:$B$12,Pivot!$C$6:$C$12)),"")</f>
        <v/>
      </c>
      <c r="CZ17" s="138" t="str" cm="1">
        <f t="array" ref="CZ17">IFERROR(
_xlfn.IFS(
$CV$12=1,
AVERAGE(_xlfn._xlws.FILTER(Table_Datafeed[Tỷ lệ hòa vốn],
(Table_Datafeed[Kỳ] &gt;= Pivot!$E$2)*
(Table_Datafeed[Kỳ] &lt;= Pivot!$E$3)*
(Table_Datafeed[Tháng] = $CV17))),
$CV$12=2, $CW17/$BM$21-1,
$CV$12=3,
AVERAGE(_xlfn._xlws.FILTER(Table_Datafeed[Hiệu quả lợi nhuận],
(Table_Datafeed[Kỳ] &gt;= Pivot!$E$2)*
(Table_Datafeed[Kỳ] &lt;= Pivot!$E$3)*
(Table_Datafeed[Tháng] = $CV17))),
$CV$12=4,
AVERAGE(_xlfn._xlws.FILTER(Table_Datafeed[Hiệu quả dòng tiền kinh doanh],
(Table_Datafeed[Kỳ] &gt;= Pivot!$E$2)*
(Table_Datafeed[Kỳ] &lt;= Pivot!$E$3)*
(Table_Datafeed[Tháng] = $CV17)))
),"")</f>
        <v/>
      </c>
      <c r="DA17" s="144"/>
      <c r="DD17" s="144"/>
      <c r="DE17" s="144"/>
    </row>
    <row r="18" spans="57:109" ht="18" customHeight="1" x14ac:dyDescent="0.3">
      <c r="BE18" s="130"/>
      <c r="BF18" s="134"/>
      <c r="BG18" s="134"/>
      <c r="BH18" s="134"/>
      <c r="BI18" s="134"/>
      <c r="BJ18" s="134"/>
      <c r="BK18" s="134"/>
      <c r="BM18" s="154">
        <v>0.05</v>
      </c>
      <c r="CO18" s="197"/>
      <c r="CU18" s="199"/>
      <c r="CV18" s="138">
        <v>5</v>
      </c>
      <c r="CW18" s="138" cm="1">
        <f t="array" ref="CW18">IFERROR(
_xlfn.IFS(
($CV$12)=1,
SUM(_xlfn._xlws.FILTER(Table_Datafeed[Sản lượng],
(Table_Datafeed[Kỳ]&gt;=Pivot!$E$2)*
(Table_Datafeed[Kỳ]&lt;=Pivot!$E$3)*
(Table_Datafeed[Tháng] = $CV18))),
($CV$12)=2,
SUM(_xlfn._xlws.FILTER(Table_Datafeed[Doanh thu],
(Table_Datafeed[Kỳ]&gt;=Pivot!$E$2)*
(Table_Datafeed[Kỳ]&lt;=Pivot!$E$3)*
(Table_Datafeed[Tháng] = $CV18))),
($CV$12)=3,
SUM(_xlfn._xlws.FILTER(Table_Datafeed[Lợi nhuận kinh doanh],
(Table_Datafeed[Kỳ]&gt;=Pivot!$E$2)*
(Table_Datafeed[Kỳ]&lt;=Pivot!$E$3)*
(Table_Datafeed[Tháng] =$CV18))),
($CV$12)=4,
SUM(_xlfn._xlws.FILTER(Table_Datafeed[Dòng tiền vận hành],
(Table_Datafeed[Kỳ]&gt;=Pivot!$E$2)*
(Table_Datafeed[Kỳ]&lt;=Pivot!$E$3)*
(Table_Datafeed[Tháng] = $CV18)))
),0)</f>
        <v>0</v>
      </c>
      <c r="CX18" s="138" cm="1">
        <f t="array" ref="CX18" xml:space="preserve">
IFERROR(
_xlfn.IFS(
AND($CV$12=1, $CZ18&gt;=$BM$18),$CW18,
AND($CV$12=2, $CZ18&gt;=0),$CW18,
AND($CV$12=3, $CZ18&gt;=$BM$24),$CW18,
AND($CV$12=4, $CZ18&gt;=$BM$27),$CW18
),"")</f>
        <v>0</v>
      </c>
      <c r="CY18" s="138" t="str">
        <f>IFERROR(TEXT($CX18,LOOKUP($CX18,Pivot!$B$6:$B$12,Pivot!$C$6:$C$12)),"")</f>
        <v/>
      </c>
      <c r="CZ18" s="138" t="str" cm="1">
        <f t="array" ref="CZ18">IFERROR(
_xlfn.IFS(
$CV$12=1,
AVERAGE(_xlfn._xlws.FILTER(Table_Datafeed[Tỷ lệ hòa vốn],
(Table_Datafeed[Kỳ] &gt;= Pivot!$E$2)*
(Table_Datafeed[Kỳ] &lt;= Pivot!$E$3)*
(Table_Datafeed[Tháng] = $CV18))),
$CV$12=2, $CW18/$BM$21-1,
$CV$12=3,
AVERAGE(_xlfn._xlws.FILTER(Table_Datafeed[Hiệu quả lợi nhuận],
(Table_Datafeed[Kỳ] &gt;= Pivot!$E$2)*
(Table_Datafeed[Kỳ] &lt;= Pivot!$E$3)*
(Table_Datafeed[Tháng] = $CV18))),
$CV$12=4,
AVERAGE(_xlfn._xlws.FILTER(Table_Datafeed[Hiệu quả dòng tiền kinh doanh],
(Table_Datafeed[Kỳ] &gt;= Pivot!$E$2)*
(Table_Datafeed[Kỳ] &lt;= Pivot!$E$3)*
(Table_Datafeed[Tháng] = $CV18)))
),"")</f>
        <v/>
      </c>
      <c r="DA18" s="144"/>
    </row>
    <row r="19" spans="57:109" ht="18" customHeight="1" x14ac:dyDescent="0.3">
      <c r="BE19" s="130"/>
      <c r="BF19" s="134"/>
      <c r="BG19" s="134"/>
      <c r="BH19" s="134"/>
      <c r="BI19" s="134"/>
      <c r="BJ19" s="134"/>
      <c r="BK19" s="134"/>
      <c r="BM19" s="200"/>
      <c r="CO19" s="197"/>
      <c r="CU19" s="199"/>
      <c r="CV19" s="138">
        <v>6</v>
      </c>
      <c r="CW19" s="138" cm="1">
        <f t="array" ref="CW19">IFERROR(
_xlfn.IFS(
($CV$12)=1,
SUM(_xlfn._xlws.FILTER(Table_Datafeed[Sản lượng],
(Table_Datafeed[Kỳ]&gt;=Pivot!$E$2)*
(Table_Datafeed[Kỳ]&lt;=Pivot!$E$3)*
(Table_Datafeed[Tháng] = $CV19))),
($CV$12)=2,
SUM(_xlfn._xlws.FILTER(Table_Datafeed[Doanh thu],
(Table_Datafeed[Kỳ]&gt;=Pivot!$E$2)*
(Table_Datafeed[Kỳ]&lt;=Pivot!$E$3)*
(Table_Datafeed[Tháng] = $CV19))),
($CV$12)=3,
SUM(_xlfn._xlws.FILTER(Table_Datafeed[Lợi nhuận kinh doanh],
(Table_Datafeed[Kỳ]&gt;=Pivot!$E$2)*
(Table_Datafeed[Kỳ]&lt;=Pivot!$E$3)*
(Table_Datafeed[Tháng] =$CV19))),
($CV$12)=4,
SUM(_xlfn._xlws.FILTER(Table_Datafeed[Dòng tiền vận hành],
(Table_Datafeed[Kỳ]&gt;=Pivot!$E$2)*
(Table_Datafeed[Kỳ]&lt;=Pivot!$E$3)*
(Table_Datafeed[Tháng] = $CV19)))
),0)</f>
        <v>0</v>
      </c>
      <c r="CX19" s="138" cm="1">
        <f t="array" ref="CX19" xml:space="preserve">
IFERROR(
_xlfn.IFS(
AND($CV$12=1, $CZ19&gt;=$BM$18),$CW19,
AND($CV$12=2, $CZ19&gt;=0),$CW19,
AND($CV$12=3, $CZ19&gt;=$BM$24),$CW19,
AND($CV$12=4, $CZ19&gt;=$BM$27),$CW19
),"")</f>
        <v>0</v>
      </c>
      <c r="CY19" s="138" t="str">
        <f>IFERROR(TEXT($CX19,LOOKUP($CX19,Pivot!$B$6:$B$12,Pivot!$C$6:$C$12)),"")</f>
        <v/>
      </c>
      <c r="CZ19" s="138" t="str" cm="1">
        <f t="array" ref="CZ19">IFERROR(
_xlfn.IFS(
$CV$12=1,
AVERAGE(_xlfn._xlws.FILTER(Table_Datafeed[Tỷ lệ hòa vốn],
(Table_Datafeed[Kỳ] &gt;= Pivot!$E$2)*
(Table_Datafeed[Kỳ] &lt;= Pivot!$E$3)*
(Table_Datafeed[Tháng] = $CV19))),
$CV$12=2, $CW19/$BM$21-1,
$CV$12=3,
AVERAGE(_xlfn._xlws.FILTER(Table_Datafeed[Hiệu quả lợi nhuận],
(Table_Datafeed[Kỳ] &gt;= Pivot!$E$2)*
(Table_Datafeed[Kỳ] &lt;= Pivot!$E$3)*
(Table_Datafeed[Tháng] = $CV19))),
$CV$12=4,
AVERAGE(_xlfn._xlws.FILTER(Table_Datafeed[Hiệu quả dòng tiền kinh doanh],
(Table_Datafeed[Kỳ] &gt;= Pivot!$E$2)*
(Table_Datafeed[Kỳ] &lt;= Pivot!$E$3)*
(Table_Datafeed[Tháng] = $CV19)))
),"")</f>
        <v/>
      </c>
      <c r="DA19" s="144"/>
    </row>
    <row r="20" spans="57:109" ht="18" customHeight="1" x14ac:dyDescent="0.3">
      <c r="BE20" s="130"/>
      <c r="BF20" s="134"/>
      <c r="BG20" s="134"/>
      <c r="BH20" s="134"/>
      <c r="BI20" s="134"/>
      <c r="BJ20" s="134"/>
      <c r="BK20" s="134"/>
      <c r="BM20" s="153" t="s">
        <v>33</v>
      </c>
      <c r="CO20" s="197"/>
      <c r="CU20" s="199"/>
      <c r="CV20" s="138">
        <v>7</v>
      </c>
      <c r="CW20" s="138" cm="1">
        <f t="array" ref="CW20">IFERROR(
_xlfn.IFS(
($CV$12)=1,
SUM(_xlfn._xlws.FILTER(Table_Datafeed[Sản lượng],
(Table_Datafeed[Kỳ]&gt;=Pivot!$E$2)*
(Table_Datafeed[Kỳ]&lt;=Pivot!$E$3)*
(Table_Datafeed[Tháng] = $CV20))),
($CV$12)=2,
SUM(_xlfn._xlws.FILTER(Table_Datafeed[Doanh thu],
(Table_Datafeed[Kỳ]&gt;=Pivot!$E$2)*
(Table_Datafeed[Kỳ]&lt;=Pivot!$E$3)*
(Table_Datafeed[Tháng] = $CV20))),
($CV$12)=3,
SUM(_xlfn._xlws.FILTER(Table_Datafeed[Lợi nhuận kinh doanh],
(Table_Datafeed[Kỳ]&gt;=Pivot!$E$2)*
(Table_Datafeed[Kỳ]&lt;=Pivot!$E$3)*
(Table_Datafeed[Tháng] =$CV20))),
($CV$12)=4,
SUM(_xlfn._xlws.FILTER(Table_Datafeed[Dòng tiền vận hành],
(Table_Datafeed[Kỳ]&gt;=Pivot!$E$2)*
(Table_Datafeed[Kỳ]&lt;=Pivot!$E$3)*
(Table_Datafeed[Tháng] = $CV20)))
),0)</f>
        <v>0</v>
      </c>
      <c r="CX20" s="138" cm="1">
        <f t="array" ref="CX20" xml:space="preserve">
IFERROR(
_xlfn.IFS(
AND($CV$12=1, $CZ20&gt;=$BM$18),$CW20,
AND($CV$12=2, $CZ20&gt;=0),$CW20,
AND($CV$12=3, $CZ20&gt;=$BM$24),$CW20,
AND($CV$12=4, $CZ20&gt;=$BM$27),$CW20
),"")</f>
        <v>0</v>
      </c>
      <c r="CY20" s="138" t="str">
        <f>IFERROR(TEXT($CX20,LOOKUP($CX20,Pivot!$B$6:$B$12,Pivot!$C$6:$C$12)),"")</f>
        <v/>
      </c>
      <c r="CZ20" s="138" t="str" cm="1">
        <f t="array" ref="CZ20">IFERROR(
_xlfn.IFS(
$CV$12=1,
AVERAGE(_xlfn._xlws.FILTER(Table_Datafeed[Tỷ lệ hòa vốn],
(Table_Datafeed[Kỳ] &gt;= Pivot!$E$2)*
(Table_Datafeed[Kỳ] &lt;= Pivot!$E$3)*
(Table_Datafeed[Tháng] = $CV20))),
$CV$12=2, $CW20/$BM$21-1,
$CV$12=3,
AVERAGE(_xlfn._xlws.FILTER(Table_Datafeed[Hiệu quả lợi nhuận],
(Table_Datafeed[Kỳ] &gt;= Pivot!$E$2)*
(Table_Datafeed[Kỳ] &lt;= Pivot!$E$3)*
(Table_Datafeed[Tháng] = $CV20))),
$CV$12=4,
AVERAGE(_xlfn._xlws.FILTER(Table_Datafeed[Hiệu quả dòng tiền kinh doanh],
(Table_Datafeed[Kỳ] &gt;= Pivot!$E$2)*
(Table_Datafeed[Kỳ] &lt;= Pivot!$E$3)*
(Table_Datafeed[Tháng] = $CV20)))
),"")</f>
        <v/>
      </c>
      <c r="DA20" s="144"/>
      <c r="DD20" s="144"/>
      <c r="DE20" s="144"/>
    </row>
    <row r="21" spans="57:109" ht="18" customHeight="1" x14ac:dyDescent="0.3">
      <c r="BE21" s="130"/>
      <c r="BF21" s="134"/>
      <c r="BG21" s="134"/>
      <c r="BH21" s="134"/>
      <c r="BI21" s="134"/>
      <c r="BJ21" s="134"/>
      <c r="BK21" s="134"/>
      <c r="BM21" s="202">
        <v>400000000</v>
      </c>
      <c r="CO21" s="197"/>
      <c r="CU21" s="199"/>
      <c r="CV21" s="138">
        <v>8</v>
      </c>
      <c r="CW21" s="138" cm="1">
        <f t="array" ref="CW21">IFERROR(
_xlfn.IFS(
($CV$12)=1,
SUM(_xlfn._xlws.FILTER(Table_Datafeed[Sản lượng],
(Table_Datafeed[Kỳ]&gt;=Pivot!$E$2)*
(Table_Datafeed[Kỳ]&lt;=Pivot!$E$3)*
(Table_Datafeed[Tháng] = $CV21))),
($CV$12)=2,
SUM(_xlfn._xlws.FILTER(Table_Datafeed[Doanh thu],
(Table_Datafeed[Kỳ]&gt;=Pivot!$E$2)*
(Table_Datafeed[Kỳ]&lt;=Pivot!$E$3)*
(Table_Datafeed[Tháng] = $CV21))),
($CV$12)=3,
SUM(_xlfn._xlws.FILTER(Table_Datafeed[Lợi nhuận kinh doanh],
(Table_Datafeed[Kỳ]&gt;=Pivot!$E$2)*
(Table_Datafeed[Kỳ]&lt;=Pivot!$E$3)*
(Table_Datafeed[Tháng] =$CV21))),
($CV$12)=4,
SUM(_xlfn._xlws.FILTER(Table_Datafeed[Dòng tiền vận hành],
(Table_Datafeed[Kỳ]&gt;=Pivot!$E$2)*
(Table_Datafeed[Kỳ]&lt;=Pivot!$E$3)*
(Table_Datafeed[Tháng] = $CV21)))
),0)</f>
        <v>0</v>
      </c>
      <c r="CX21" s="138" cm="1">
        <f t="array" ref="CX21" xml:space="preserve">
IFERROR(
_xlfn.IFS(
AND($CV$12=1, $CZ21&gt;=$BM$18),$CW21,
AND($CV$12=2, $CZ21&gt;=0),$CW21,
AND($CV$12=3, $CZ21&gt;=$BM$24),$CW21,
AND($CV$12=4, $CZ21&gt;=$BM$27),$CW21
),"")</f>
        <v>0</v>
      </c>
      <c r="CY21" s="138" t="str">
        <f>IFERROR(TEXT($CX21,LOOKUP($CX21,Pivot!$B$6:$B$12,Pivot!$C$6:$C$12)),"")</f>
        <v/>
      </c>
      <c r="CZ21" s="138" t="str" cm="1">
        <f t="array" ref="CZ21">IFERROR(
_xlfn.IFS(
$CV$12=1,
AVERAGE(_xlfn._xlws.FILTER(Table_Datafeed[Tỷ lệ hòa vốn],
(Table_Datafeed[Kỳ] &gt;= Pivot!$E$2)*
(Table_Datafeed[Kỳ] &lt;= Pivot!$E$3)*
(Table_Datafeed[Tháng] = $CV21))),
$CV$12=2, $CW21/$BM$21-1,
$CV$12=3,
AVERAGE(_xlfn._xlws.FILTER(Table_Datafeed[Hiệu quả lợi nhuận],
(Table_Datafeed[Kỳ] &gt;= Pivot!$E$2)*
(Table_Datafeed[Kỳ] &lt;= Pivot!$E$3)*
(Table_Datafeed[Tháng] = $CV21))),
$CV$12=4,
AVERAGE(_xlfn._xlws.FILTER(Table_Datafeed[Hiệu quả dòng tiền kinh doanh],
(Table_Datafeed[Kỳ] &gt;= Pivot!$E$2)*
(Table_Datafeed[Kỳ] &lt;= Pivot!$E$3)*
(Table_Datafeed[Tháng] = $CV21)))
),"")</f>
        <v/>
      </c>
      <c r="DA21" s="144"/>
      <c r="DD21" s="144"/>
      <c r="DE21" s="144"/>
    </row>
    <row r="22" spans="57:109" ht="18" customHeight="1" x14ac:dyDescent="0.3">
      <c r="BE22" s="130"/>
      <c r="BF22" s="134"/>
      <c r="BG22" s="134"/>
      <c r="BH22" s="134"/>
      <c r="BI22" s="134"/>
      <c r="BJ22" s="134"/>
      <c r="BK22" s="134"/>
      <c r="BM22" s="200"/>
      <c r="CO22" s="197"/>
      <c r="CU22" s="199"/>
      <c r="CV22" s="138">
        <v>9</v>
      </c>
      <c r="CW22" s="138" cm="1">
        <f t="array" ref="CW22">IFERROR(
_xlfn.IFS(
($CV$12)=1,
SUM(_xlfn._xlws.FILTER(Table_Datafeed[Sản lượng],
(Table_Datafeed[Kỳ]&gt;=Pivot!$E$2)*
(Table_Datafeed[Kỳ]&lt;=Pivot!$E$3)*
(Table_Datafeed[Tháng] = $CV22))),
($CV$12)=2,
SUM(_xlfn._xlws.FILTER(Table_Datafeed[Doanh thu],
(Table_Datafeed[Kỳ]&gt;=Pivot!$E$2)*
(Table_Datafeed[Kỳ]&lt;=Pivot!$E$3)*
(Table_Datafeed[Tháng] = $CV22))),
($CV$12)=3,
SUM(_xlfn._xlws.FILTER(Table_Datafeed[Lợi nhuận kinh doanh],
(Table_Datafeed[Kỳ]&gt;=Pivot!$E$2)*
(Table_Datafeed[Kỳ]&lt;=Pivot!$E$3)*
(Table_Datafeed[Tháng] =$CV22))),
($CV$12)=4,
SUM(_xlfn._xlws.FILTER(Table_Datafeed[Dòng tiền vận hành],
(Table_Datafeed[Kỳ]&gt;=Pivot!$E$2)*
(Table_Datafeed[Kỳ]&lt;=Pivot!$E$3)*
(Table_Datafeed[Tháng] = $CV22)))
),0)</f>
        <v>0</v>
      </c>
      <c r="CX22" s="138" cm="1">
        <f t="array" ref="CX22" xml:space="preserve">
IFERROR(
_xlfn.IFS(
AND($CV$12=1, $CZ22&gt;=$BM$18),$CW22,
AND($CV$12=2, $CZ22&gt;=0),$CW22,
AND($CV$12=3, $CZ22&gt;=$BM$24),$CW22,
AND($CV$12=4, $CZ22&gt;=$BM$27),$CW22
),"")</f>
        <v>0</v>
      </c>
      <c r="CY22" s="138" t="str">
        <f>IFERROR(TEXT($CX22,LOOKUP($CX22,Pivot!$B$6:$B$12,Pivot!$C$6:$C$12)),"")</f>
        <v/>
      </c>
      <c r="CZ22" s="138" t="str" cm="1">
        <f t="array" ref="CZ22">IFERROR(
_xlfn.IFS(
$CV$12=1,
AVERAGE(_xlfn._xlws.FILTER(Table_Datafeed[Tỷ lệ hòa vốn],
(Table_Datafeed[Kỳ] &gt;= Pivot!$E$2)*
(Table_Datafeed[Kỳ] &lt;= Pivot!$E$3)*
(Table_Datafeed[Tháng] = $CV22))),
$CV$12=2, $CW22/$BM$21-1,
$CV$12=3,
AVERAGE(_xlfn._xlws.FILTER(Table_Datafeed[Hiệu quả lợi nhuận],
(Table_Datafeed[Kỳ] &gt;= Pivot!$E$2)*
(Table_Datafeed[Kỳ] &lt;= Pivot!$E$3)*
(Table_Datafeed[Tháng] = $CV22))),
$CV$12=4,
AVERAGE(_xlfn._xlws.FILTER(Table_Datafeed[Hiệu quả dòng tiền kinh doanh],
(Table_Datafeed[Kỳ] &gt;= Pivot!$E$2)*
(Table_Datafeed[Kỳ] &lt;= Pivot!$E$3)*
(Table_Datafeed[Tháng] = $CV22)))
),"")</f>
        <v/>
      </c>
      <c r="DA22" s="144"/>
    </row>
    <row r="23" spans="57:109" ht="18" customHeight="1" x14ac:dyDescent="0.3">
      <c r="BE23" s="130"/>
      <c r="BF23" s="134"/>
      <c r="BG23" s="134"/>
      <c r="BH23" s="134"/>
      <c r="BI23" s="134"/>
      <c r="BJ23" s="134"/>
      <c r="BK23" s="134"/>
      <c r="BM23" s="153" t="s">
        <v>98</v>
      </c>
      <c r="CO23" s="197"/>
      <c r="CU23" s="199"/>
      <c r="CV23" s="138">
        <v>10</v>
      </c>
      <c r="CW23" s="138" cm="1">
        <f t="array" ref="CW23">IFERROR(
_xlfn.IFS(
($CV$12)=1,
SUM(_xlfn._xlws.FILTER(Table_Datafeed[Sản lượng],
(Table_Datafeed[Kỳ]&gt;=Pivot!$E$2)*
(Table_Datafeed[Kỳ]&lt;=Pivot!$E$3)*
(Table_Datafeed[Tháng] = $CV23))),
($CV$12)=2,
SUM(_xlfn._xlws.FILTER(Table_Datafeed[Doanh thu],
(Table_Datafeed[Kỳ]&gt;=Pivot!$E$2)*
(Table_Datafeed[Kỳ]&lt;=Pivot!$E$3)*
(Table_Datafeed[Tháng] = $CV23))),
($CV$12)=3,
SUM(_xlfn._xlws.FILTER(Table_Datafeed[Lợi nhuận kinh doanh],
(Table_Datafeed[Kỳ]&gt;=Pivot!$E$2)*
(Table_Datafeed[Kỳ]&lt;=Pivot!$E$3)*
(Table_Datafeed[Tháng] =$CV23))),
($CV$12)=4,
SUM(_xlfn._xlws.FILTER(Table_Datafeed[Dòng tiền vận hành],
(Table_Datafeed[Kỳ]&gt;=Pivot!$E$2)*
(Table_Datafeed[Kỳ]&lt;=Pivot!$E$3)*
(Table_Datafeed[Tháng] = $CV23)))
),0)</f>
        <v>0</v>
      </c>
      <c r="CX23" s="138" cm="1">
        <f t="array" ref="CX23" xml:space="preserve">
IFERROR(
_xlfn.IFS(
AND($CV$12=1, $CZ23&gt;=$BM$18),$CW23,
AND($CV$12=2, $CZ23&gt;=0),$CW23,
AND($CV$12=3, $CZ23&gt;=$BM$24),$CW23,
AND($CV$12=4, $CZ23&gt;=$BM$27),$CW23
),"")</f>
        <v>0</v>
      </c>
      <c r="CY23" s="138" t="str">
        <f>IFERROR(TEXT($CX23,LOOKUP($CX23,Pivot!$B$6:$B$12,Pivot!$C$6:$C$12)),"")</f>
        <v/>
      </c>
      <c r="CZ23" s="138" t="str" cm="1">
        <f t="array" ref="CZ23">IFERROR(
_xlfn.IFS(
$CV$12=1,
AVERAGE(_xlfn._xlws.FILTER(Table_Datafeed[Tỷ lệ hòa vốn],
(Table_Datafeed[Kỳ] &gt;= Pivot!$E$2)*
(Table_Datafeed[Kỳ] &lt;= Pivot!$E$3)*
(Table_Datafeed[Tháng] = $CV23))),
$CV$12=2, $CW23/$BM$21-1,
$CV$12=3,
AVERAGE(_xlfn._xlws.FILTER(Table_Datafeed[Hiệu quả lợi nhuận],
(Table_Datafeed[Kỳ] &gt;= Pivot!$E$2)*
(Table_Datafeed[Kỳ] &lt;= Pivot!$E$3)*
(Table_Datafeed[Tháng] = $CV23))),
$CV$12=4,
AVERAGE(_xlfn._xlws.FILTER(Table_Datafeed[Hiệu quả dòng tiền kinh doanh],
(Table_Datafeed[Kỳ] &gt;= Pivot!$E$2)*
(Table_Datafeed[Kỳ] &lt;= Pivot!$E$3)*
(Table_Datafeed[Tháng] = $CV23)))
),"")</f>
        <v/>
      </c>
      <c r="DA23" s="144"/>
      <c r="DD23" s="144"/>
      <c r="DE23" s="144"/>
    </row>
    <row r="24" spans="57:109" ht="18" customHeight="1" x14ac:dyDescent="0.3">
      <c r="BE24" s="130"/>
      <c r="BF24" s="134"/>
      <c r="BG24" s="134"/>
      <c r="BH24" s="134"/>
      <c r="BI24" s="134"/>
      <c r="BJ24" s="134"/>
      <c r="BK24" s="134"/>
      <c r="BM24" s="155">
        <v>5.0000000000000001E-3</v>
      </c>
      <c r="BR24" s="134"/>
      <c r="BS24" s="134"/>
      <c r="BT24" s="134"/>
      <c r="BU24" s="134"/>
      <c r="BV24" s="134"/>
      <c r="BW24" s="134"/>
      <c r="BX24" s="134"/>
      <c r="CO24" s="197"/>
      <c r="CU24" s="199"/>
      <c r="CV24" s="138">
        <v>11</v>
      </c>
      <c r="CW24" s="138" cm="1">
        <f t="array" ref="CW24">IFERROR(
_xlfn.IFS(
($CV$12)=1,
SUM(_xlfn._xlws.FILTER(Table_Datafeed[Sản lượng],
(Table_Datafeed[Kỳ]&gt;=Pivot!$E$2)*
(Table_Datafeed[Kỳ]&lt;=Pivot!$E$3)*
(Table_Datafeed[Tháng] = $CV24))),
($CV$12)=2,
SUM(_xlfn._xlws.FILTER(Table_Datafeed[Doanh thu],
(Table_Datafeed[Kỳ]&gt;=Pivot!$E$2)*
(Table_Datafeed[Kỳ]&lt;=Pivot!$E$3)*
(Table_Datafeed[Tháng] = $CV24))),
($CV$12)=3,
SUM(_xlfn._xlws.FILTER(Table_Datafeed[Lợi nhuận kinh doanh],
(Table_Datafeed[Kỳ]&gt;=Pivot!$E$2)*
(Table_Datafeed[Kỳ]&lt;=Pivot!$E$3)*
(Table_Datafeed[Tháng] =$CV24))),
($CV$12)=4,
SUM(_xlfn._xlws.FILTER(Table_Datafeed[Dòng tiền vận hành],
(Table_Datafeed[Kỳ]&gt;=Pivot!$E$2)*
(Table_Datafeed[Kỳ]&lt;=Pivot!$E$3)*
(Table_Datafeed[Tháng] = $CV24)))
),0)</f>
        <v>0</v>
      </c>
      <c r="CX24" s="138" cm="1">
        <f t="array" ref="CX24" xml:space="preserve">
IFERROR(
_xlfn.IFS(
AND($CV$12=1, $CZ24&gt;=$BM$18),$CW24,
AND($CV$12=2, $CZ24&gt;=0),$CW24,
AND($CV$12=3, $CZ24&gt;=$BM$24),$CW24,
AND($CV$12=4, $CZ24&gt;=$BM$27),$CW24
),"")</f>
        <v>0</v>
      </c>
      <c r="CY24" s="138" t="str">
        <f>IFERROR(TEXT($CX24,LOOKUP($CX24,Pivot!$B$6:$B$12,Pivot!$C$6:$C$12)),"")</f>
        <v/>
      </c>
      <c r="CZ24" s="138" t="str" cm="1">
        <f t="array" ref="CZ24">IFERROR(
_xlfn.IFS(
$CV$12=1,
AVERAGE(_xlfn._xlws.FILTER(Table_Datafeed[Tỷ lệ hòa vốn],
(Table_Datafeed[Kỳ] &gt;= Pivot!$E$2)*
(Table_Datafeed[Kỳ] &lt;= Pivot!$E$3)*
(Table_Datafeed[Tháng] = $CV24))),
$CV$12=2, $CW24/$BM$21-1,
$CV$12=3,
AVERAGE(_xlfn._xlws.FILTER(Table_Datafeed[Hiệu quả lợi nhuận],
(Table_Datafeed[Kỳ] &gt;= Pivot!$E$2)*
(Table_Datafeed[Kỳ] &lt;= Pivot!$E$3)*
(Table_Datafeed[Tháng] = $CV24))),
$CV$12=4,
AVERAGE(_xlfn._xlws.FILTER(Table_Datafeed[Hiệu quả dòng tiền kinh doanh],
(Table_Datafeed[Kỳ] &gt;= Pivot!$E$2)*
(Table_Datafeed[Kỳ] &lt;= Pivot!$E$3)*
(Table_Datafeed[Tháng] = $CV24)))
),"")</f>
        <v/>
      </c>
      <c r="DA24" s="144"/>
      <c r="DD24" s="144"/>
      <c r="DE24" s="144"/>
    </row>
    <row r="25" spans="57:109" ht="18" customHeight="1" x14ac:dyDescent="0.3">
      <c r="BE25" s="130"/>
      <c r="BF25" s="134"/>
      <c r="BG25" s="134"/>
      <c r="BH25" s="134"/>
      <c r="BI25" s="134"/>
      <c r="BJ25" s="134"/>
      <c r="BK25" s="134"/>
      <c r="BM25" s="200"/>
      <c r="BR25" s="134"/>
      <c r="BS25" s="134"/>
      <c r="BT25" s="134"/>
      <c r="BU25" s="134"/>
      <c r="BV25" s="134"/>
      <c r="BW25" s="134"/>
      <c r="BX25" s="134"/>
      <c r="CO25" s="197"/>
      <c r="CU25" s="199"/>
      <c r="CV25" s="138">
        <v>12</v>
      </c>
      <c r="CW25" s="138" cm="1">
        <f t="array" ref="CW25">IFERROR(
_xlfn.IFS(
($CV$12)=1,
SUM(_xlfn._xlws.FILTER(Table_Datafeed[Sản lượng],
(Table_Datafeed[Kỳ]&gt;=Pivot!$E$2)*
(Table_Datafeed[Kỳ]&lt;=Pivot!$E$3)*
(Table_Datafeed[Tháng] = $CV25))),
($CV$12)=2,
SUM(_xlfn._xlws.FILTER(Table_Datafeed[Doanh thu],
(Table_Datafeed[Kỳ]&gt;=Pivot!$E$2)*
(Table_Datafeed[Kỳ]&lt;=Pivot!$E$3)*
(Table_Datafeed[Tháng] = $CV25))),
($CV$12)=3,
SUM(_xlfn._xlws.FILTER(Table_Datafeed[Lợi nhuận kinh doanh],
(Table_Datafeed[Kỳ]&gt;=Pivot!$E$2)*
(Table_Datafeed[Kỳ]&lt;=Pivot!$E$3)*
(Table_Datafeed[Tháng] =$CV25))),
($CV$12)=4,
SUM(_xlfn._xlws.FILTER(Table_Datafeed[Dòng tiền vận hành],
(Table_Datafeed[Kỳ]&gt;=Pivot!$E$2)*
(Table_Datafeed[Kỳ]&lt;=Pivot!$E$3)*
(Table_Datafeed[Tháng] = $CV25)))
),0)</f>
        <v>0</v>
      </c>
      <c r="CX25" s="138" cm="1">
        <f t="array" ref="CX25" xml:space="preserve">
IFERROR(
_xlfn.IFS(
AND($CV$12=1, $CZ25&gt;=$BM$18),$CW25,
AND($CV$12=2, $CZ25&gt;=0),$CW25,
AND($CV$12=3, $CZ25&gt;=$BM$24),$CW25,
AND($CV$12=4, $CZ25&gt;=$BM$27),$CW25
),"")</f>
        <v>0</v>
      </c>
      <c r="CY25" s="138" t="str">
        <f>IFERROR(TEXT($CX25,LOOKUP($CX25,Pivot!$B$6:$B$12,Pivot!$C$6:$C$12)),"")</f>
        <v/>
      </c>
      <c r="CZ25" s="138" t="str" cm="1">
        <f t="array" ref="CZ25">IFERROR(
_xlfn.IFS(
$CV$12=1,
AVERAGE(_xlfn._xlws.FILTER(Table_Datafeed[Tỷ lệ hòa vốn],
(Table_Datafeed[Kỳ] &gt;= Pivot!$E$2)*
(Table_Datafeed[Kỳ] &lt;= Pivot!$E$3)*
(Table_Datafeed[Tháng] = $CV25))),
$CV$12=2, $CW25/$BM$21-1,
$CV$12=3,
AVERAGE(_xlfn._xlws.FILTER(Table_Datafeed[Hiệu quả lợi nhuận],
(Table_Datafeed[Kỳ] &gt;= Pivot!$E$2)*
(Table_Datafeed[Kỳ] &lt;= Pivot!$E$3)*
(Table_Datafeed[Tháng] = $CV25))),
$CV$12=4,
AVERAGE(_xlfn._xlws.FILTER(Table_Datafeed[Hiệu quả dòng tiền kinh doanh],
(Table_Datafeed[Kỳ] &gt;= Pivot!$E$2)*
(Table_Datafeed[Kỳ] &lt;= Pivot!$E$3)*
(Table_Datafeed[Tháng] = $CV25)))
),"")</f>
        <v/>
      </c>
      <c r="DA25" s="144"/>
    </row>
    <row r="26" spans="57:109" ht="18" customHeight="1" x14ac:dyDescent="0.3">
      <c r="BE26" s="130"/>
      <c r="BF26" s="134"/>
      <c r="BG26" s="134"/>
      <c r="BH26" s="134"/>
      <c r="BI26" s="134"/>
      <c r="BJ26" s="134"/>
      <c r="BK26" s="134"/>
      <c r="BM26" s="153" t="s">
        <v>129</v>
      </c>
      <c r="CO26" s="197"/>
      <c r="CU26" s="199"/>
      <c r="CV26" s="142" t="s">
        <v>125</v>
      </c>
    </row>
    <row r="27" spans="57:109" ht="18" customHeight="1" x14ac:dyDescent="0.3">
      <c r="BE27" s="130"/>
      <c r="BF27" s="134"/>
      <c r="BG27" s="134"/>
      <c r="BH27" s="134"/>
      <c r="BI27" s="134"/>
      <c r="BJ27" s="134"/>
      <c r="BK27" s="134"/>
      <c r="BM27" s="154">
        <v>0.04</v>
      </c>
      <c r="CO27" s="197"/>
      <c r="CU27" s="199"/>
      <c r="CV27" s="138" t="s">
        <v>130</v>
      </c>
      <c r="CW27" s="138" t="s">
        <v>21</v>
      </c>
      <c r="CX27" s="138" t="s">
        <v>131</v>
      </c>
    </row>
    <row r="28" spans="57:109" ht="18" customHeight="1" x14ac:dyDescent="0.3">
      <c r="BE28" s="130"/>
      <c r="BF28" s="134"/>
      <c r="BG28" s="134"/>
      <c r="BH28" s="134"/>
      <c r="BI28" s="134"/>
      <c r="BJ28" s="134"/>
      <c r="BK28" s="134"/>
      <c r="CO28" s="197"/>
      <c r="CU28" s="199"/>
      <c r="CV28" s="138" t="s">
        <v>132</v>
      </c>
      <c r="CW28" s="138">
        <f>SUM(CW34:CW41)</f>
        <v>0</v>
      </c>
      <c r="CX28" s="138" t="str">
        <f>IFERROR(TEXT(CW28,LOOKUP(CW28,Pivot!$B$6:$B$12,Pivot!$C$6:$C$12)),"")</f>
        <v/>
      </c>
    </row>
    <row r="29" spans="57:109" ht="18" customHeight="1" x14ac:dyDescent="0.3">
      <c r="BE29" s="130"/>
      <c r="BF29" s="134"/>
      <c r="BG29" s="134"/>
      <c r="BH29" s="134"/>
      <c r="BI29" s="134"/>
      <c r="BJ29" s="134"/>
      <c r="BK29" s="134"/>
      <c r="CO29" s="197"/>
      <c r="CU29" s="199"/>
      <c r="CV29" s="138" t="s">
        <v>133</v>
      </c>
      <c r="CW29" s="138">
        <f>SUM(CW42:CW49)</f>
        <v>0</v>
      </c>
      <c r="CX29" s="138" t="str">
        <f>IFERROR(TEXT(CW29,LOOKUP(CW29,Pivot!$B$6:$B$12,Pivot!$C$6:$C$12)),"")</f>
        <v/>
      </c>
    </row>
    <row r="30" spans="57:109" ht="18" customHeight="1" x14ac:dyDescent="0.3">
      <c r="BE30" s="130"/>
      <c r="CV30" s="142" t="s">
        <v>125</v>
      </c>
    </row>
    <row r="31" spans="57:109" ht="18" customHeight="1" x14ac:dyDescent="0.3">
      <c r="BE31" s="130"/>
      <c r="CV31" s="138" t="b">
        <v>1</v>
      </c>
    </row>
    <row r="32" spans="57:109" ht="18" customHeight="1" x14ac:dyDescent="0.3">
      <c r="BE32" s="130"/>
      <c r="CV32" s="138">
        <v>3</v>
      </c>
      <c r="CX32" s="144" t="e">
        <f>SUM(CX34:CX50)/SUM(CW34:CW50)</f>
        <v>#DIV/0!</v>
      </c>
      <c r="CZ32" s="144" t="e">
        <f>SUM(CZ34:CZ50)/SUM(CY34:CY50)</f>
        <v>#DIV/0!</v>
      </c>
    </row>
    <row r="33" spans="57:107" ht="18" customHeight="1" x14ac:dyDescent="0.3">
      <c r="BE33" s="130"/>
      <c r="CV33" s="138" t="s">
        <v>134</v>
      </c>
      <c r="CW33" s="138" t="s">
        <v>21</v>
      </c>
      <c r="CX33" s="138" t="s">
        <v>135</v>
      </c>
      <c r="CY33" s="138" t="str">
        <f>IF(CV31=FALSE,"tăng", "giảm")</f>
        <v>giảm</v>
      </c>
      <c r="CZ33" s="138" t="s">
        <v>136</v>
      </c>
      <c r="DA33" s="138" t="s">
        <v>137</v>
      </c>
    </row>
    <row r="34" spans="57:107" ht="18" customHeight="1" x14ac:dyDescent="0.3">
      <c r="BE34" s="130"/>
      <c r="CV34" s="138" t="s">
        <v>138</v>
      </c>
      <c r="CW34" s="166" cm="1">
        <f t="array" ref="CW34">-IFERROR(SUM(_xlfn._xlws.FILTER(Table_Datafeed[CP chiết khấu],
(Table_Datafeed[Kỳ]&gt;=Pivot!$E$2)*
(Table_Datafeed[Kỳ]&lt;=Pivot!$E$3)
)),0)</f>
        <v>0</v>
      </c>
      <c r="CX34" s="166">
        <f t="shared" ref="CX34:CX50" si="0">IF(_xlfn.RANK.EQ(CW34,$CW$34:$CW$50,0)&lt;=$CV$32,CW34,0)</f>
        <v>0</v>
      </c>
      <c r="CY34" s="138" cm="1">
        <f t="array" ref="CY34" xml:space="preserve">
IF($CV$31=FALSE,
MAX(0,
CW34+IFERROR(SUM(_xlfn._xlws.FILTER(Table_Datafeed[CP chiết khấu],
(Table_Datafeed[Kỳ]&gt;=DATE(YEAR(Pivot!$E$2)-1, MONTH(Pivot!$E$2),1))*
(Table_Datafeed[Kỳ]&lt;=DATE(YEAR(Pivot!$E$3)-1,MONTH(Pivot!$E$3),1))
)),0)),
MIN(0,
CW34+IFERROR(SUM(_xlfn._xlws.FILTER(Table_Datafeed[CP chiết khấu],
(Table_Datafeed[Kỳ]&gt;=DATE(YEAR(Pivot!$E$2)-1, MONTH(Pivot!$E$2),1))*
(Table_Datafeed[Kỳ]&lt;=DATE(YEAR(Pivot!$E$3)-1,MONTH(Pivot!$E$3),1))
)),0)))</f>
        <v>0</v>
      </c>
      <c r="CZ34" s="166">
        <f t="shared" ref="CZ34:CZ50" si="1">IF($CV$31=FALSE,
IF(_xlfn.RANK.EQ(CY34,$CY$34:$CY$50,0)&lt;=$CV$32,CY34,0),
IF(_xlfn.RANK.EQ(CY34,$CY$34:$CY$50,1)&lt;=$CV$32,CY34,0)
)</f>
        <v>0</v>
      </c>
      <c r="DA34" s="160">
        <f>IFERROR(CW34/(CW34-CY34)-1,0)</f>
        <v>0</v>
      </c>
      <c r="DB34" s="144"/>
      <c r="DC34" s="144"/>
    </row>
    <row r="35" spans="57:107" ht="18" customHeight="1" x14ac:dyDescent="0.3">
      <c r="BE35" s="130"/>
      <c r="CV35" s="138" t="s">
        <v>139</v>
      </c>
      <c r="CW35" s="166" cm="1">
        <f t="array" ref="CW35">-IFERROR(SUM(_xlfn._xlws.FILTER(Table_Datafeed[CP nguyên liệu],
(Table_Datafeed[Kỳ]&gt;=Pivot!$E$2)*
(Table_Datafeed[Kỳ]&lt;=Pivot!$E$3)
)),0)</f>
        <v>0</v>
      </c>
      <c r="CX35" s="166">
        <f t="shared" si="0"/>
        <v>0</v>
      </c>
      <c r="CY35" s="138" cm="1">
        <f t="array" ref="CY35" xml:space="preserve">
IF($CV$31=FALSE,
MAX(0,
CW35+IFERROR(SUM(_xlfn._xlws.FILTER(Table_Datafeed[CP nguyên liệu],
(Table_Datafeed[Kỳ]&gt;=DATE(YEAR(Pivot!$E$2)-1, MONTH(Pivot!$E$2),1))*
(Table_Datafeed[Kỳ]&lt;=DATE(YEAR(Pivot!$E$3)-1,MONTH(Pivot!$E$3),1))
)),0)),
MIN(0,
CW35+IFERROR(SUM(_xlfn._xlws.FILTER(Table_Datafeed[CP nguyên liệu],
(Table_Datafeed[Kỳ]&gt;=DATE(YEAR(Pivot!$E$2)-1, MONTH(Pivot!$E$2),1))*
(Table_Datafeed[Kỳ]&lt;=DATE(YEAR(Pivot!$E$3)-1,MONTH(Pivot!$E$3),1))
)),0)))</f>
        <v>0</v>
      </c>
      <c r="CZ35" s="166">
        <f t="shared" si="1"/>
        <v>0</v>
      </c>
      <c r="DA35" s="160">
        <f t="shared" ref="DA35:DA50" si="2">IFERROR(CW35/(CW35-CY35)-1,0)</f>
        <v>0</v>
      </c>
      <c r="DB35" s="144"/>
      <c r="DC35" s="144"/>
    </row>
    <row r="36" spans="57:107" ht="18" customHeight="1" x14ac:dyDescent="0.3">
      <c r="BE36" s="130"/>
      <c r="CV36" s="138" t="s">
        <v>140</v>
      </c>
      <c r="CW36" s="166" cm="1">
        <f t="array" ref="CW36">-IFERROR(SUM(_xlfn._xlws.FILTER(Table_Datafeed[CP tiện ích sản xuất],
(Table_Datafeed[Kỳ]&gt;=Pivot!$E$2)*
(Table_Datafeed[Kỳ]&lt;=Pivot!$E$3)
)),0)</f>
        <v>0</v>
      </c>
      <c r="CX36" s="166">
        <f t="shared" si="0"/>
        <v>0</v>
      </c>
      <c r="CY36" s="138" cm="1">
        <f t="array" ref="CY36" xml:space="preserve">
IF($CV$31=FALSE,
MAX(0,
CW36+IFERROR(SUM(_xlfn._xlws.FILTER(Table_Datafeed[CP tiện ích sản xuất],
(Table_Datafeed[Kỳ]&gt;=DATE(YEAR(Pivot!$E$2)-1, MONTH(Pivot!$E$2),1))*
(Table_Datafeed[Kỳ]&lt;=DATE(YEAR(Pivot!$E$3)-1,MONTH(Pivot!$E$3),1))
)),0)),
MIN(0,
CW36+IFERROR(SUM(_xlfn._xlws.FILTER(Table_Datafeed[CP tiện ích sản xuất],
(Table_Datafeed[Kỳ]&gt;=DATE(YEAR(Pivot!$E$2)-1, MONTH(Pivot!$E$2),1))*
(Table_Datafeed[Kỳ]&lt;=DATE(YEAR(Pivot!$E$3)-1,MONTH(Pivot!$E$3),1))
)),0)))</f>
        <v>0</v>
      </c>
      <c r="CZ36" s="166">
        <f t="shared" si="1"/>
        <v>0</v>
      </c>
      <c r="DA36" s="160">
        <f t="shared" si="2"/>
        <v>0</v>
      </c>
      <c r="DB36" s="144"/>
      <c r="DC36" s="144"/>
    </row>
    <row r="37" spans="57:107" ht="18" customHeight="1" x14ac:dyDescent="0.3">
      <c r="BE37" s="130"/>
      <c r="CV37" s="138" t="s">
        <v>141</v>
      </c>
      <c r="CW37" s="166" cm="1">
        <f t="array" ref="CW37">-IFERROR(SUM(_xlfn._xlws.FILTER(Table_Datafeed[CP hoa hồng],
(Table_Datafeed[Kỳ]&gt;=Pivot!$E$2)*
(Table_Datafeed[Kỳ]&lt;=Pivot!$E$3)
)),0)</f>
        <v>0</v>
      </c>
      <c r="CX37" s="166">
        <f t="shared" si="0"/>
        <v>0</v>
      </c>
      <c r="CY37" s="138" cm="1">
        <f t="array" ref="CY37" xml:space="preserve">
IF($CV$31=FALSE,
MAX(0,
CW37+IFERROR(SUM(_xlfn._xlws.FILTER(Table_Datafeed[CP hoa hồng],
(Table_Datafeed[Kỳ]&gt;=DATE(YEAR(Pivot!$E$2)-1, MONTH(Pivot!$E$2),1))*
(Table_Datafeed[Kỳ]&lt;=DATE(YEAR(Pivot!$E$3)-1,MONTH(Pivot!$E$3),1))
)),0)),
MIN(0,
CW37+IFERROR(SUM(_xlfn._xlws.FILTER(Table_Datafeed[CP hoa hồng],
(Table_Datafeed[Kỳ]&gt;=DATE(YEAR(Pivot!$E$2)-1, MONTH(Pivot!$E$2),1))*
(Table_Datafeed[Kỳ]&lt;=DATE(YEAR(Pivot!$E$3)-1,MONTH(Pivot!$E$3),1))
)),0)))</f>
        <v>0</v>
      </c>
      <c r="CZ37" s="166">
        <f t="shared" si="1"/>
        <v>0</v>
      </c>
      <c r="DA37" s="160">
        <f t="shared" si="2"/>
        <v>0</v>
      </c>
      <c r="DB37" s="144"/>
      <c r="DC37" s="144"/>
    </row>
    <row r="38" spans="57:107" ht="18" customHeight="1" x14ac:dyDescent="0.3">
      <c r="BE38" s="130"/>
      <c r="CV38" s="138" t="s">
        <v>142</v>
      </c>
      <c r="CW38" s="166" cm="1">
        <f t="array" ref="CW38">-IFERROR(SUM(_xlfn._xlws.FILTER(#REF!,
(Table_Datafeed[Kỳ]&gt;=Pivot!$E$2)*
(Table_Datafeed[Kỳ]&lt;=Pivot!$E$3)
)),0)</f>
        <v>0</v>
      </c>
      <c r="CX38" s="166">
        <f t="shared" si="0"/>
        <v>0</v>
      </c>
      <c r="CY38" s="138" cm="1">
        <f t="array" ref="CY38" xml:space="preserve">
IF($CV$31=FALSE,
MAX(0,
CW38+IFERROR(SUM(_xlfn._xlws.FILTER(#REF!,
(Table_Datafeed[Kỳ]&gt;=DATE(YEAR(Pivot!$E$2)-1, MONTH(Pivot!$E$2),1))*
(Table_Datafeed[Kỳ]&lt;=DATE(YEAR(Pivot!$E$3)-1,MONTH(Pivot!$E$3),1))
)),0)),
MIN(0,
CW38+IFERROR(SUM(_xlfn._xlws.FILTER(#REF!,
(Table_Datafeed[Kỳ]&gt;=DATE(YEAR(Pivot!$E$2)-1, MONTH(Pivot!$E$2),1))*
(Table_Datafeed[Kỳ]&lt;=DATE(YEAR(Pivot!$E$3)-1,MONTH(Pivot!$E$3),1))
)),0)))</f>
        <v>0</v>
      </c>
      <c r="CZ38" s="166">
        <f t="shared" si="1"/>
        <v>0</v>
      </c>
      <c r="DA38" s="160">
        <f t="shared" si="2"/>
        <v>0</v>
      </c>
      <c r="DB38" s="144"/>
      <c r="DC38" s="144"/>
    </row>
    <row r="39" spans="57:107" ht="18" customHeight="1" x14ac:dyDescent="0.3">
      <c r="BE39" s="130"/>
      <c r="CV39" s="138" t="s">
        <v>143</v>
      </c>
      <c r="CW39" s="166" cm="1">
        <f t="array" ref="CW39">-IFERROR(SUM(_xlfn._xlws.FILTER(Table_Datafeed[CP thưởng KPI],
(Table_Datafeed[Kỳ]&gt;=Pivot!$E$2)*
(Table_Datafeed[Kỳ]&lt;=Pivot!$E$3)
)),0)</f>
        <v>0</v>
      </c>
      <c r="CX39" s="166">
        <f t="shared" si="0"/>
        <v>0</v>
      </c>
      <c r="CY39" s="138" cm="1">
        <f t="array" ref="CY39" xml:space="preserve">
IF($CV$31=FALSE,
MAX(0,
CW39+IFERROR(SUM(_xlfn._xlws.FILTER(Table_Datafeed[CP thưởng KPI],
(Table_Datafeed[Kỳ]&gt;=DATE(YEAR(Pivot!$E$2)-1, MONTH(Pivot!$E$2),1))*
(Table_Datafeed[Kỳ]&lt;=DATE(YEAR(Pivot!$E$3)-1,MONTH(Pivot!$E$3),1))
)),0)),
MIN(0,
CW39+IFERROR(SUM(_xlfn._xlws.FILTER(Table_Datafeed[CP thưởng KPI],
(Table_Datafeed[Kỳ]&gt;=DATE(YEAR(Pivot!$E$2)-1, MONTH(Pivot!$E$2),1))*
(Table_Datafeed[Kỳ]&lt;=DATE(YEAR(Pivot!$E$3)-1,MONTH(Pivot!$E$3),1))
)),0)))</f>
        <v>0</v>
      </c>
      <c r="CZ39" s="166">
        <f t="shared" si="1"/>
        <v>0</v>
      </c>
      <c r="DA39" s="160">
        <f t="shared" si="2"/>
        <v>0</v>
      </c>
      <c r="DB39" s="144"/>
      <c r="DC39" s="144"/>
    </row>
    <row r="40" spans="57:107" ht="18" customHeight="1" x14ac:dyDescent="0.3">
      <c r="BE40" s="130"/>
      <c r="CV40" s="138" t="s">
        <v>144</v>
      </c>
      <c r="CW40" s="166" cm="1">
        <f t="array" ref="CW40">-IFERROR(SUM(_xlfn._xlws.FILTER(Table_Datafeed[CP thanh toán],
(Table_Datafeed[Kỳ]&gt;=Pivot!$E$2)*
(Table_Datafeed[Kỳ]&lt;=Pivot!$E$3)
)),0)</f>
        <v>0</v>
      </c>
      <c r="CX40" s="166">
        <f t="shared" si="0"/>
        <v>0</v>
      </c>
      <c r="CY40" s="138" cm="1">
        <f t="array" ref="CY40" xml:space="preserve">
IF($CV$31=FALSE,
MAX(0,
CW40+IFERROR(SUM(_xlfn._xlws.FILTER(Table_Datafeed[CP thanh toán],
(Table_Datafeed[Kỳ]&gt;=DATE(YEAR(Pivot!$E$2)-1, MONTH(Pivot!$E$2),1))*
(Table_Datafeed[Kỳ]&lt;=DATE(YEAR(Pivot!$E$3)-1,MONTH(Pivot!$E$3),1))
)),0)),
MIN(0,
CW40+IFERROR(SUM(_xlfn._xlws.FILTER(Table_Datafeed[CP thanh toán],
(Table_Datafeed[Kỳ]&gt;=DATE(YEAR(Pivot!$E$2)-1, MONTH(Pivot!$E$2),1))*
(Table_Datafeed[Kỳ]&lt;=DATE(YEAR(Pivot!$E$3)-1,MONTH(Pivot!$E$3),1))
)),0)))</f>
        <v>0</v>
      </c>
      <c r="CZ40" s="166">
        <f t="shared" si="1"/>
        <v>0</v>
      </c>
      <c r="DA40" s="160">
        <f t="shared" si="2"/>
        <v>0</v>
      </c>
      <c r="DB40" s="144"/>
      <c r="DC40" s="144"/>
    </row>
    <row r="41" spans="57:107" ht="18" customHeight="1" x14ac:dyDescent="0.3">
      <c r="BE41" s="130"/>
      <c r="CV41" s="138" t="s">
        <v>145</v>
      </c>
      <c r="CW41" s="166" cm="1">
        <f t="array" ref="CW41">-IFERROR(SUM(_xlfn._xlws.FILTER(Table_Datafeed[CP vận chuyển],
(Table_Datafeed[Kỳ]&gt;=Pivot!$E$2)*
(Table_Datafeed[Kỳ]&lt;=Pivot!$E$3)
)),0)</f>
        <v>0</v>
      </c>
      <c r="CX41" s="166">
        <f t="shared" si="0"/>
        <v>0</v>
      </c>
      <c r="CY41" s="138" cm="1">
        <f t="array" ref="CY41" xml:space="preserve">
IF($CV$31=FALSE,
MAX(0,
CW41+IFERROR(SUM(_xlfn._xlws.FILTER(Table_Datafeed[CP vận chuyển],
(Table_Datafeed[Kỳ]&gt;=DATE(YEAR(Pivot!$E$2)-1, MONTH(Pivot!$E$2),1))*
(Table_Datafeed[Kỳ]&lt;=DATE(YEAR(Pivot!$E$3)-1,MONTH(Pivot!$E$3),1))
)),0)),
MIN(0,
CW41+IFERROR(SUM(_xlfn._xlws.FILTER(Table_Datafeed[CP vận chuyển],
(Table_Datafeed[Kỳ]&gt;=DATE(YEAR(Pivot!$E$2)-1, MONTH(Pivot!$E$2),1))*
(Table_Datafeed[Kỳ]&lt;=DATE(YEAR(Pivot!$E$3)-1,MONTH(Pivot!$E$3),1))
)),0)))</f>
        <v>0</v>
      </c>
      <c r="CZ41" s="166">
        <f t="shared" si="1"/>
        <v>0</v>
      </c>
      <c r="DA41" s="160">
        <f t="shared" si="2"/>
        <v>0</v>
      </c>
      <c r="DB41" s="144"/>
      <c r="DC41" s="144"/>
    </row>
    <row r="42" spans="57:107" ht="18" customHeight="1" x14ac:dyDescent="0.3">
      <c r="BE42" s="130"/>
      <c r="CV42" s="138" t="s">
        <v>146</v>
      </c>
      <c r="CW42" s="166" cm="1">
        <f t="array" ref="CW42">-IFERROR(SUM(_xlfn._xlws.FILTER(Table_Datafeed[CP nhân sự],
(Table_Datafeed[Kỳ]&gt;=Pivot!$E$2)*
(Table_Datafeed[Kỳ]&lt;=Pivot!$E$3)
)),0)</f>
        <v>0</v>
      </c>
      <c r="CX42" s="166">
        <f t="shared" si="0"/>
        <v>0</v>
      </c>
      <c r="CY42" s="138" cm="1">
        <f t="array" ref="CY42" xml:space="preserve">
IF($CV$31=FALSE,
MAX(0,
CW42+IFERROR(SUM(_xlfn._xlws.FILTER(Table_Datafeed[CP nhân sự],
(Table_Datafeed[Kỳ]&gt;=DATE(YEAR(Pivot!$E$2)-1, MONTH(Pivot!$E$2),1))*
(Table_Datafeed[Kỳ]&lt;=DATE(YEAR(Pivot!$E$3)-1,MONTH(Pivot!$E$3),1))
)),0)),
MIN(0,
CW42+IFERROR(SUM(_xlfn._xlws.FILTER(Table_Datafeed[CP nhân sự],
(Table_Datafeed[Kỳ]&gt;=DATE(YEAR(Pivot!$E$2)-1, MONTH(Pivot!$E$2),1))*
(Table_Datafeed[Kỳ]&lt;=DATE(YEAR(Pivot!$E$3)-1,MONTH(Pivot!$E$3),1))
)),0)))</f>
        <v>0</v>
      </c>
      <c r="CZ42" s="166">
        <f t="shared" si="1"/>
        <v>0</v>
      </c>
      <c r="DA42" s="160">
        <f t="shared" si="2"/>
        <v>0</v>
      </c>
      <c r="DB42" s="144"/>
      <c r="DC42" s="144"/>
    </row>
    <row r="43" spans="57:107" ht="18" customHeight="1" x14ac:dyDescent="0.3">
      <c r="BE43" s="130"/>
      <c r="CV43" s="138" t="s">
        <v>147</v>
      </c>
      <c r="CW43" s="166" cm="1">
        <f t="array" ref="CW43">-IFERROR(SUM(_xlfn._xlws.FILTER(Table_Datafeed[CP tiêu hao VP],
(Table_Datafeed[Kỳ]&gt;=Pivot!$E$2)*
(Table_Datafeed[Kỳ]&lt;=Pivot!$E$3)
)),0)</f>
        <v>0</v>
      </c>
      <c r="CX43" s="166">
        <f t="shared" si="0"/>
        <v>0</v>
      </c>
      <c r="CY43" s="138" cm="1">
        <f t="array" ref="CY43" xml:space="preserve">
IF($CV$31=FALSE,
MAX(0,
CW43+IFERROR(SUM(_xlfn._xlws.FILTER(Table_Datafeed[CP tiêu hao VP],
(Table_Datafeed[Kỳ]&gt;=DATE(YEAR(Pivot!$E$2)-1, MONTH(Pivot!$E$2),1))*
(Table_Datafeed[Kỳ]&lt;=DATE(YEAR(Pivot!$E$3)-1,MONTH(Pivot!$E$3),1))
)),0)),
MIN(0,
CW43+IFERROR(SUM(_xlfn._xlws.FILTER(Table_Datafeed[CP tiêu hao VP],
(Table_Datafeed[Kỳ]&gt;=DATE(YEAR(Pivot!$E$2)-1, MONTH(Pivot!$E$2),1))*
(Table_Datafeed[Kỳ]&lt;=DATE(YEAR(Pivot!$E$3)-1,MONTH(Pivot!$E$3),1))
)),0)))</f>
        <v>0</v>
      </c>
      <c r="CZ43" s="166">
        <f t="shared" si="1"/>
        <v>0</v>
      </c>
      <c r="DA43" s="160">
        <f t="shared" si="2"/>
        <v>0</v>
      </c>
      <c r="DB43" s="144"/>
      <c r="DC43" s="144"/>
    </row>
    <row r="44" spans="57:107" ht="18" customHeight="1" x14ac:dyDescent="0.3">
      <c r="BE44" s="130"/>
      <c r="CV44" s="138" t="s">
        <v>148</v>
      </c>
      <c r="CW44" s="166" cm="1">
        <f t="array" ref="CW44">-IFERROR(SUM(_xlfn._xlws.FILTER(Table_Datafeed[CP vận hành kênh],
(Table_Datafeed[Kỳ]&gt;=Pivot!$E$2)*
(Table_Datafeed[Kỳ]&lt;=Pivot!$E$3)
)),0)</f>
        <v>0</v>
      </c>
      <c r="CX44" s="166">
        <f t="shared" si="0"/>
        <v>0</v>
      </c>
      <c r="CY44" s="138" cm="1">
        <f t="array" ref="CY44" xml:space="preserve">
IF($CV$31=FALSE,
MAX(0,
CW44+IFERROR(SUM(_xlfn._xlws.FILTER(Table_Datafeed[CP vận hành kênh],
(Table_Datafeed[Kỳ]&gt;=DATE(YEAR(Pivot!$E$2)-1, MONTH(Pivot!$E$2),1))*
(Table_Datafeed[Kỳ]&lt;=DATE(YEAR(Pivot!$E$3)-1,MONTH(Pivot!$E$3),1))
)),0)),
MIN(0,
CW44+IFERROR(SUM(_xlfn._xlws.FILTER(Table_Datafeed[CP vận hành kênh],
(Table_Datafeed[Kỳ]&gt;=DATE(YEAR(Pivot!$E$2)-1, MONTH(Pivot!$E$2),1))*
(Table_Datafeed[Kỳ]&lt;=DATE(YEAR(Pivot!$E$3)-1,MONTH(Pivot!$E$3),1))
)),0)))</f>
        <v>0</v>
      </c>
      <c r="CZ44" s="166">
        <f t="shared" si="1"/>
        <v>0</v>
      </c>
      <c r="DA44" s="160">
        <f t="shared" si="2"/>
        <v>0</v>
      </c>
      <c r="DB44" s="144"/>
      <c r="DC44" s="144"/>
    </row>
    <row r="45" spans="57:107" ht="18" customHeight="1" x14ac:dyDescent="0.3">
      <c r="BE45" s="130"/>
      <c r="CV45" s="138" t="s">
        <v>149</v>
      </c>
      <c r="CW45" s="166" cm="1">
        <f t="array" ref="CW45">-IFERROR(SUM(_xlfn._xlws.FILTER(Table_Datafeed[CP marketing],
(Table_Datafeed[Kỳ]&gt;=Pivot!$E$2)*
(Table_Datafeed[Kỳ]&lt;=Pivot!$E$3)
)),0)</f>
        <v>0</v>
      </c>
      <c r="CX45" s="166">
        <f t="shared" si="0"/>
        <v>0</v>
      </c>
      <c r="CY45" s="138" cm="1">
        <f t="array" ref="CY45" xml:space="preserve">
IF($CV$31=FALSE,
MAX(0,
CW45+IFERROR(SUM(_xlfn._xlws.FILTER(Table_Datafeed[CP marketing],
(Table_Datafeed[Kỳ]&gt;=DATE(YEAR(Pivot!$E$2)-1, MONTH(Pivot!$E$2),1))*
(Table_Datafeed[Kỳ]&lt;=DATE(YEAR(Pivot!$E$3)-1,MONTH(Pivot!$E$3),1))
)),0)),
MIN(0,
CW45+IFERROR(SUM(_xlfn._xlws.FILTER(Table_Datafeed[CP marketing],
(Table_Datafeed[Kỳ]&gt;=DATE(YEAR(Pivot!$E$2)-1, MONTH(Pivot!$E$2),1))*
(Table_Datafeed[Kỳ]&lt;=DATE(YEAR(Pivot!$E$3)-1,MONTH(Pivot!$E$3),1))
)),0)))</f>
        <v>0</v>
      </c>
      <c r="CZ45" s="166">
        <f t="shared" si="1"/>
        <v>0</v>
      </c>
      <c r="DA45" s="160">
        <f t="shared" si="2"/>
        <v>0</v>
      </c>
      <c r="DB45" s="144"/>
      <c r="DC45" s="144"/>
    </row>
    <row r="46" spans="57:107" ht="18" customHeight="1" x14ac:dyDescent="0.3">
      <c r="BE46" s="130"/>
      <c r="CV46" s="138" t="s">
        <v>150</v>
      </c>
      <c r="CW46" s="166" cm="1">
        <f t="array" ref="CW46">-IFERROR(SUM(_xlfn._xlws.FILTER(Table_Datafeed[CP dịch vụ],
(Table_Datafeed[Kỳ]&gt;=Pivot!$E$2)*
(Table_Datafeed[Kỳ]&lt;=Pivot!$E$3)
)),0)</f>
        <v>0</v>
      </c>
      <c r="CX46" s="166">
        <f t="shared" si="0"/>
        <v>0</v>
      </c>
      <c r="CY46" s="138" cm="1">
        <f t="array" ref="CY46" xml:space="preserve">
IF($CV$31=FALSE,
MAX(0,
CW46+IFERROR(SUM(_xlfn._xlws.FILTER(Table_Datafeed[CP dịch vụ],
(Table_Datafeed[Kỳ]&gt;=DATE(YEAR(Pivot!$E$2)-1, MONTH(Pivot!$E$2),1))*
(Table_Datafeed[Kỳ]&lt;=DATE(YEAR(Pivot!$E$3)-1,MONTH(Pivot!$E$3),1))
)),0)),
MIN(0,
CW46+IFERROR(SUM(_xlfn._xlws.FILTER(Table_Datafeed[CP dịch vụ],
(Table_Datafeed[Kỳ]&gt;=DATE(YEAR(Pivot!$E$2)-1, MONTH(Pivot!$E$2),1))*
(Table_Datafeed[Kỳ]&lt;=DATE(YEAR(Pivot!$E$3)-1,MONTH(Pivot!$E$3),1))
)),0)))</f>
        <v>0</v>
      </c>
      <c r="CZ46" s="166">
        <f t="shared" si="1"/>
        <v>0</v>
      </c>
      <c r="DA46" s="160">
        <f t="shared" si="2"/>
        <v>0</v>
      </c>
    </row>
    <row r="47" spans="57:107" ht="18" customHeight="1" x14ac:dyDescent="0.3">
      <c r="BE47" s="130"/>
      <c r="CV47" s="138" t="s">
        <v>151</v>
      </c>
      <c r="CW47" s="166" cm="1">
        <f t="array" ref="CW47">-IFERROR(SUM(_xlfn._xlws.FILTER(Table_Datafeed[CP khấu hao],
(Table_Datafeed[Kỳ]&gt;=Pivot!$E$2)*
(Table_Datafeed[Kỳ]&lt;=Pivot!$E$3)
)),0)</f>
        <v>0</v>
      </c>
      <c r="CX47" s="166">
        <f t="shared" si="0"/>
        <v>0</v>
      </c>
      <c r="CY47" s="138" cm="1">
        <f t="array" ref="CY47" xml:space="preserve">
IF($CV$31=FALSE,
MAX(0,
CW47+IFERROR(SUM(_xlfn._xlws.FILTER(Table_Datafeed[CP khấu hao],
(Table_Datafeed[Kỳ]&gt;=DATE(YEAR(Pivot!$E$2)-1, MONTH(Pivot!$E$2),1))*
(Table_Datafeed[Kỳ]&lt;=DATE(YEAR(Pivot!$E$3)-1,MONTH(Pivot!$E$3),1))
)),0)),
MIN(0,
CW47+IFERROR(SUM(_xlfn._xlws.FILTER(Table_Datafeed[CP khấu hao],
(Table_Datafeed[Kỳ]&gt;=DATE(YEAR(Pivot!$E$2)-1, MONTH(Pivot!$E$2),1))*
(Table_Datafeed[Kỳ]&lt;=DATE(YEAR(Pivot!$E$3)-1,MONTH(Pivot!$E$3),1))
)),0)))</f>
        <v>0</v>
      </c>
      <c r="CZ47" s="166">
        <f t="shared" si="1"/>
        <v>0</v>
      </c>
      <c r="DA47" s="160">
        <f t="shared" si="2"/>
        <v>0</v>
      </c>
    </row>
    <row r="48" spans="57:107" ht="18" customHeight="1" x14ac:dyDescent="0.3">
      <c r="BE48" s="130"/>
      <c r="CV48" s="138" t="s">
        <v>152</v>
      </c>
      <c r="CW48" s="166" cm="1">
        <f t="array" ref="CW48">-IFERROR(SUM(_xlfn._xlws.FILTER(Table_Datafeed[CP lãi vay],
(Table_Datafeed[Kỳ]&gt;=Pivot!$E$2)*
(Table_Datafeed[Kỳ]&lt;=Pivot!$E$3)
)),0)</f>
        <v>0</v>
      </c>
      <c r="CX48" s="166">
        <f t="shared" si="0"/>
        <v>0</v>
      </c>
      <c r="CY48" s="138" cm="1">
        <f t="array" ref="CY48" xml:space="preserve">
IF($CV$31=FALSE,
MAX(0,
CW48+IFERROR(SUM(_xlfn._xlws.FILTER(Table_Datafeed[CP lãi vay],
(Table_Datafeed[Kỳ]&gt;=DATE(YEAR(Pivot!$E$2)-1, MONTH(Pivot!$E$2),1))*
(Table_Datafeed[Kỳ]&lt;=DATE(YEAR(Pivot!$E$3)-1,MONTH(Pivot!$E$3),1))
)),0)),
MIN(0,
CW48+IFERROR(SUM(_xlfn._xlws.FILTER(Table_Datafeed[CP lãi vay],
(Table_Datafeed[Kỳ]&gt;=DATE(YEAR(Pivot!$E$2)-1, MONTH(Pivot!$E$2),1))*
(Table_Datafeed[Kỳ]&lt;=DATE(YEAR(Pivot!$E$3)-1,MONTH(Pivot!$E$3),1))
)),0)))</f>
        <v>0</v>
      </c>
      <c r="CZ48" s="166">
        <f t="shared" si="1"/>
        <v>0</v>
      </c>
      <c r="DA48" s="160">
        <f t="shared" si="2"/>
        <v>0</v>
      </c>
    </row>
    <row r="49" spans="57:105" ht="18" customHeight="1" x14ac:dyDescent="0.3">
      <c r="BE49" s="130"/>
      <c r="CV49" s="138" t="s">
        <v>4</v>
      </c>
      <c r="CW49" s="166" cm="1">
        <f t="array" ref="CW49">-IFERROR(SUM(_xlfn._xlws.FILTER(Table_Datafeed[Thuế phí NN],
(Table_Datafeed[Kỳ]&gt;=Pivot!$E$2)*
(Table_Datafeed[Kỳ]&lt;=Pivot!$E$3)
)),0)</f>
        <v>0</v>
      </c>
      <c r="CX49" s="166">
        <f t="shared" si="0"/>
        <v>0</v>
      </c>
      <c r="CY49" s="138" cm="1">
        <f t="array" ref="CY49" xml:space="preserve">
IF($CV$31=FALSE,
MAX(0,
CW49+IFERROR(SUM(_xlfn._xlws.FILTER(Table_Datafeed[Thuế phí NN],
(Table_Datafeed[Kỳ]&gt;=DATE(YEAR(Pivot!$E$2)-1, MONTH(Pivot!$E$2),1))*
(Table_Datafeed[Kỳ]&lt;=DATE(YEAR(Pivot!$E$3)-1,MONTH(Pivot!$E$3),1))
)),0)),
MIN(0,
CW49+IFERROR(SUM(_xlfn._xlws.FILTER(Table_Datafeed[Thuế phí NN],
(Table_Datafeed[Kỳ]&gt;=DATE(YEAR(Pivot!$E$2)-1, MONTH(Pivot!$E$2),1))*
(Table_Datafeed[Kỳ]&lt;=DATE(YEAR(Pivot!$E$3)-1,MONTH(Pivot!$E$3),1))
)),0)))</f>
        <v>0</v>
      </c>
      <c r="CZ49" s="166">
        <f t="shared" si="1"/>
        <v>0</v>
      </c>
      <c r="DA49" s="160">
        <f t="shared" si="2"/>
        <v>0</v>
      </c>
    </row>
    <row r="50" spans="57:105" ht="18" customHeight="1" x14ac:dyDescent="0.3">
      <c r="BE50" s="130"/>
      <c r="CV50" s="138" t="s">
        <v>153</v>
      </c>
      <c r="CW50" s="166" cm="1">
        <f t="array" ref="CW50">-IFERROR(SUM(_xlfn._xlws.FILTER(Table_Datafeed[CP khác],
(Table_Datafeed[Kỳ]&gt;=Pivot!$E$2)*
(Table_Datafeed[Kỳ]&lt;=Pivot!$E$3)
)),0)</f>
        <v>0</v>
      </c>
      <c r="CX50" s="166">
        <f t="shared" si="0"/>
        <v>0</v>
      </c>
      <c r="CY50" s="138" cm="1">
        <f t="array" ref="CY50" xml:space="preserve">
IF($CV$31=FALSE,
MAX(0,
CW50+IFERROR(SUM(_xlfn._xlws.FILTER(Table_Datafeed[CP khác],
(Table_Datafeed[Kỳ]&gt;=DATE(YEAR(Pivot!$E$2)-1, MONTH(Pivot!$E$2),1))*
(Table_Datafeed[Kỳ]&lt;=DATE(YEAR(Pivot!$E$3)-1,MONTH(Pivot!$E$3),1))
)),0)),
MIN(0,
CW50+IFERROR(SUM(_xlfn._xlws.FILTER(Table_Datafeed[CP khác],
(Table_Datafeed[Kỳ]&gt;=DATE(YEAR(Pivot!$E$2)-1, MONTH(Pivot!$E$2),1))*
(Table_Datafeed[Kỳ]&lt;=DATE(YEAR(Pivot!$E$3)-1,MONTH(Pivot!$E$3),1))
)),0)))</f>
        <v>0</v>
      </c>
      <c r="CZ50" s="166">
        <f t="shared" si="1"/>
        <v>0</v>
      </c>
      <c r="DA50" s="160">
        <f t="shared" si="2"/>
        <v>0</v>
      </c>
    </row>
    <row r="51" spans="57:105" ht="18" customHeight="1" x14ac:dyDescent="0.3">
      <c r="BE51" s="130"/>
      <c r="CV51" s="142" t="s">
        <v>125</v>
      </c>
    </row>
    <row r="52" spans="57:105" ht="18" customHeight="1" x14ac:dyDescent="0.3">
      <c r="BE52" s="130"/>
      <c r="CV52" s="138" t="s">
        <v>154</v>
      </c>
      <c r="CW52" s="138" t="s">
        <v>155</v>
      </c>
      <c r="CX52" s="138" t="s">
        <v>136</v>
      </c>
      <c r="CY52" s="138" t="s">
        <v>156</v>
      </c>
      <c r="CZ52" s="138" t="s">
        <v>157</v>
      </c>
    </row>
    <row r="53" spans="57:105" ht="18" customHeight="1" x14ac:dyDescent="0.3">
      <c r="BE53" s="130"/>
      <c r="CV53" s="138">
        <v>1</v>
      </c>
      <c r="CW53" s="138" t="str" cm="1">
        <f t="array" ref="CW53">INDEX($CV$34:$DA$50,MATCH(CV53,_xlfn.RANK.EQ($CW$34:$CW$50,$CW$34:$CW$50,0),0),1)</f>
        <v>Giảm giá</v>
      </c>
      <c r="CX53" s="138" t="str" cm="1">
        <f t="array" ref="CX53" xml:space="preserve">
IF($CV$31=FALSE,
INDEX($CV$34:$DA$50,MATCH(CV53,_xlfn.RANK.EQ($CY$34:$CY$50,$CY$34:$CY$50,0),0),1),
INDEX($CV$34:$DA$50,MATCH(CV53,_xlfn.RANK.EQ($CY$34:$CY$50,$CY$34:$CY$50,1),0),1)
)</f>
        <v>Giảm giá</v>
      </c>
      <c r="CY53" s="138" t="str" cm="1">
        <f t="array" ref="CY53" xml:space="preserve">
IF($CV$31=FALSE,
INDEX($CV$34:$DA$50,MATCH(CV53,_xlfn.RANK.EQ($DA$34:$DA$50,$DA$34:$DA$50,0),0),1),
INDEX($CV$34:$DA$50,MATCH(CV53,_xlfn.RANK.EQ($DA$34:$DA$50,$DA$34:$DA$50,1),0),1))</f>
        <v>Giảm giá</v>
      </c>
      <c r="CZ53" s="160" cm="1">
        <f t="array" ref="CZ53">INDEX($CV$34:$DA$50,MATCH(CY53,$CV$34:$CV$50,0),
COUNTA($CV$33:$DA$33))</f>
        <v>0</v>
      </c>
    </row>
    <row r="54" spans="57:105" ht="18" customHeight="1" x14ac:dyDescent="0.3">
      <c r="BE54" s="130"/>
      <c r="CV54" s="138">
        <v>2</v>
      </c>
      <c r="CW54" s="138" t="e" cm="1">
        <f t="array" ref="CW54">INDEX($CV$34:$DA$50,MATCH(CV54,_xlfn.RANK.EQ($CW$34:$CW$50,$CW$34:$CW$50,0),0),1)</f>
        <v>#N/A</v>
      </c>
      <c r="CX54" s="138" t="e" cm="1">
        <f t="array" ref="CX54" xml:space="preserve">
IF($CV$31=FALSE,
INDEX($CV$34:$DA$50,MATCH(CV54,_xlfn.RANK.EQ($CY$34:$CY$50,$CY$34:$CY$50,0),0),1),
INDEX($CV$34:$DA$50,MATCH(CV54,_xlfn.RANK.EQ($CY$34:$CY$50,$CY$34:$CY$50,1),0),1)
)</f>
        <v>#N/A</v>
      </c>
      <c r="CY54" s="138" t="e" cm="1">
        <f t="array" ref="CY54" xml:space="preserve">
IF($CV$31=FALSE,
INDEX($CV$34:$DA$50,MATCH(CV54,_xlfn.RANK.EQ($DA$34:$DA$50,$DA$34:$DA$50,0),0),1),
INDEX($CV$34:$DA$50,MATCH(CV54,_xlfn.RANK.EQ($DA$34:$DA$50,$DA$34:$DA$50,1),0),1))</f>
        <v>#N/A</v>
      </c>
      <c r="CZ54" s="160" t="e" cm="1">
        <f t="array" ref="CZ54">INDEX($CV$34:$DA$50,MATCH(CY54,$CV$34:$CV$50,0),
COUNTA($CV$33:$DA$33))</f>
        <v>#N/A</v>
      </c>
    </row>
    <row r="55" spans="57:105" ht="18" customHeight="1" x14ac:dyDescent="0.3">
      <c r="BE55" s="130"/>
      <c r="CV55" s="138">
        <v>3</v>
      </c>
      <c r="CW55" s="138" t="e" cm="1">
        <f t="array" ref="CW55">INDEX($CV$34:$DA$50,MATCH(CV55,_xlfn.RANK.EQ($CW$34:$CW$50,$CW$34:$CW$50,0),0),1)</f>
        <v>#N/A</v>
      </c>
      <c r="CX55" s="138" t="e" cm="1">
        <f t="array" ref="CX55" xml:space="preserve">
IF($CV$31=FALSE,
INDEX($CV$34:$DA$50,MATCH(CV55,_xlfn.RANK.EQ($CY$34:$CY$50,$CY$34:$CY$50,0),0),1),
INDEX($CV$34:$DA$50,MATCH(CV55,_xlfn.RANK.EQ($CY$34:$CY$50,$CY$34:$CY$50,1),0),1)
)</f>
        <v>#N/A</v>
      </c>
      <c r="CY55" s="138" t="e" cm="1">
        <f t="array" ref="CY55" xml:space="preserve">
IF($CV$31=FALSE,
INDEX($CV$34:$DA$50,MATCH(CV55,_xlfn.RANK.EQ($DA$34:$DA$50,$DA$34:$DA$50,0),0),1),
INDEX($CV$34:$DA$50,MATCH(CV55,_xlfn.RANK.EQ($DA$34:$DA$50,$DA$34:$DA$50,1),0),1))</f>
        <v>#N/A</v>
      </c>
      <c r="CZ55" s="160" t="e" cm="1">
        <f t="array" ref="CZ55">INDEX($CV$34:$DA$50,MATCH(CY55,$CV$34:$CV$50,0),
COUNTA($CV$33:$DA$33))</f>
        <v>#N/A</v>
      </c>
    </row>
  </sheetData>
  <sheetProtection algorithmName="SHA-512" hashValue="gwG7LvNBMCUnqJcd8EwOWsV7PUMNHUT1ZulmSlLl+EXg87fn+x1JNyf1jsDbdRiYr5oL6+mZo7Vgelg0R00+fQ==" saltValue="wz10ncOeA641NjIsEC9AMQ==" spinCount="100000" sheet="1" scenarios="1" formatCells="0" formatColumns="0" formatRows="0" insertColumns="0" insertRows="0" deleteColumns="0" deleteRows="0" sort="0" autoFilter="0" pivotTables="0"/>
  <dataConsolidate link="1"/>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83</xdr:col>
                    <xdr:colOff>266700</xdr:colOff>
                    <xdr:row>1</xdr:row>
                    <xdr:rowOff>171450</xdr:rowOff>
                  </from>
                  <to>
                    <xdr:col>84</xdr:col>
                    <xdr:colOff>295275</xdr:colOff>
                    <xdr:row>2</xdr:row>
                    <xdr:rowOff>123825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84</xdr:col>
                    <xdr:colOff>409575</xdr:colOff>
                    <xdr:row>1</xdr:row>
                    <xdr:rowOff>171450</xdr:rowOff>
                  </from>
                  <to>
                    <xdr:col>85</xdr:col>
                    <xdr:colOff>438150</xdr:colOff>
                    <xdr:row>2</xdr:row>
                    <xdr:rowOff>123825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85</xdr:col>
                    <xdr:colOff>552450</xdr:colOff>
                    <xdr:row>1</xdr:row>
                    <xdr:rowOff>171450</xdr:rowOff>
                  </from>
                  <to>
                    <xdr:col>86</xdr:col>
                    <xdr:colOff>581025</xdr:colOff>
                    <xdr:row>2</xdr:row>
                    <xdr:rowOff>123825</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87</xdr:col>
                    <xdr:colOff>9525</xdr:colOff>
                    <xdr:row>1</xdr:row>
                    <xdr:rowOff>171450</xdr:rowOff>
                  </from>
                  <to>
                    <xdr:col>88</xdr:col>
                    <xdr:colOff>38100</xdr:colOff>
                    <xdr:row>2</xdr:row>
                    <xdr:rowOff>123825</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83</xdr:col>
                    <xdr:colOff>295275</xdr:colOff>
                    <xdr:row>29</xdr:row>
                    <xdr:rowOff>38100</xdr:rowOff>
                  </from>
                  <to>
                    <xdr:col>84</xdr:col>
                    <xdr:colOff>428625</xdr:colOff>
                    <xdr:row>30</xdr:row>
                    <xdr:rowOff>38100</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1</xdr:row>
                    <xdr:rowOff>19050</xdr:rowOff>
                  </from>
                  <to>
                    <xdr:col>0</xdr:col>
                    <xdr:colOff>609600</xdr:colOff>
                    <xdr:row>1</xdr:row>
                    <xdr:rowOff>200025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1</xdr:row>
                    <xdr:rowOff>219075</xdr:rowOff>
                  </from>
                  <to>
                    <xdr:col>0</xdr:col>
                    <xdr:colOff>609600</xdr:colOff>
                    <xdr:row>2</xdr:row>
                    <xdr:rowOff>171450</xdr:rowOff>
                  </to>
                </anchor>
              </controlPr>
            </control>
          </mc:Choice>
        </mc:AlternateContent>
      </controls>
    </mc:Choice>
  </mc:AlternateContent>
  <tableParts count="2">
    <tablePart r:id="rId11"/>
    <tablePart r:id="rId12"/>
  </tableParts>
  <extLst>
    <ext xmlns:x15="http://schemas.microsoft.com/office/spreadsheetml/2010/11/main" uri="{7E03D99C-DC04-49d9-9315-930204A7B6E9}">
      <x15:timelineRefs>
        <x15:timelineRef r:id="rId1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C89-A6CE-4A4C-8F91-5263639D8A22}">
  <sheetPr codeName="Sheet47">
    <tabColor theme="9" tint="0.39997558519241921"/>
    <outlinePr summaryBelow="0" summaryRight="0"/>
  </sheetPr>
  <dimension ref="A1:DD50"/>
  <sheetViews>
    <sheetView showGridLines="0" topLeftCell="I23" zoomScaleNormal="100" workbookViewId="0">
      <selection activeCell="P48" sqref="P48"/>
    </sheetView>
  </sheetViews>
  <sheetFormatPr defaultRowHeight="18" customHeight="1" outlineLevelCol="1" x14ac:dyDescent="0.15"/>
  <cols>
    <col min="1" max="1" width="3" style="130" customWidth="1"/>
    <col min="2" max="2" width="8.875" style="131" customWidth="1"/>
    <col min="3" max="3" width="15.75" style="131" bestFit="1" customWidth="1"/>
    <col min="4" max="43" width="9" style="131"/>
    <col min="44" max="47" width="11.5" style="131" customWidth="1"/>
    <col min="48" max="49" width="9" style="131"/>
    <col min="50" max="64" width="10.75" style="131" customWidth="1"/>
    <col min="65" max="65" width="10.75" style="135" customWidth="1"/>
    <col min="66" max="66" width="13.625" style="137" bestFit="1" customWidth="1"/>
    <col min="67" max="67" width="14.375" style="137" bestFit="1" customWidth="1"/>
    <col min="68" max="68" width="11.125" style="137" bestFit="1" customWidth="1"/>
    <col min="69" max="69" width="11.125" style="137" customWidth="1"/>
    <col min="70" max="70" width="11.625" style="137" bestFit="1" customWidth="1"/>
    <col min="71" max="71" width="11.375" style="137" customWidth="1"/>
    <col min="72" max="72" width="9" style="137"/>
    <col min="73" max="77" width="9" style="137" customWidth="1" outlineLevel="1"/>
    <col min="78" max="82" width="11.125" style="137" customWidth="1" outlineLevel="1"/>
    <col min="83" max="86" width="9" style="137" customWidth="1" outlineLevel="1"/>
    <col min="87" max="87" width="9" style="137" customWidth="1"/>
    <col min="88" max="93" width="9" style="137" customWidth="1" outlineLevel="1"/>
    <col min="94" max="94" width="13" style="137" customWidth="1" outlineLevel="1"/>
    <col min="95" max="95" width="9" style="137" customWidth="1" outlineLevel="1"/>
    <col min="96" max="96" width="9" style="137" customWidth="1"/>
    <col min="97" max="99" width="9" style="137" customWidth="1" outlineLevel="1"/>
    <col min="100" max="100" width="9" style="137"/>
    <col min="101" max="103" width="9" style="137" customWidth="1" outlineLevel="1"/>
    <col min="104" max="108" width="9" style="137"/>
    <col min="109" max="16384" width="9" style="131"/>
  </cols>
  <sheetData>
    <row r="1" spans="2:72" ht="18" customHeight="1" x14ac:dyDescent="0.15">
      <c r="AP1" s="137"/>
      <c r="AQ1" s="137" t="str" cm="1">
        <f t="array" aca="1" ref="AQ1:AW1" ca="1">TRANSPOSE(_xlfn._xlws.SORT(_xlfn.UNIQUE(Pivot_ThiTruong_MaKhach)))</f>
        <v>KH01</v>
      </c>
      <c r="AR1" s="137" t="str">
        <f ca="1"/>
        <v>KH02</v>
      </c>
      <c r="AS1" s="137" t="str">
        <f ca="1"/>
        <v>KH03</v>
      </c>
      <c r="AT1" s="137" t="str">
        <f ca="1"/>
        <v>KH04</v>
      </c>
      <c r="AU1" s="137" t="str">
        <f ca="1"/>
        <v>KH05</v>
      </c>
      <c r="AV1" s="137" t="str">
        <f ca="1"/>
        <v>KH06</v>
      </c>
      <c r="AW1" s="137" t="str">
        <f ca="1"/>
        <v>KH07</v>
      </c>
      <c r="AX1" s="137"/>
      <c r="AY1" s="137"/>
      <c r="AZ1" s="137"/>
      <c r="BA1" s="137"/>
      <c r="BB1" s="137"/>
      <c r="BC1" s="137"/>
      <c r="BD1" s="137"/>
      <c r="BE1" s="137"/>
      <c r="BF1" s="137"/>
      <c r="BG1" s="137"/>
      <c r="BH1" s="137"/>
      <c r="BI1" s="137"/>
      <c r="BJ1" s="137"/>
      <c r="BK1" s="137"/>
      <c r="BL1" s="137"/>
    </row>
    <row r="2" spans="2:72" ht="18" customHeight="1" x14ac:dyDescent="0.15">
      <c r="AP2" s="137"/>
      <c r="AQ2" s="137"/>
      <c r="AR2" s="137" t="s">
        <v>158</v>
      </c>
      <c r="AS2" s="137" t="s">
        <v>159</v>
      </c>
      <c r="AT2" s="137" t="s">
        <v>33</v>
      </c>
      <c r="AU2" s="137" t="s">
        <v>22</v>
      </c>
      <c r="AV2" s="137" t="s">
        <v>160</v>
      </c>
      <c r="AW2" s="137" t="s">
        <v>161</v>
      </c>
      <c r="AX2" s="137" t="s">
        <v>162</v>
      </c>
      <c r="AY2" s="137" t="s">
        <v>22</v>
      </c>
      <c r="AZ2" s="137" t="s">
        <v>163</v>
      </c>
      <c r="BA2" s="137" t="s">
        <v>161</v>
      </c>
      <c r="BB2" s="137" t="s">
        <v>164</v>
      </c>
      <c r="BC2" s="137" t="s">
        <v>165</v>
      </c>
      <c r="BD2" s="137" t="s">
        <v>161</v>
      </c>
      <c r="BE2" s="137" t="s">
        <v>166</v>
      </c>
      <c r="BF2" s="137" t="s">
        <v>167</v>
      </c>
      <c r="BG2" s="137" t="s">
        <v>168</v>
      </c>
      <c r="BH2" s="137" t="s">
        <v>169</v>
      </c>
      <c r="BI2" s="137" t="s">
        <v>22</v>
      </c>
      <c r="BJ2" s="137" t="s">
        <v>170</v>
      </c>
      <c r="BK2" s="137" t="s">
        <v>171</v>
      </c>
      <c r="BL2" s="137"/>
    </row>
    <row r="3" spans="2:72" ht="18" customHeight="1" x14ac:dyDescent="0.15">
      <c r="AP3" s="137"/>
      <c r="AQ3" s="137" t="str">
        <f>AA4</f>
        <v>KH01</v>
      </c>
      <c r="AR3" s="137" t="e">
        <f>IF(NOT(ISBLANK($AA$4)),
VLOOKUP($AQ$3,Table_KhachHang[Mã KH]:Table_KhachHang[Tên KH],2,0),"")</f>
        <v>#N/A</v>
      </c>
      <c r="AS3" s="137" t="e">
        <f ca="1">IF(NOT(ISBLANK($AA$4)),
VLOOKUP($AQ$3,Dashboard_ThiTruong_KhachHang[[Khách hàng]:[Nhóm khách]],5,0),"")</f>
        <v>#N/A</v>
      </c>
      <c r="AT3" s="137" t="e">
        <f ca="1">IF(NOT(ISBLANK($AA$4)),
VLOOKUP($AQ$3,_xlfn.ANCHORARRAY(BO31):_xlfn.ANCHORARRAY(BX31),10,0),"")</f>
        <v>#N/A</v>
      </c>
      <c r="AU3" s="138" t="str">
        <f ca="1">IFERROR(TEXT(AT3,LOOKUP(AT3,Pivot!$B$6:$B$12,Pivot!$C$6:$C$12)),"")</f>
        <v/>
      </c>
      <c r="AV3" s="137" t="e">
        <f ca="1">_xlfn.RANK.EQ(AT3,_xlfn.ANCHORARRAY(BX31),0)</f>
        <v>#N/A</v>
      </c>
      <c r="AW3" s="139" t="e" cm="1">
        <f t="array" aca="1" ref="AW3" ca="1">AV3/(COUNT(_xlfn._xlws.FILTER(Dashboard_ThiTruong_KhachHang[Doanh thu],Dashboard_ThiTruong_KhachHang[Doanh thu]&gt;0)))</f>
        <v>#N/A</v>
      </c>
      <c r="AX3" s="137" t="e">
        <f ca="1">IF(NOT(ISBLANK($AA$4)),
VLOOKUP($AQ$3,Dashboard_ThiTruong_KhachHang[[Khách hàng]:[Doanh thu / ngày]],3,0),"")</f>
        <v>#N/A</v>
      </c>
      <c r="AY3" s="138" t="str">
        <f ca="1">IFERROR(TEXT(AX3,LOOKUP(AX3,Pivot!$B$6:$B$12,Pivot!$C$6:$C$12)),"")</f>
        <v/>
      </c>
      <c r="AZ3" s="137" t="e">
        <f ca="1">_xlfn.RANK.EQ(AX3,Dashboard_ThiTruong_KhachHang[Doanh thu / ngày],0)</f>
        <v>#N/A</v>
      </c>
      <c r="BA3" s="139" t="e" cm="1">
        <f t="array" aca="1" ref="BA3" ca="1">AZ3/(COUNT(_xlfn._xlws.FILTER(Dashboard_ThiTruong_KhachHang[Doanh thu],Dashboard_ThiTruong_KhachHang[Doanh thu]&gt;0)))</f>
        <v>#N/A</v>
      </c>
      <c r="BB3" s="140" t="e">
        <f>IF(NOT(ISBLANK($AA$4)),
VLOOKUP($AQ$3,_xlfn.ANCHORARRAY(BO31):_xlfn.ANCHORARRAY(CD31),16,0),"")</f>
        <v>#N/A</v>
      </c>
      <c r="BC3" s="137" t="e">
        <f>_xlfn.RANK.EQ(BB3,_xlfn.ANCHORARRAY(CD31),1)</f>
        <v>#N/A</v>
      </c>
      <c r="BD3" s="139" t="e">
        <f ca="1">BC3/(COUNT(Dashboard_ThiTruong_KhachHang[Doanh thu]))</f>
        <v>#N/A</v>
      </c>
      <c r="BE3" s="137" t="e">
        <f ca="1">IF(NOT(ISBLANK($AA$4)),
VLOOKUP($AQ$3,Dashboard_ThiTruong_KhachHang[[Khách hàng]:[Số ngày chưa mua]],4,0),"")</f>
        <v>#N/A</v>
      </c>
      <c r="BF3" s="137" t="e">
        <f ca="1">IF(BE3&lt;=BB3,"trong tần suất mua hàng trung bình",BG3)</f>
        <v>#N/A</v>
      </c>
      <c r="BG3" s="137" t="e">
        <f ca="1">CONCATENATE("đã vượt ",ROUND((BE3/BB3-1)*100,1),"% so lịch sử mua hàng")</f>
        <v>#N/A</v>
      </c>
      <c r="BH3" s="137" t="e">
        <f>VLOOKUP($AQ$3,_xlfn.ANCHORARRAY($BO$31):_xlfn.ANCHORARRAY($CH$31),20,0)</f>
        <v>#N/A</v>
      </c>
      <c r="BI3" s="138" t="str">
        <f>IFERROR(TEXT(BH3,LOOKUP(BH3,Pivot!$B$6:$B$12,Pivot!$C$6:$C$12)),"")</f>
        <v/>
      </c>
      <c r="BJ3" s="137" t="e">
        <f>IF(BH3&lt;0, "không có dư nợ",BK3)</f>
        <v>#N/A</v>
      </c>
      <c r="BK3" s="137" t="e">
        <f>CONCATENATE("chiếm ",ROUND(BH3/SUMIFS(_xlfn.ANCHORARRAY(CH31),_xlfn.ANCHORARRAY(CH31),"&gt;0")*100,1)," % nợ phải thu")</f>
        <v>#N/A</v>
      </c>
      <c r="BL3" s="137"/>
    </row>
    <row r="4" spans="2:72" ht="18" customHeight="1" x14ac:dyDescent="0.15">
      <c r="AA4" s="560" t="s">
        <v>939</v>
      </c>
      <c r="AB4" s="560"/>
      <c r="AC4" s="560"/>
      <c r="AP4" s="137"/>
      <c r="AQ4" s="137"/>
      <c r="AR4" s="137"/>
      <c r="AS4" s="137"/>
      <c r="AT4" s="137"/>
      <c r="AU4" s="137"/>
      <c r="AV4" s="137"/>
      <c r="AW4" s="137"/>
      <c r="AX4" s="137"/>
      <c r="AY4" s="137"/>
      <c r="AZ4" s="137"/>
      <c r="BA4" s="137"/>
      <c r="BB4" s="137"/>
      <c r="BC4" s="137"/>
      <c r="BD4" s="137"/>
      <c r="BE4" s="137"/>
      <c r="BF4" s="137"/>
      <c r="BG4" s="137"/>
      <c r="BH4" s="137"/>
      <c r="BI4" s="137"/>
      <c r="BJ4" s="137"/>
      <c r="BK4" s="137"/>
      <c r="BL4" s="137"/>
    </row>
    <row r="5" spans="2:72" ht="16.5" x14ac:dyDescent="0.3">
      <c r="B5" s="134"/>
      <c r="AP5" s="137"/>
      <c r="AQ5" s="137"/>
      <c r="AR5" s="137">
        <f ca="1">_xlfn.MINIFS(Dashboard_ThiTruong_KhachHang[Doanh thu / ngày],Dashboard_ThiTruong_KhachHang[Doanh thu / ngày],"&gt;0")</f>
        <v>0</v>
      </c>
      <c r="AS5" s="137">
        <f ca="1">_xlfn.MINIFS(Dashboard_ThiTruong_KhachHang[Số ngày chưa mua],Dashboard_ThiTruong_KhachHang[Số ngày chưa mua],"&gt;0")</f>
        <v>0</v>
      </c>
      <c r="AT5" s="137" t="e">
        <f ca="1">AVERAGEIF(Dashboard_ThiTruong_KhachHang[Doanh thu / ngày],"&gt;0",Dashboard_ThiTruong_KhachHang[Doanh thu / ngày])</f>
        <v>#DIV/0!</v>
      </c>
      <c r="AU5" s="137" t="e">
        <f ca="1">AVERAGEIF(Dashboard_ThiTruong_KhachHang[Số ngày chưa mua],"&gt;0",Dashboard_ThiTruong_KhachHang[Số ngày chưa mua])</f>
        <v>#DIV/0!</v>
      </c>
      <c r="AV5" s="137"/>
      <c r="AW5" s="137"/>
      <c r="AX5" s="137"/>
      <c r="AY5" s="137"/>
      <c r="AZ5" s="137"/>
      <c r="BA5" s="137"/>
      <c r="BB5" s="137"/>
      <c r="BC5" s="137"/>
      <c r="BD5" s="137"/>
      <c r="BE5" s="137"/>
      <c r="BF5" s="137"/>
      <c r="BG5" s="137"/>
      <c r="BH5" s="137"/>
      <c r="BI5" s="137"/>
      <c r="BJ5" s="137"/>
      <c r="BK5" s="137"/>
      <c r="BL5" s="137"/>
      <c r="BO5" s="137" t="s">
        <v>21</v>
      </c>
      <c r="BP5" s="137" t="s">
        <v>21</v>
      </c>
      <c r="BQ5" s="137" t="s">
        <v>22</v>
      </c>
      <c r="BR5" s="137" t="s">
        <v>71</v>
      </c>
      <c r="BS5" s="137" t="s">
        <v>22</v>
      </c>
    </row>
    <row r="6" spans="2:72" ht="16.5" x14ac:dyDescent="0.3">
      <c r="B6" s="134"/>
      <c r="AP6" s="137"/>
      <c r="AQ6" s="137"/>
      <c r="AR6" s="137" t="e">
        <f ca="1">MAX(Dashboard_ThiTruong_KhachHang[Doanh thu / ngày])</f>
        <v>#N/A</v>
      </c>
      <c r="AS6" s="137" t="e">
        <f ca="1">MAX(Dashboard_ThiTruong_KhachHang[Số ngày chưa mua])</f>
        <v>#N/A</v>
      </c>
      <c r="AT6" s="137" t="e">
        <f ca="1">AVERAGEIF(Dashboard_ThiTruong_KhachHang[Doanh thu / ngày],"&gt;0",Dashboard_ThiTruong_KhachHang[Doanh thu / ngày])</f>
        <v>#DIV/0!</v>
      </c>
      <c r="AU6" s="137" t="e">
        <f ca="1">AVERAGEIF(Dashboard_ThiTruong_KhachHang[Số ngày chưa mua],"&gt;0",Dashboard_ThiTruong_KhachHang[Số ngày chưa mua])</f>
        <v>#DIV/0!</v>
      </c>
      <c r="AV6" s="137"/>
      <c r="AW6" s="137"/>
      <c r="AX6" s="137"/>
      <c r="AY6" s="137"/>
      <c r="AZ6" s="137"/>
      <c r="BA6" s="137"/>
      <c r="BB6" s="137"/>
      <c r="BC6" s="137"/>
      <c r="BD6" s="137"/>
      <c r="BE6" s="137"/>
      <c r="BF6" s="137"/>
      <c r="BG6" s="137"/>
      <c r="BH6" s="137"/>
      <c r="BI6" s="137"/>
      <c r="BJ6" s="137"/>
      <c r="BK6" s="137"/>
      <c r="BL6" s="137"/>
      <c r="BO6" s="137" t="s">
        <v>172</v>
      </c>
      <c r="BP6" s="137" cm="1">
        <f t="array" ref="BP6">IFERROR(ROWS(
_xlfn.UNIQUE(_xlfn._xlws.FILTER(Table_DonBan[Mã Khách],
(Table_DonBan[Ngày lập] &gt;=Pivot!$H$2)*
(Table_DonBan[Ngày lập] &lt;=Pivot!$H$3)
))),0)</f>
        <v>0</v>
      </c>
      <c r="BQ6" s="138" t="str">
        <f>IFERROR(TEXT(BP6,LOOKUP(BP6,Pivot!$B$6:$B$12,Pivot!$C$6:$C$12)),"")</f>
        <v/>
      </c>
      <c r="BR6" s="137" cm="1">
        <f t="array" ref="BR6">IFERROR(ABS(BP6-ROWS(
_xlfn.UNIQUE(_xlfn._xlws.FILTER(Table_DonBan[Mã Khách],
(Table_DonBan[Ngày lập] &gt;= DATE(YEAR(Pivot!$H$2)-1,MONTH(Pivot!$H$2),1))*
(Table_DonBan[Ngày lập] &lt;= DATE(YEAR(Pivot!$H$3)-1,MONTH(Pivot!$H$3),1))
)))),0)</f>
        <v>0</v>
      </c>
      <c r="BS6" s="138" t="str">
        <f>IFERROR(TEXT(BR6,LOOKUP(BR6,Pivot!$B$6:$B$12,Pivot!$C$6:$C$12)),"")</f>
        <v/>
      </c>
      <c r="BT6" s="137" t="str" cm="1">
        <f t="array" ref="BT6">IFERROR(IF(BP6-ROWS(
_xlfn.UNIQUE(_xlfn._xlws.FILTER(Table_DonBan[Mã Khách],
(Table_DonBan[Ngày lập] &gt;= DATE(YEAR(Pivot!$H$2)-1,MONTH(Pivot!$H$2),1))*
(Table_DonBan[Ngày lập] &lt;= DATE(YEAR(Pivot!$H$3)-1,MONTH(Pivot!$H$3),1))
)))&gt;=0,"tăng","giảm"),"")</f>
        <v/>
      </c>
    </row>
    <row r="7" spans="2:72" ht="16.5" x14ac:dyDescent="0.3">
      <c r="B7" s="134"/>
      <c r="AR7" s="135" t="s">
        <v>173</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H7" s="135"/>
      <c r="BI7" s="135"/>
      <c r="BJ7" s="135" t="s">
        <v>159</v>
      </c>
      <c r="BK7" s="135" t="s">
        <v>21</v>
      </c>
      <c r="BL7" s="135" t="s">
        <v>179</v>
      </c>
      <c r="BO7" s="137" t="s">
        <v>180</v>
      </c>
      <c r="BP7" s="137" cm="1">
        <f t="array" ref="BP7">IFERROR(ROWS(
_xlfn.UNIQUE(_xlfn._xlws.FILTER(Table_DonBan[Mã Khách],
(Table_DonBan[Ngày lập] &gt;=Pivot!$H$2)*
(Table_DonBan[Ngày lập] &lt;=Pivot!$H$3)*
(Table_DonBan[STT đơn của khách]=1)
))),0)</f>
        <v>0</v>
      </c>
      <c r="BQ7" s="138" t="str">
        <f>IFERROR(TEXT(BP7,LOOKUP(BP7,Pivot!$B$6:$B$12,Pivot!$C$6:$C$12)),"")</f>
        <v/>
      </c>
      <c r="BR7" s="137" cm="1">
        <f t="array" ref="BR7">IFERROR(ABS(BP7-ROWS(
_xlfn.UNIQUE(_xlfn._xlws.FILTER(Table_DonBan[Mã Khách],
(Table_DonBan[Ngày lập] &gt;= DATE(YEAR(Pivot!$H$2)-1,MONTH(Pivot!$H$2),1))*
(Table_DonBan[Ngày lập] &lt;= DATE(YEAR(Pivot!$H$3)-1,MONTH(Pivot!$H$3),1))*
(Table_DonBan[STT đơn của khách]=1)
)))),0)</f>
        <v>0</v>
      </c>
      <c r="BS7" s="138" t="str">
        <f>IFERROR(TEXT(BR7,LOOKUP(BR7,Pivot!$B$6:$B$12,Pivot!$C$6:$C$12)),"")</f>
        <v/>
      </c>
      <c r="BT7" s="137" t="str" cm="1">
        <f t="array" ref="BT7">IFERROR(IF(BP7-ROWS(
_xlfn.UNIQUE(_xlfn._xlws.FILTER(Table_DonBan[Mã Khách],
(Table_DonBan[Ngày lập] &gt;= DATE(YEAR(Pivot!$H$2)-1,MONTH(Pivot!$H$2),1))*
(Table_DonBan[Ngày lập] &lt;= DATE(YEAR(Pivot!$H$3)-1,MONTH(Pivot!$H$3),1))*
(Table_DonBan[STT đơn của khách]=1)
)))&gt;=0,"tăng","giảm"),"")</f>
        <v/>
      </c>
    </row>
    <row r="8" spans="2:72" ht="16.5" x14ac:dyDescent="0.3">
      <c r="B8" s="134"/>
      <c r="AQ8" s="131" t="str" cm="1">
        <f t="array" ref="AQ8:AQ10">Table_KhachHang[Mã KH]</f>
        <v>KH3</v>
      </c>
      <c r="AR8" s="131" t="s">
        <v>939</v>
      </c>
      <c r="AS8" s="203" t="e">
        <f ca="1">VLOOKUP(Dashboard_ThiTruong_KhachHang[[#This Row],[Khách hàng]],_xlfn.ANCHORARRAY($BO$31):_xlfn.ANCHORARRAY($BV$31),8,0)</f>
        <v>#N/A</v>
      </c>
      <c r="AT8" s="203" t="e">
        <f ca="1">VLOOKUP(Dashboard_ThiTruong_KhachHang[[#This Row],[Khách hàng]],_xlfn.ANCHORARRAY($BO$31):_xlfn.ANCHORARRAY($BZ$31),12,0)</f>
        <v>#N/A</v>
      </c>
      <c r="AU8" s="203" t="e">
        <f ca="1">VLOOKUP(Dashboard_ThiTruong_KhachHang[[#This Row],[Khách hàng]],_xlfn.ANCHORARRAY($BO$31):_xlfn.ANCHORARRAY($CB$31),14,0)</f>
        <v>#N/A</v>
      </c>
      <c r="AV8" s="157" t="e" cm="1">
        <f t="array" aca="1" ref="AV8"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X8" s="131" cm="1">
        <f t="array" ref="AX8">_xlfn.UNIQUE(Table_KhachHang[Phân khúc])</f>
        <v>0</v>
      </c>
      <c r="AY8" s="131" t="s">
        <v>1005</v>
      </c>
      <c r="AZ8" s="158" t="e">
        <f>VLOOKUP(Dashboard_ThiTruong_PhanKhuc[[#This Row],[Phân khúc]],CJ:CK,2,0)</f>
        <v>#N/A</v>
      </c>
      <c r="BA8" s="158" t="e">
        <f>VLOOKUP(Dashboard_ThiTruong_PhanKhuc[[#This Row],[Phân khúc]],CJ:CM,4,0)</f>
        <v>#N/A</v>
      </c>
      <c r="BB8" s="159" t="e">
        <f>VLOOKUP(Dashboard_ThiTruong_PhanKhuc[[#This Row],[Phân khúc]],CJ:CO,6,0)</f>
        <v>#N/A</v>
      </c>
      <c r="BC8" s="157" t="e">
        <f>VLOOKUP(Dashboard_ThiTruong_PhanKhuc[[#This Row],[Phân khúc]],CJ:CP,7,0)</f>
        <v>#N/A</v>
      </c>
      <c r="BD8" s="133"/>
      <c r="BE8" s="133" cm="1">
        <f t="array" ref="BE8">_xlfn.UNIQUE(Table_KhachHang[Tỉnh])</f>
        <v>0</v>
      </c>
      <c r="BF8" s="133" t="s">
        <v>996</v>
      </c>
      <c r="BG8" s="203" t="e">
        <f>VLOOKUP(Dashboard_ThiTruong_TinhThanh[[#This Row],[Tỉnh]],CS:CT,2,0)</f>
        <v>#N/A</v>
      </c>
      <c r="BH8" s="133"/>
      <c r="BI8" s="133" cm="1">
        <f t="array" ref="BI8">_xlfn.UNIQUE(Table_SKU[Nhóm 1])</f>
        <v>0</v>
      </c>
      <c r="BJ8" s="133" t="s">
        <v>29</v>
      </c>
      <c r="BK8" s="203" t="e">
        <f ca="1">IF(ISBLANK($AA$4),
VLOOKUP(Dashboard_ThiTruong_NhomSP[[#This Row],[Nhóm]],_xlfn.ANCHORARRAY($CW$31):_xlfn.ANCHORARRAY($CY$31),2,0),
VLOOKUP(Dashboard_ThiTruong_NhomSP[[#This Row],[Nhóm]],_xlfn.ANCHORARRAY($CW$31):_xlfn.ANCHORARRAY($CY$31),3,0)
)</f>
        <v>#N/A</v>
      </c>
      <c r="BL8" s="159" t="e">
        <f ca="1">Dashboard_ThiTruong_NhomSP[[#This Row],[Giá trị]]/SUM(Dashboard_ThiTruong_NhomSP[Giá trị])</f>
        <v>#N/A</v>
      </c>
      <c r="BM8" s="147"/>
      <c r="BO8" s="137" t="s">
        <v>181</v>
      </c>
      <c r="BP8" s="204" cm="1">
        <f t="array" ref="BP8" xml:space="preserve">
IFERROR(
SUM(_xlfn._xlws.FILTER(Table_DonBan[Tiền hàng]-Table_DonBan[Giá trị CK],
(Table_DonBan[Ngày lập] &gt;=Pivot!$H$2)*
(Table_DonBan[Ngày lập] &lt;=Pivot!$H$3)
))/
ROWS(
_xlfn.UNIQUE(_xlfn._xlws.FILTER(Table_DonBan[Mã Khách],
(Table_DonBan[Ngày lập] &gt;=Pivot!$H$2)*
(Table_DonBan[Ngày lập] &lt;=Pivot!$H$3)
))),0)</f>
        <v>0</v>
      </c>
      <c r="BQ8" s="138" t="str">
        <f>IFERROR(TEXT(BP8,LOOKUP(BP8,Pivot!$B$6:$B$12,Pivot!$C$6:$C$12)),"")</f>
        <v/>
      </c>
      <c r="BR8" s="137" cm="1">
        <f t="array" ref="BR8">IFERROR(
ABS(BP8-SUM(_xlfn._xlws.FILTER(Table_DonBan[Tiền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)))),0)</f>
        <v>0</v>
      </c>
      <c r="BS8" s="138" t="str">
        <f>IFERROR(TEXT(BR8,LOOKUP(BR8,Pivot!$B$6:$B$12,Pivot!$C$6:$C$12)),"")</f>
        <v/>
      </c>
      <c r="BT8" s="137" t="str" cm="1">
        <f t="array" ref="BT8">IFERROR(
IF(BP8-SUM(_xlfn._xlws.FILTER(Table_DonBan[Tiền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)))&gt;=0,"tăng", "giảm"),"")</f>
        <v/>
      </c>
    </row>
    <row r="9" spans="2:72" ht="16.5" x14ac:dyDescent="0.3">
      <c r="B9" s="134"/>
      <c r="AQ9" s="131" t="str">
        <v>KH2</v>
      </c>
      <c r="AR9" s="131" t="s">
        <v>940</v>
      </c>
      <c r="AS9" s="158" t="e">
        <f ca="1">VLOOKUP(Dashboard_ThiTruong_KhachHang[[#This Row],[Khách hàng]],_xlfn.ANCHORARRAY($BO$31):_xlfn.ANCHORARRAY($BV$31),8,0)</f>
        <v>#N/A</v>
      </c>
      <c r="AT9" s="158" t="e">
        <f ca="1">VLOOKUP(Dashboard_ThiTruong_KhachHang[[#This Row],[Khách hàng]],_xlfn.ANCHORARRAY($BO$31):_xlfn.ANCHORARRAY($BZ$31),12,0)</f>
        <v>#N/A</v>
      </c>
      <c r="AU9" s="158" t="e">
        <f ca="1">VLOOKUP(Dashboard_ThiTruong_KhachHang[[#This Row],[Khách hàng]],_xlfn.ANCHORARRAY($BO$31):_xlfn.ANCHORARRAY($CB$31),14,0)</f>
        <v>#N/A</v>
      </c>
      <c r="AV9" s="442" t="e" cm="1">
        <f t="array" aca="1" ref="AV9"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Y9" s="131" t="s">
        <v>1006</v>
      </c>
      <c r="AZ9" s="158" t="e">
        <f>VLOOKUP(Dashboard_ThiTruong_PhanKhuc[[#This Row],[Phân khúc]],CJ:CK,2,0)</f>
        <v>#N/A</v>
      </c>
      <c r="BA9" s="158" t="e">
        <f>VLOOKUP(Dashboard_ThiTruong_PhanKhuc[[#This Row],[Phân khúc]],CJ:CM,4,0)</f>
        <v>#N/A</v>
      </c>
      <c r="BB9" s="158" t="e">
        <f>VLOOKUP(Dashboard_ThiTruong_PhanKhuc[[#This Row],[Phân khúc]],CJ:CO,6,0)</f>
        <v>#N/A</v>
      </c>
      <c r="BC9" s="442" t="e">
        <f>VLOOKUP(Dashboard_ThiTruong_PhanKhuc[[#This Row],[Phân khúc]],CJ:CP,7,0)</f>
        <v>#N/A</v>
      </c>
      <c r="BD9" s="133"/>
      <c r="BE9" s="133"/>
      <c r="BF9" s="131" t="s">
        <v>997</v>
      </c>
      <c r="BG9" s="158" t="e">
        <f>VLOOKUP(Dashboard_ThiTruong_TinhThanh[[#This Row],[Tỉnh]],CS:CT,2,0)</f>
        <v>#N/A</v>
      </c>
      <c r="BH9" s="133"/>
      <c r="BI9" s="133"/>
      <c r="BJ9" s="131" t="s">
        <v>58</v>
      </c>
      <c r="BK9" s="158" t="e">
        <f ca="1">IF(ISBLANK($AA$4),
VLOOKUP(Dashboard_ThiTruong_NhomSP[[#This Row],[Nhóm]],_xlfn.ANCHORARRAY($CW$31):_xlfn.ANCHORARRAY($CY$31),2,0),
VLOOKUP(Dashboard_ThiTruong_NhomSP[[#This Row],[Nhóm]],_xlfn.ANCHORARRAY($CW$31):_xlfn.ANCHORARRAY($CY$31),3,0)
)</f>
        <v>#N/A</v>
      </c>
      <c r="BL9" s="158" t="e">
        <f ca="1">Dashboard_ThiTruong_NhomSP[[#This Row],[Giá trị]]/SUM(Dashboard_ThiTruong_NhomSP[Giá trị])</f>
        <v>#N/A</v>
      </c>
      <c r="BM9" s="147"/>
      <c r="BO9" s="137" t="s">
        <v>182</v>
      </c>
      <c r="BP9" s="204" cm="1">
        <f t="array" ref="BP9" xml:space="preserve">
IFERROR(
(Pivot!$H$3-Pivot!$H$2+1)/
(
ROWS(_xlfn._xlws.FILTER(Table_DonBan[Mã Đơn bán],
(Table_DonBan[Ngày lập]&gt;=Pivot!$H$2)*
(Table_DonBan[Ngày lập]&lt;=Pivot!$H$3)
))/
ROWS(_xlfn.UNIQUE(_xlfn._xlws.FILTER(Table_DonBan[Mã Khách],
(Table_DonBan[Ngày lập] &gt;=Pivot!$H$2)*
(Table_DonBan[Ngày lập] &lt;=Pivot!$H$3)
)))
),0)</f>
        <v>0</v>
      </c>
      <c r="BQ9" s="138" t="str">
        <f>IFERROR(TEXT(BP9,LOOKUP(BP9,Pivot!$B$6:$B$12,Pivot!$C$6:$C$12)),"")</f>
        <v/>
      </c>
      <c r="BR9" s="137" cm="1">
        <f t="array" ref="BR9" xml:space="preserve">
IFERROR(
ABS(BP9-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)),0)</f>
        <v>0</v>
      </c>
      <c r="BS9" s="138" t="str">
        <f>IFERROR(TEXT(BR9,LOOKUP(BR9,Pivot!$B$6:$B$12,Pivot!$C$6:$C$12)),"")</f>
        <v/>
      </c>
      <c r="BT9" s="137" t="str" cm="1">
        <f t="array" ref="BT9" xml:space="preserve">
IFERROR(
IF(BP9-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)&gt;=0,"tăng","giảm"
),"")</f>
        <v/>
      </c>
    </row>
    <row r="10" spans="2:72" ht="16.5" x14ac:dyDescent="0.3">
      <c r="B10" s="134"/>
      <c r="AQ10" s="131" t="str">
        <v>KH1</v>
      </c>
      <c r="AR10" s="131" t="s">
        <v>941</v>
      </c>
      <c r="AS10" s="158" t="e">
        <f ca="1">VLOOKUP(Dashboard_ThiTruong_KhachHang[[#This Row],[Khách hàng]],_xlfn.ANCHORARRAY($BO$31):_xlfn.ANCHORARRAY($BV$31),8,0)</f>
        <v>#N/A</v>
      </c>
      <c r="AT10" s="158" t="e">
        <f ca="1">VLOOKUP(Dashboard_ThiTruong_KhachHang[[#This Row],[Khách hàng]],_xlfn.ANCHORARRAY($BO$31):_xlfn.ANCHORARRAY($BZ$31),12,0)</f>
        <v>#N/A</v>
      </c>
      <c r="AU10" s="158" t="e">
        <f ca="1">VLOOKUP(Dashboard_ThiTruong_KhachHang[[#This Row],[Khách hàng]],_xlfn.ANCHORARRAY($BO$31):_xlfn.ANCHORARRAY($CB$31),14,0)</f>
        <v>#N/A</v>
      </c>
      <c r="AV10" s="442" t="e" cm="1">
        <f t="array" aca="1" ref="AV10"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0" s="131" t="s">
        <v>998</v>
      </c>
      <c r="BG10" s="158" t="e">
        <f>VLOOKUP(Dashboard_ThiTruong_TinhThanh[[#This Row],[Tỉnh]],CS:CT,2,0)</f>
        <v>#N/A</v>
      </c>
      <c r="BJ10" s="131" t="s">
        <v>62</v>
      </c>
      <c r="BK10" s="158" t="e">
        <f ca="1">IF(ISBLANK($AA$4),
VLOOKUP(Dashboard_ThiTruong_NhomSP[[#This Row],[Nhóm]],_xlfn.ANCHORARRAY($CW$31):_xlfn.ANCHORARRAY($CY$31),2,0),
VLOOKUP(Dashboard_ThiTruong_NhomSP[[#This Row],[Nhóm]],_xlfn.ANCHORARRAY($CW$31):_xlfn.ANCHORARRAY($CY$31),3,0)
)</f>
        <v>#N/A</v>
      </c>
      <c r="BL10" s="158" t="e">
        <f ca="1">Dashboard_ThiTruong_NhomSP[[#This Row],[Giá trị]]/SUM(Dashboard_ThiTruong_NhomSP[Giá trị])</f>
        <v>#N/A</v>
      </c>
      <c r="BO10" s="137" t="s">
        <v>33</v>
      </c>
      <c r="BP10" s="137" cm="1">
        <f t="array" ref="BP10">IFERROR(
SUM(_xlfn._xlws.FILTER(Table_DonBan[Doanh thu ròng],
(Table_DonBan[Ngày lập] &gt;=Pivot!$H$2)*
(Table_DonBan[Ngày lập] &lt;=Pivot!$H$3)
)),0)</f>
        <v>0</v>
      </c>
      <c r="BQ10" s="138" t="str">
        <f>IFERROR(TEXT(BP10,LOOKUP(BP10,Pivot!$B$6:$B$12,Pivot!$C$6:$C$12)),"")</f>
        <v/>
      </c>
      <c r="BR10" s="137" cm="1">
        <f t="array" ref="BR10">IFERROR(
ABS(BP10-
IFERROR(
SUM(_xlfn._xlws.FILTER(Table_DonBan[Doanh thu ròng],
(Table_DonBan[Ngày lập] &gt;=DATE(YEAR(Pivot!$H$2)-1, MONTH(Pivot!$H$2),DAY(Pivot!$H$2)))*
(Table_DonBan[Ngày lập] &lt;=DATE(YEAR(Pivot!$H$3)-1, MONTH(Pivot!$H$3),DAY(Pivot!$H$3)))
)),0)),0)</f>
        <v>0</v>
      </c>
      <c r="BS10" s="138" t="str">
        <f>IFERROR(TEXT(BR10,LOOKUP(BR10,Pivot!$B$6:$B$12,Pivot!$C$6:$C$12)),"")</f>
        <v/>
      </c>
      <c r="BT10" s="137" t="str" cm="1">
        <f t="array" ref="BT10">IF(IFERROR(BP10-
IFERROR(
SUM(_xlfn._xlws.FILTER(Table_DonBan[Doanh thu ròng],
(Table_DonBan[Ngày lập] &gt;=DATE(YEAR(Pivot!$H$2)-1, MONTH(Pivot!$H$2),DAY(Pivot!$H$2)))*
(Table_DonBan[Ngày lập] &lt;=DATE(YEAR(Pivot!$H$3)-1, MONTH(Pivot!$H$3),DAY(Pivot!$H$3)))
)),0),0)&gt;=0,"tăng","giảm")</f>
        <v>tăng</v>
      </c>
    </row>
    <row r="11" spans="2:72" ht="16.5" x14ac:dyDescent="0.3">
      <c r="B11" s="134"/>
      <c r="AR11" s="131" t="s">
        <v>942</v>
      </c>
      <c r="AS11" s="158" t="e">
        <f ca="1">VLOOKUP(Dashboard_ThiTruong_KhachHang[[#This Row],[Khách hàng]],_xlfn.ANCHORARRAY($BO$31):_xlfn.ANCHORARRAY($BV$31),8,0)</f>
        <v>#N/A</v>
      </c>
      <c r="AT11" s="158" t="e">
        <f ca="1">VLOOKUP(Dashboard_ThiTruong_KhachHang[[#This Row],[Khách hàng]],_xlfn.ANCHORARRAY($BO$31):_xlfn.ANCHORARRAY($BZ$31),12,0)</f>
        <v>#N/A</v>
      </c>
      <c r="AU11" s="158" t="e">
        <f ca="1">VLOOKUP(Dashboard_ThiTruong_KhachHang[[#This Row],[Khách hàng]],_xlfn.ANCHORARRAY($BO$31):_xlfn.ANCHORARRAY($CB$31),14,0)</f>
        <v>#N/A</v>
      </c>
      <c r="AV11" s="442" t="e" cm="1">
        <f t="array" aca="1" ref="AV11"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1" s="131" t="s">
        <v>999</v>
      </c>
      <c r="BG11" s="158" t="e">
        <f>VLOOKUP(Dashboard_ThiTruong_TinhThanh[[#This Row],[Tỉnh]],CS:CT,2,0)</f>
        <v>#N/A</v>
      </c>
      <c r="BO11" s="142" t="s">
        <v>125</v>
      </c>
      <c r="BP11" s="138"/>
      <c r="BQ11" s="138"/>
      <c r="BR11" s="138"/>
      <c r="BS11" s="138"/>
    </row>
    <row r="12" spans="2:72" ht="16.5" x14ac:dyDescent="0.3">
      <c r="B12" s="134"/>
      <c r="AR12" s="131" t="s">
        <v>943</v>
      </c>
      <c r="AS12" s="158" t="e">
        <f ca="1">VLOOKUP(Dashboard_ThiTruong_KhachHang[[#This Row],[Khách hàng]],_xlfn.ANCHORARRAY($BO$31):_xlfn.ANCHORARRAY($BV$31),8,0)</f>
        <v>#N/A</v>
      </c>
      <c r="AT12" s="158" t="e">
        <f ca="1">VLOOKUP(Dashboard_ThiTruong_KhachHang[[#This Row],[Khách hàng]],_xlfn.ANCHORARRAY($BO$31):_xlfn.ANCHORARRAY($BZ$31),12,0)</f>
        <v>#N/A</v>
      </c>
      <c r="AU12" s="158" t="e">
        <f ca="1">VLOOKUP(Dashboard_ThiTruong_KhachHang[[#This Row],[Khách hàng]],_xlfn.ANCHORARRAY($BO$31):_xlfn.ANCHORARRAY($CB$31),14,0)</f>
        <v>#N/A</v>
      </c>
      <c r="AV12" s="442" t="e" cm="1">
        <f t="array" aca="1" ref="AV12"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2" s="131" t="s">
        <v>1000</v>
      </c>
      <c r="BG12" s="158" t="e">
        <f>VLOOKUP(Dashboard_ThiTruong_TinhThanh[[#This Row],[Tỉnh]],CS:CT,2,0)</f>
        <v>#N/A</v>
      </c>
      <c r="BO12" s="138"/>
      <c r="BP12" s="138"/>
      <c r="BQ12" s="138"/>
      <c r="BR12" s="138" cm="1">
        <f t="array" ref="BR12">IFERROR(
_xlfn.IFS(
($BO$13)=1,
IFERROR(ROWS(
_xlfn.UNIQUE(_xlfn._xlws.FILTER(Table_DonBan[Mã Khách],
(Table_DonBan[Ngày lập] &gt;=DATE(YEAR(Pivot!$H$2)-1,MONTH(Pivot!$H$2),DAY(Pivot!$H$2)))*
(Table_DonBan[Ngày lập] &lt;=DATE(YEAR(Pivot!$H$3)-1,MONTH(Pivot!$H$3),DAY(Pivot!$H$3)))
))),0),
($BO$13)=2,
IFERROR(
SUM(_xlfn._xlws.FILTER(Table_DonBan[Tiền hàng]-Table_DonBan[Giá trị CK],
(Table_DonBan[Ngày lập] &gt;=DATE(YEAR(Pivot!$H$2)-1,MONTH(Pivot!$H$2),DAY(Pivot!$H$2)))*
(Table_DonBan[Ngày lập] &lt;=DATE(YEAR(Pivot!$H$3)-1,MONTH(Pivot!$H$3),DAY(Pivot!$H$3)))
)),0),
($BO$13)=3,
IFERROR(
ROWS(_xlfn._xlws.FILTER(Table_DonBan[Mã Đơn bán],
(Table_DonBan[Ngày lập] &gt;=DATE(YEAR(Pivot!$H$2)-1,MONTH(Pivot!$H$2),DAY(Pivot!$H$2)))*
(Table_DonBan[Ngày lập] &lt;=DATE(YEAR(Pivot!$H$3)-1,MONTH(Pivot!$H$3),DAY(Pivot!$H$3)))
)),0)
),0)</f>
        <v>0</v>
      </c>
      <c r="BS12" s="138"/>
      <c r="BT12" s="137" t="str" cm="1">
        <f t="array" ref="BT12">_xlfn.IFS(
($BO$13)=1, "Số khách trong kỳ",
($BO$13)=2, "Doanh thu trong kỳ",
($BO$13)=3, "Đơn hàng trong kỳ")</f>
        <v>Doanh thu trong kỳ</v>
      </c>
    </row>
    <row r="13" spans="2:72" ht="16.5" x14ac:dyDescent="0.3">
      <c r="B13" s="134"/>
      <c r="AR13" s="131" t="s">
        <v>944</v>
      </c>
      <c r="AS13" s="158" t="e">
        <f ca="1">VLOOKUP(Dashboard_ThiTruong_KhachHang[[#This Row],[Khách hàng]],_xlfn.ANCHORARRAY($BO$31):_xlfn.ANCHORARRAY($BV$31),8,0)</f>
        <v>#N/A</v>
      </c>
      <c r="AT13" s="158" t="e">
        <f ca="1">VLOOKUP(Dashboard_ThiTruong_KhachHang[[#This Row],[Khách hàng]],_xlfn.ANCHORARRAY($BO$31):_xlfn.ANCHORARRAY($BZ$31),12,0)</f>
        <v>#N/A</v>
      </c>
      <c r="AU13" s="158" t="e">
        <f ca="1">VLOOKUP(Dashboard_ThiTruong_KhachHang[[#This Row],[Khách hàng]],_xlfn.ANCHORARRAY($BO$31):_xlfn.ANCHORARRAY($CB$31),14,0)</f>
        <v>#N/A</v>
      </c>
      <c r="AV13" s="442" t="e" cm="1">
        <f t="array" aca="1" ref="AV13"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3" s="131" t="s">
        <v>1001</v>
      </c>
      <c r="BG13" s="158" t="e">
        <f>VLOOKUP(Dashboard_ThiTruong_TinhThanh[[#This Row],[Tỉnh]],CS:CT,2,0)</f>
        <v>#N/A</v>
      </c>
      <c r="BO13" s="138">
        <v>2</v>
      </c>
      <c r="BP13" s="166" cm="1">
        <f t="array" ref="BP13">IFERROR(
_xlfn.IFS(
($BO$13)=1,
IFERROR(ROWS(
_xlfn.UNIQUE(_xlfn._xlws.FILTER(Table_DonBan[Mã Khách],
(Table_DonBan[Ngày lập] &gt;=Pivot!$H$2)*
(Table_DonBan[Ngày lập] &lt;=Pivot!$H$3)
))),0),
($BO$13)=2,
IFERROR(
SUM(_xlfn._xlws.FILTER(Table_DonBan[Tiền hàng]-Table_DonBan[Giá trị CK],
(Table_DonBan[Ngày lập] &gt;=Pivot!$H$2)*
(Table_DonBan[Ngày lập] &lt;=Pivot!$H$3)
)),0),
($BO$13)=3,
IFERROR(
ROWS(_xlfn._xlws.FILTER(Table_DonBan[Mã Đơn bán],
(Table_DonBan[Ngày lập] &gt;=Pivot!$H$2)*
(Table_DonBan[Ngày lập] &lt;=Pivot!$H$3)
)),0)
),0)</f>
        <v>0</v>
      </c>
      <c r="BQ13" s="144"/>
      <c r="BR13" s="166" cm="1">
        <f t="array" ref="BR13">IFERROR(
_xlfn.IFS(
($BO$13)=1,
IFERROR(ROWS(
_xlfn.UNIQUE(_xlfn._xlws.FILTER(Table_DonBan[Mã Khách],
(Table_DonBan[STT đơn của khách]=1)*
(Table_DonBan[Ngày lập] &gt;=Pivot!$H$2)*
(Table_DonBan[Ngày lập] &lt;=Pivot!$H$3)
))),0),
($BO$13)=2,
IFERROR(
SUM(_xlfn._xlws.FILTER(Table_DonBan[Tiền hàng]-Table_DonBan[Giá trị CK],
(Table_DonBan[STT đơn của khách]=1)*
(Table_DonBan[Ngày lập] &gt;=Pivot!$H$2)*
(Table_DonBan[Ngày lập] &lt;=Pivot!$H$3)
)),0),
($BO$13)=3,
IFERROR(
ROWS(_xlfn._xlws.FILTER(Table_DonBan[Mã Đơn bán],
(Table_DonBan[STT đơn của khách]=1)*
(Table_DonBan[Ngày lập] &gt;=Pivot!$H$2)*
(Table_DonBan[Ngày lập] &lt;=Pivot!$H$3)
)),0)
),0)</f>
        <v>0</v>
      </c>
      <c r="BS13" s="138"/>
      <c r="BT13" s="139" t="e">
        <f>BR13/BP13</f>
        <v>#DIV/0!</v>
      </c>
    </row>
    <row r="14" spans="2:72" ht="16.5" x14ac:dyDescent="0.3">
      <c r="B14" s="134"/>
      <c r="AR14" s="131" t="s">
        <v>945</v>
      </c>
      <c r="AS14" s="158" t="e">
        <f ca="1">VLOOKUP(Dashboard_ThiTruong_KhachHang[[#This Row],[Khách hàng]],_xlfn.ANCHORARRAY($BO$31):_xlfn.ANCHORARRAY($BV$31),8,0)</f>
        <v>#N/A</v>
      </c>
      <c r="AT14" s="158" t="e">
        <f ca="1">VLOOKUP(Dashboard_ThiTruong_KhachHang[[#This Row],[Khách hàng]],_xlfn.ANCHORARRAY($BO$31):_xlfn.ANCHORARRAY($BZ$31),12,0)</f>
        <v>#N/A</v>
      </c>
      <c r="AU14" s="158" t="e">
        <f ca="1">VLOOKUP(Dashboard_ThiTruong_KhachHang[[#This Row],[Khách hàng]],_xlfn.ANCHORARRAY($BO$31):_xlfn.ANCHORARRAY($CB$31),14,0)</f>
        <v>#N/A</v>
      </c>
      <c r="AV14" s="442" t="e" cm="1">
        <f t="array" aca="1" ref="AV14"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4" s="131" t="s">
        <v>1002</v>
      </c>
      <c r="BG14" s="158" t="e">
        <f>VLOOKUP(Dashboard_ThiTruong_TinhThanh[[#This Row],[Tỉnh]],CS:CT,2,0)</f>
        <v>#N/A</v>
      </c>
      <c r="BO14" s="138" t="s">
        <v>1</v>
      </c>
      <c r="BP14" s="138" t="s">
        <v>66</v>
      </c>
      <c r="BQ14" s="138" t="s">
        <v>22</v>
      </c>
      <c r="BR14" s="138" t="s">
        <v>183</v>
      </c>
      <c r="BS14" s="138" t="s">
        <v>22</v>
      </c>
    </row>
    <row r="15" spans="2:72" ht="16.5" x14ac:dyDescent="0.3">
      <c r="B15" s="134"/>
      <c r="BO15" s="138">
        <v>1</v>
      </c>
      <c r="BP15" s="138" cm="1">
        <f t="array" aca="1" ref="BP15" ca="1">IFERROR(
_xlfn.IFS(
($BO$13)=1,
IFERROR(ROWS(
_xlfn.UNIQUE(_xlfn._xlws.FILTER(Pivot_ThiTruong_MaKhach,
(NOT(ISBLANK(Pivot_ThiTruong_MaKhach)))*
(MONTH(Pivot_ThiTruong_Ngay)=BO15)
))),0),
($BO$13)=2,
IFERROR(SUM(
_xlfn._xlws.FILTER(Pivot_ThiTruong_DoanhThu,
(MONTH(Pivot_ThiTruong_Ngay)=BO15)
)),0),
($BO$13)=3,
IFERROR(ROWS(
_xlfn.UNIQUE(_xlfn._xlws.FILTER(Pivot_ThiTruong_MaDon,
(NOT(ISBLANK(Pivot_ThiTruong_MaDon)))*
(MONTH(Pivot_ThiTruong_Ngay)=BO15)
))),0)
),0)</f>
        <v>330700000</v>
      </c>
      <c r="BQ15" s="138" t="str">
        <f ca="1">IFERROR(TEXT(BP15,LOOKUP(BP15,Pivot!$B$6:$B$12,Pivot!$C$6:$C$12)),"")</f>
        <v>330.7tr</v>
      </c>
      <c r="BR15" s="138" cm="1">
        <f t="array" aca="1" ref="BR15" ca="1">IFERROR(
_xlfn.IFS(
($BO$13)=1,
IFERROR(ROWS(
_xlfn.UNIQUE(_xlfn._xlws.FILTER(Pivot_ThiTruong_MaKhach,
(NOT(ISBLANK(Pivot_ThiTruong_MaKhach)))*
(Pivot_ThiTruong_TtDon=1)*
(MONTH(Pivot_ThiTruong_Ngay)=BO15)
))),0),
($BO$13)=2,
IFERROR(
SUM(_xlfn._xlws.FILTER(Pivot_ThiTruong_DoanhThu,
(MONTH(Pivot_ThiTruong_Ngay)=BO15)
))/
ROWS(_xlfn.UNIQUE(_xlfn._xlws.FILTER(Pivot_ThiTruong_MaKhach,
(NOT(ISBLANK(Pivot_ThiTruong_MaKhach)))*
(MONTH(Pivot_ThiTruong_Ngay)=BO15)
))),0),
($BO$13)=3,
IFERROR(
ROWS(_xlfn.UNIQUE(_xlfn._xlws.FILTER(Pivot_ThiTruong_MaDon,
(NOT(ISBLANK(Pivot_ThiTruong_MaDon))*
(MONTH(Pivot_ThiTruong_Ngay)=BO15)
))))/
ROWS(_xlfn.UNIQUE(_xlfn._xlws.FILTER(Pivot_ThiTruong_MaKhach,
(NOT(ISBLANK(Pivot_ThiTruong_MaKhach)))*
(MONTH(Pivot_ThiTruong_Ngay)=BO15)
))),0)
),0)</f>
        <v>110233333.33333333</v>
      </c>
      <c r="BS15" s="138" t="str">
        <f ca="1">IFERROR(TEXT(BR15,LOOKUP(BR15,Pivot!$B$6:$B$12,Pivot!$C$6:$C$12)),"")</f>
        <v>110.2tr</v>
      </c>
      <c r="BT15" s="204"/>
    </row>
    <row r="16" spans="2:72" ht="16.5" x14ac:dyDescent="0.3">
      <c r="B16" s="134"/>
      <c r="BO16" s="138">
        <v>2</v>
      </c>
      <c r="BP16" s="138" cm="1">
        <f t="array" aca="1" ref="BP16" ca="1">IFERROR(
_xlfn.IFS(
($BO$13)=1,
IFERROR(ROWS(
_xlfn.UNIQUE(_xlfn._xlws.FILTER(Pivot_ThiTruong_MaKhach,
(NOT(ISBLANK(Pivot_ThiTruong_MaKhach)))*
(MONTH(Pivot_ThiTruong_Ngay)=BO16)
))),0),
($BO$13)=2,
IFERROR(SUM(
_xlfn._xlws.FILTER(Pivot_ThiTruong_DoanhThu,
(MONTH(Pivot_ThiTruong_Ngay)=BO16)
)),0),
($BO$13)=3,
IFERROR(ROWS(
_xlfn.UNIQUE(_xlfn._xlws.FILTER(Pivot_ThiTruong_MaDon,
(NOT(ISBLANK(Pivot_ThiTruong_MaDon)))*
(MONTH(Pivot_ThiTruong_Ngay)=BO16)
))),0)
),0)</f>
        <v>343900000</v>
      </c>
      <c r="BQ16" s="138" t="str">
        <f ca="1">IFERROR(TEXT(BP16,LOOKUP(BP16,Pivot!$B$6:$B$12,Pivot!$C$6:$C$12)),"")</f>
        <v>343.9tr</v>
      </c>
      <c r="BR16" s="138" cm="1">
        <f t="array" aca="1" ref="BR16" ca="1">IFERROR(
_xlfn.IFS(
($BO$13)=1,
IFERROR(ROWS(
_xlfn.UNIQUE(_xlfn._xlws.FILTER(Pivot_ThiTruong_MaKhach,
(NOT(ISBLANK(Pivot_ThiTruong_MaKhach)))*
(Pivot_ThiTruong_TtDon=1)*
(MONTH(Pivot_ThiTruong_Ngay)=BO16)
))),0),
($BO$13)=2,
IFERROR(
SUM(_xlfn._xlws.FILTER(Pivot_ThiTruong_DoanhThu,
(MONTH(Pivot_ThiTruong_Ngay)=BO16)
))/
ROWS(_xlfn.UNIQUE(_xlfn._xlws.FILTER(Pivot_ThiTruong_MaKhach,
(NOT(ISBLANK(Pivot_ThiTruong_MaKhach)))*
(MONTH(Pivot_ThiTruong_Ngay)=BO16)
))),0),
($BO$13)=3,
IFERROR(
ROWS(_xlfn.UNIQUE(_xlfn._xlws.FILTER(Pivot_ThiTruong_MaDon,
(NOT(ISBLANK(Pivot_ThiTruong_MaDon))*
(MONTH(Pivot_ThiTruong_Ngay)=BO16)
))))/
ROWS(_xlfn.UNIQUE(_xlfn._xlws.FILTER(Pivot_ThiTruong_MaKhach,
(NOT(ISBLANK(Pivot_ThiTruong_MaKhach)))*
(MONTH(Pivot_ThiTruong_Ngay)=BO16)
))),0)
),0)</f>
        <v>171950000</v>
      </c>
      <c r="BS16" s="138" t="str">
        <f ca="1">IFERROR(TEXT(BR16,LOOKUP(BR16,Pivot!$B$6:$B$12,Pivot!$C$6:$C$12)),"")</f>
        <v>172.0tr</v>
      </c>
      <c r="BT16" s="204"/>
    </row>
    <row r="17" spans="2:103" ht="16.5" x14ac:dyDescent="0.3">
      <c r="B17" s="134"/>
      <c r="BO17" s="138">
        <v>3</v>
      </c>
      <c r="BP17" s="138" cm="1">
        <f t="array" aca="1" ref="BP17" ca="1">IFERROR(
_xlfn.IFS(
($BO$13)=1,
IFERROR(ROWS(
_xlfn.UNIQUE(_xlfn._xlws.FILTER(Pivot_ThiTruong_MaKhach,
(NOT(ISBLANK(Pivot_ThiTruong_MaKhach)))*
(MONTH(Pivot_ThiTruong_Ngay)=BO17)
))),0),
($BO$13)=2,
IFERROR(SUM(
_xlfn._xlws.FILTER(Pivot_ThiTruong_DoanhThu,
(MONTH(Pivot_ThiTruong_Ngay)=BO17)
)),0),
($BO$13)=3,
IFERROR(ROWS(
_xlfn.UNIQUE(_xlfn._xlws.FILTER(Pivot_ThiTruong_MaDon,
(NOT(ISBLANK(Pivot_ThiTruong_MaDon)))*
(MONTH(Pivot_ThiTruong_Ngay)=BO17)
))),0)
),0)</f>
        <v>338900000</v>
      </c>
      <c r="BQ17" s="138" t="str">
        <f ca="1">IFERROR(TEXT(BP17,LOOKUP(BP17,Pivot!$B$6:$B$12,Pivot!$C$6:$C$12)),"")</f>
        <v>338.9tr</v>
      </c>
      <c r="BR17" s="138" cm="1">
        <f t="array" aca="1" ref="BR17" ca="1">IFERROR(
_xlfn.IFS(
($BO$13)=1,
IFERROR(ROWS(
_xlfn.UNIQUE(_xlfn._xlws.FILTER(Pivot_ThiTruong_MaKhach,
(NOT(ISBLANK(Pivot_ThiTruong_MaKhach)))*
(Pivot_ThiTruong_TtDon=1)*
(MONTH(Pivot_ThiTruong_Ngay)=BO17)
))),0),
($BO$13)=2,
IFERROR(
SUM(_xlfn._xlws.FILTER(Pivot_ThiTruong_DoanhThu,
(MONTH(Pivot_ThiTruong_Ngay)=BO17)
))/
ROWS(_xlfn.UNIQUE(_xlfn._xlws.FILTER(Pivot_ThiTruong_MaKhach,
(NOT(ISBLANK(Pivot_ThiTruong_MaKhach)))*
(MONTH(Pivot_ThiTruong_Ngay)=BO17)
))),0),
($BO$13)=3,
IFERROR(
ROWS(_xlfn.UNIQUE(_xlfn._xlws.FILTER(Pivot_ThiTruong_MaDon,
(NOT(ISBLANK(Pivot_ThiTruong_MaDon))*
(MONTH(Pivot_ThiTruong_Ngay)=BO17)
))))/
ROWS(_xlfn.UNIQUE(_xlfn._xlws.FILTER(Pivot_ThiTruong_MaKhach,
(NOT(ISBLANK(Pivot_ThiTruong_MaKhach)))*
(MONTH(Pivot_ThiTruong_Ngay)=BO17)
))),0)
),0)</f>
        <v>112966666.66666667</v>
      </c>
      <c r="BS17" s="138" t="str">
        <f ca="1">IFERROR(TEXT(BR17,LOOKUP(BR17,Pivot!$B$6:$B$12,Pivot!$C$6:$C$12)),"")</f>
        <v>113.0tr</v>
      </c>
      <c r="BT17" s="204"/>
    </row>
    <row r="18" spans="2:103" ht="16.5" x14ac:dyDescent="0.3">
      <c r="B18" s="134"/>
      <c r="BO18" s="138">
        <v>4</v>
      </c>
      <c r="BP18" s="138" cm="1">
        <f t="array" aca="1" ref="BP18" ca="1">IFERROR(
_xlfn.IFS(
($BO$13)=1,
IFERROR(ROWS(
_xlfn.UNIQUE(_xlfn._xlws.FILTER(Pivot_ThiTruong_MaKhach,
(NOT(ISBLANK(Pivot_ThiTruong_MaKhach)))*
(MONTH(Pivot_ThiTruong_Ngay)=BO18)
))),0),
($BO$13)=2,
IFERROR(SUM(
_xlfn._xlws.FILTER(Pivot_ThiTruong_DoanhThu,
(MONTH(Pivot_ThiTruong_Ngay)=BO18)
)),0),
($BO$13)=3,
IFERROR(ROWS(
_xlfn.UNIQUE(_xlfn._xlws.FILTER(Pivot_ThiTruong_MaDon,
(NOT(ISBLANK(Pivot_ThiTruong_MaDon)))*
(MONTH(Pivot_ThiTruong_Ngay)=BO18)
))),0)
),0)</f>
        <v>355100000</v>
      </c>
      <c r="BQ18" s="138" t="str">
        <f ca="1">IFERROR(TEXT(BP18,LOOKUP(BP18,Pivot!$B$6:$B$12,Pivot!$C$6:$C$12)),"")</f>
        <v>355.1tr</v>
      </c>
      <c r="BR18" s="138" cm="1">
        <f t="array" aca="1" ref="BR18" ca="1">IFERROR(
_xlfn.IFS(
($BO$13)=1,
IFERROR(ROWS(
_xlfn.UNIQUE(_xlfn._xlws.FILTER(Pivot_ThiTruong_MaKhach,
(NOT(ISBLANK(Pivot_ThiTruong_MaKhach)))*
(Pivot_ThiTruong_TtDon=1)*
(MONTH(Pivot_ThiTruong_Ngay)=BO18)
))),0),
($BO$13)=2,
IFERROR(
SUM(_xlfn._xlws.FILTER(Pivot_ThiTruong_DoanhThu,
(MONTH(Pivot_ThiTruong_Ngay)=BO18)
))/
ROWS(_xlfn.UNIQUE(_xlfn._xlws.FILTER(Pivot_ThiTruong_MaKhach,
(NOT(ISBLANK(Pivot_ThiTruong_MaKhach)))*
(MONTH(Pivot_ThiTruong_Ngay)=BO18)
))),0),
($BO$13)=3,
IFERROR(
ROWS(_xlfn.UNIQUE(_xlfn._xlws.FILTER(Pivot_ThiTruong_MaDon,
(NOT(ISBLANK(Pivot_ThiTruong_MaDon))*
(MONTH(Pivot_ThiTruong_Ngay)=BO18)
))))/
ROWS(_xlfn.UNIQUE(_xlfn._xlws.FILTER(Pivot_ThiTruong_MaKhach,
(NOT(ISBLANK(Pivot_ThiTruong_MaKhach)))*
(MONTH(Pivot_ThiTruong_Ngay)=BO18)
))),0)
),0)</f>
        <v>177550000</v>
      </c>
      <c r="BS18" s="138" t="str">
        <f ca="1">IFERROR(TEXT(BR18,LOOKUP(BR18,Pivot!$B$6:$B$12,Pivot!$C$6:$C$12)),"")</f>
        <v>177.6tr</v>
      </c>
      <c r="BT18" s="204"/>
    </row>
    <row r="19" spans="2:103" ht="16.5" x14ac:dyDescent="0.3">
      <c r="B19" s="134"/>
      <c r="BO19" s="138">
        <v>5</v>
      </c>
      <c r="BP19" s="138" cm="1">
        <f t="array" aca="1" ref="BP19" ca="1">IFERROR(
_xlfn.IFS(
($BO$13)=1,
IFERROR(ROWS(
_xlfn.UNIQUE(_xlfn._xlws.FILTER(Pivot_ThiTruong_MaKhach,
(NOT(ISBLANK(Pivot_ThiTruong_MaKhach)))*
(MONTH(Pivot_ThiTruong_Ngay)=BO19)
))),0),
($BO$13)=2,
IFERROR(SUM(
_xlfn._xlws.FILTER(Pivot_ThiTruong_DoanhThu,
(MONTH(Pivot_ThiTruong_Ngay)=BO19)
)),0),
($BO$13)=3,
IFERROR(ROWS(
_xlfn.UNIQUE(_xlfn._xlws.FILTER(Pivot_ThiTruong_MaDon,
(NOT(ISBLANK(Pivot_ThiTruong_MaDon)))*
(MONTH(Pivot_ThiTruong_Ngay)=BO19)
))),0)
),0)</f>
        <v>376400000</v>
      </c>
      <c r="BQ19" s="138" t="str">
        <f ca="1">IFERROR(TEXT(BP19,LOOKUP(BP19,Pivot!$B$6:$B$12,Pivot!$C$6:$C$12)),"")</f>
        <v>376.4tr</v>
      </c>
      <c r="BR19" s="138" cm="1">
        <f t="array" aca="1" ref="BR19" ca="1">IFERROR(
_xlfn.IFS(
($BO$13)=1,
IFERROR(ROWS(
_xlfn.UNIQUE(_xlfn._xlws.FILTER(Pivot_ThiTruong_MaKhach,
(NOT(ISBLANK(Pivot_ThiTruong_MaKhach)))*
(Pivot_ThiTruong_TtDon=1)*
(MONTH(Pivot_ThiTruong_Ngay)=BO19)
))),0),
($BO$13)=2,
IFERROR(
SUM(_xlfn._xlws.FILTER(Pivot_ThiTruong_DoanhThu,
(MONTH(Pivot_ThiTruong_Ngay)=BO19)
))/
ROWS(_xlfn.UNIQUE(_xlfn._xlws.FILTER(Pivot_ThiTruong_MaKhach,
(NOT(ISBLANK(Pivot_ThiTruong_MaKhach)))*
(MONTH(Pivot_ThiTruong_Ngay)=BO19)
))),0),
($BO$13)=3,
IFERROR(
ROWS(_xlfn.UNIQUE(_xlfn._xlws.FILTER(Pivot_ThiTruong_MaDon,
(NOT(ISBLANK(Pivot_ThiTruong_MaDon))*
(MONTH(Pivot_ThiTruong_Ngay)=BO19)
))))/
ROWS(_xlfn.UNIQUE(_xlfn._xlws.FILTER(Pivot_ThiTruong_MaKhach,
(NOT(ISBLANK(Pivot_ThiTruong_MaKhach)))*
(MONTH(Pivot_ThiTruong_Ngay)=BO19)
))),0)
),0)</f>
        <v>125466666.66666667</v>
      </c>
      <c r="BS19" s="138" t="str">
        <f ca="1">IFERROR(TEXT(BR19,LOOKUP(BR19,Pivot!$B$6:$B$12,Pivot!$C$6:$C$12)),"")</f>
        <v>125.5tr</v>
      </c>
      <c r="BT19" s="204"/>
    </row>
    <row r="20" spans="2:103" ht="16.5" x14ac:dyDescent="0.3">
      <c r="B20" s="134"/>
      <c r="BO20" s="138">
        <v>6</v>
      </c>
      <c r="BP20" s="138" cm="1">
        <f t="array" aca="1" ref="BP20" ca="1">IFERROR(
_xlfn.IFS(
($BO$13)=1,
IFERROR(ROWS(
_xlfn.UNIQUE(_xlfn._xlws.FILTER(Pivot_ThiTruong_MaKhach,
(NOT(ISBLANK(Pivot_ThiTruong_MaKhach)))*
(MONTH(Pivot_ThiTruong_Ngay)=BO20)
))),0),
($BO$13)=2,
IFERROR(SUM(
_xlfn._xlws.FILTER(Pivot_ThiTruong_DoanhThu,
(MONTH(Pivot_ThiTruong_Ngay)=BO20)
)),0),
($BO$13)=3,
IFERROR(ROWS(
_xlfn.UNIQUE(_xlfn._xlws.FILTER(Pivot_ThiTruong_MaDon,
(NOT(ISBLANK(Pivot_ThiTruong_MaDon)))*
(MONTH(Pivot_ThiTruong_Ngay)=BO20)
))),0)
),0)</f>
        <v>384600000</v>
      </c>
      <c r="BQ20" s="138" t="str">
        <f ca="1">IFERROR(TEXT(BP20,LOOKUP(BP20,Pivot!$B$6:$B$12,Pivot!$C$6:$C$12)),"")</f>
        <v>384.6tr</v>
      </c>
      <c r="BR20" s="138" cm="1">
        <f t="array" aca="1" ref="BR20" ca="1">IFERROR(
_xlfn.IFS(
($BO$13)=1,
IFERROR(ROWS(
_xlfn.UNIQUE(_xlfn._xlws.FILTER(Pivot_ThiTruong_MaKhach,
(NOT(ISBLANK(Pivot_ThiTruong_MaKhach)))*
(Pivot_ThiTruong_TtDon=1)*
(MONTH(Pivot_ThiTruong_Ngay)=BO20)
))),0),
($BO$13)=2,
IFERROR(
SUM(_xlfn._xlws.FILTER(Pivot_ThiTruong_DoanhThu,
(MONTH(Pivot_ThiTruong_Ngay)=BO20)
))/
ROWS(_xlfn.UNIQUE(_xlfn._xlws.FILTER(Pivot_ThiTruong_MaKhach,
(NOT(ISBLANK(Pivot_ThiTruong_MaKhach)))*
(MONTH(Pivot_ThiTruong_Ngay)=BO20)
))),0),
($BO$13)=3,
IFERROR(
ROWS(_xlfn.UNIQUE(_xlfn._xlws.FILTER(Pivot_ThiTruong_MaDon,
(NOT(ISBLANK(Pivot_ThiTruong_MaDon))*
(MONTH(Pivot_ThiTruong_Ngay)=BO20)
))))/
ROWS(_xlfn.UNIQUE(_xlfn._xlws.FILTER(Pivot_ThiTruong_MaKhach,
(NOT(ISBLANK(Pivot_ThiTruong_MaKhach)))*
(MONTH(Pivot_ThiTruong_Ngay)=BO20)
))),0)
),0)</f>
        <v>128200000</v>
      </c>
      <c r="BS20" s="138" t="str">
        <f ca="1">IFERROR(TEXT(BR20,LOOKUP(BR20,Pivot!$B$6:$B$12,Pivot!$C$6:$C$12)),"")</f>
        <v>128.2tr</v>
      </c>
      <c r="BT20" s="204"/>
    </row>
    <row r="21" spans="2:103" ht="16.5" x14ac:dyDescent="0.3">
      <c r="B21" s="134"/>
      <c r="BO21" s="138">
        <v>7</v>
      </c>
      <c r="BP21" s="138" cm="1">
        <f t="array" aca="1" ref="BP21" ca="1">IFERROR(
_xlfn.IFS(
($BO$13)=1,
IFERROR(ROWS(
_xlfn.UNIQUE(_xlfn._xlws.FILTER(Pivot_ThiTruong_MaKhach,
(NOT(ISBLANK(Pivot_ThiTruong_MaKhach)))*
(MONTH(Pivot_ThiTruong_Ngay)=BO21)
))),0),
($BO$13)=2,
IFERROR(SUM(
_xlfn._xlws.FILTER(Pivot_ThiTruong_DoanhThu,
(MONTH(Pivot_ThiTruong_Ngay)=BO21)
)),0),
($BO$13)=3,
IFERROR(ROWS(
_xlfn.UNIQUE(_xlfn._xlws.FILTER(Pivot_ThiTruong_MaDon,
(NOT(ISBLANK(Pivot_ThiTruong_MaDon)))*
(MONTH(Pivot_ThiTruong_Ngay)=BO21)
))),0)
),0)</f>
        <v>396900000</v>
      </c>
      <c r="BQ21" s="138" t="str">
        <f ca="1">IFERROR(TEXT(BP21,LOOKUP(BP21,Pivot!$B$6:$B$12,Pivot!$C$6:$C$12)),"")</f>
        <v>396.9tr</v>
      </c>
      <c r="BR21" s="138" cm="1">
        <f t="array" aca="1" ref="BR21" ca="1">IFERROR(
_xlfn.IFS(
($BO$13)=1,
IFERROR(ROWS(
_xlfn.UNIQUE(_xlfn._xlws.FILTER(Pivot_ThiTruong_MaKhach,
(NOT(ISBLANK(Pivot_ThiTruong_MaKhach)))*
(Pivot_ThiTruong_TtDon=1)*
(MONTH(Pivot_ThiTruong_Ngay)=BO21)
))),0),
($BO$13)=2,
IFERROR(
SUM(_xlfn._xlws.FILTER(Pivot_ThiTruong_DoanhThu,
(MONTH(Pivot_ThiTruong_Ngay)=BO21)
))/
ROWS(_xlfn.UNIQUE(_xlfn._xlws.FILTER(Pivot_ThiTruong_MaKhach,
(NOT(ISBLANK(Pivot_ThiTruong_MaKhach)))*
(MONTH(Pivot_ThiTruong_Ngay)=BO21)
))),0),
($BO$13)=3,
IFERROR(
ROWS(_xlfn.UNIQUE(_xlfn._xlws.FILTER(Pivot_ThiTruong_MaDon,
(NOT(ISBLANK(Pivot_ThiTruong_MaDon))*
(MONTH(Pivot_ThiTruong_Ngay)=BO21)
))))/
ROWS(_xlfn.UNIQUE(_xlfn._xlws.FILTER(Pivot_ThiTruong_MaKhach,
(NOT(ISBLANK(Pivot_ThiTruong_MaKhach)))*
(MONTH(Pivot_ThiTruong_Ngay)=BO21)
))),0)
),0)</f>
        <v>132300000</v>
      </c>
      <c r="BS21" s="138" t="str">
        <f ca="1">IFERROR(TEXT(BR21,LOOKUP(BR21,Pivot!$B$6:$B$12,Pivot!$C$6:$C$12)),"")</f>
        <v>132.3tr</v>
      </c>
      <c r="BT21" s="204"/>
    </row>
    <row r="22" spans="2:103" ht="16.5" x14ac:dyDescent="0.3">
      <c r="B22" s="134"/>
      <c r="BO22" s="138">
        <v>8</v>
      </c>
      <c r="BP22" s="138" cm="1">
        <f t="array" aca="1" ref="BP22" ca="1">IFERROR(
_xlfn.IFS(
($BO$13)=1,
IFERROR(ROWS(
_xlfn.UNIQUE(_xlfn._xlws.FILTER(Pivot_ThiTruong_MaKhach,
(NOT(ISBLANK(Pivot_ThiTruong_MaKhach)))*
(MONTH(Pivot_ThiTruong_Ngay)=BO22)
))),0),
($BO$13)=2,
IFERROR(SUM(
_xlfn._xlws.FILTER(Pivot_ThiTruong_DoanhThu,
(MONTH(Pivot_ThiTruong_Ngay)=BO22)
)),0),
($BO$13)=3,
IFERROR(ROWS(
_xlfn.UNIQUE(_xlfn._xlws.FILTER(Pivot_ThiTruong_MaDon,
(NOT(ISBLANK(Pivot_ThiTruong_MaDon)))*
(MONTH(Pivot_ThiTruong_Ngay)=BO22)
))),0)
),0)</f>
        <v>421000000</v>
      </c>
      <c r="BQ22" s="138" t="str">
        <f ca="1">IFERROR(TEXT(BP22,LOOKUP(BP22,Pivot!$B$6:$B$12,Pivot!$C$6:$C$12)),"")</f>
        <v>421.0tr</v>
      </c>
      <c r="BR22" s="138" cm="1">
        <f t="array" aca="1" ref="BR22" ca="1">IFERROR(
_xlfn.IFS(
($BO$13)=1,
IFERROR(ROWS(
_xlfn.UNIQUE(_xlfn._xlws.FILTER(Pivot_ThiTruong_MaKhach,
(NOT(ISBLANK(Pivot_ThiTruong_MaKhach)))*
(Pivot_ThiTruong_TtDon=1)*
(MONTH(Pivot_ThiTruong_Ngay)=BO22)
))),0),
($BO$13)=2,
IFERROR(
SUM(_xlfn._xlws.FILTER(Pivot_ThiTruong_DoanhThu,
(MONTH(Pivot_ThiTruong_Ngay)=BO22)
))/
ROWS(_xlfn.UNIQUE(_xlfn._xlws.FILTER(Pivot_ThiTruong_MaKhach,
(NOT(ISBLANK(Pivot_ThiTruong_MaKhach)))*
(MONTH(Pivot_ThiTruong_Ngay)=BO22)
))),0),
($BO$13)=3,
IFERROR(
ROWS(_xlfn.UNIQUE(_xlfn._xlws.FILTER(Pivot_ThiTruong_MaDon,
(NOT(ISBLANK(Pivot_ThiTruong_MaDon))*
(MONTH(Pivot_ThiTruong_Ngay)=BO22)
))))/
ROWS(_xlfn.UNIQUE(_xlfn._xlws.FILTER(Pivot_ThiTruong_MaKhach,
(NOT(ISBLANK(Pivot_ThiTruong_MaKhach)))*
(MONTH(Pivot_ThiTruong_Ngay)=BO22)
))),0)
),0)</f>
        <v>140333333.33333334</v>
      </c>
      <c r="BS22" s="138" t="str">
        <f ca="1">IFERROR(TEXT(BR22,LOOKUP(BR22,Pivot!$B$6:$B$12,Pivot!$C$6:$C$12)),"")</f>
        <v>140.3tr</v>
      </c>
      <c r="BT22" s="204"/>
    </row>
    <row r="23" spans="2:103" ht="16.5" x14ac:dyDescent="0.3">
      <c r="B23" s="134"/>
      <c r="BO23" s="138">
        <v>9</v>
      </c>
      <c r="BP23" s="138" cm="1">
        <f t="array" aca="1" ref="BP23" ca="1">IFERROR(
_xlfn.IFS(
($BO$13)=1,
IFERROR(ROWS(
_xlfn.UNIQUE(_xlfn._xlws.FILTER(Pivot_ThiTruong_MaKhach,
(NOT(ISBLANK(Pivot_ThiTruong_MaKhach)))*
(MONTH(Pivot_ThiTruong_Ngay)=BO23)
))),0),
($BO$13)=2,
IFERROR(SUM(
_xlfn._xlws.FILTER(Pivot_ThiTruong_DoanhThu,
(MONTH(Pivot_ThiTruong_Ngay)=BO23)
)),0),
($BO$13)=3,
IFERROR(ROWS(
_xlfn.UNIQUE(_xlfn._xlws.FILTER(Pivot_ThiTruong_MaDon,
(NOT(ISBLANK(Pivot_ThiTruong_MaDon)))*
(MONTH(Pivot_ThiTruong_Ngay)=BO23)
))),0)
),0)</f>
        <v>442700000</v>
      </c>
      <c r="BQ23" s="138" t="str">
        <f ca="1">IFERROR(TEXT(BP23,LOOKUP(BP23,Pivot!$B$6:$B$12,Pivot!$C$6:$C$12)),"")</f>
        <v>442.7tr</v>
      </c>
      <c r="BR23" s="138" cm="1">
        <f t="array" aca="1" ref="BR23" ca="1">IFERROR(
_xlfn.IFS(
($BO$13)=1,
IFERROR(ROWS(
_xlfn.UNIQUE(_xlfn._xlws.FILTER(Pivot_ThiTruong_MaKhach,
(NOT(ISBLANK(Pivot_ThiTruong_MaKhach)))*
(Pivot_ThiTruong_TtDon=1)*
(MONTH(Pivot_ThiTruong_Ngay)=BO23)
))),0),
($BO$13)=2,
IFERROR(
SUM(_xlfn._xlws.FILTER(Pivot_ThiTruong_DoanhThu,
(MONTH(Pivot_ThiTruong_Ngay)=BO23)
))/
ROWS(_xlfn.UNIQUE(_xlfn._xlws.FILTER(Pivot_ThiTruong_MaKhach,
(NOT(ISBLANK(Pivot_ThiTruong_MaKhach)))*
(MONTH(Pivot_ThiTruong_Ngay)=BO23)
))),0),
($BO$13)=3,
IFERROR(
ROWS(_xlfn.UNIQUE(_xlfn._xlws.FILTER(Pivot_ThiTruong_MaDon,
(NOT(ISBLANK(Pivot_ThiTruong_MaDon))*
(MONTH(Pivot_ThiTruong_Ngay)=BO23)
))))/
ROWS(_xlfn.UNIQUE(_xlfn._xlws.FILTER(Pivot_ThiTruong_MaKhach,
(NOT(ISBLANK(Pivot_ThiTruong_MaKhach)))*
(MONTH(Pivot_ThiTruong_Ngay)=BO23)
))),0)
),0)</f>
        <v>147566666.66666666</v>
      </c>
      <c r="BS23" s="138" t="str">
        <f ca="1">IFERROR(TEXT(BR23,LOOKUP(BR23,Pivot!$B$6:$B$12,Pivot!$C$6:$C$12)),"")</f>
        <v>147.6tr</v>
      </c>
      <c r="BT23" s="204"/>
    </row>
    <row r="24" spans="2:103" ht="16.5" x14ac:dyDescent="0.3">
      <c r="B24" s="134"/>
      <c r="BO24" s="138">
        <v>10</v>
      </c>
      <c r="BP24" s="138" cm="1">
        <f t="array" aca="1" ref="BP24" ca="1">IFERROR(
_xlfn.IFS(
($BO$13)=1,
IFERROR(ROWS(
_xlfn.UNIQUE(_xlfn._xlws.FILTER(Pivot_ThiTruong_MaKhach,
(NOT(ISBLANK(Pivot_ThiTruong_MaKhach)))*
(MONTH(Pivot_ThiTruong_Ngay)=BO24)
))),0),
($BO$13)=2,
IFERROR(SUM(
_xlfn._xlws.FILTER(Pivot_ThiTruong_DoanhThu,
(MONTH(Pivot_ThiTruong_Ngay)=BO24)
)),0),
($BO$13)=3,
IFERROR(ROWS(
_xlfn.UNIQUE(_xlfn._xlws.FILTER(Pivot_ThiTruong_MaDon,
(NOT(ISBLANK(Pivot_ThiTruong_MaDon)))*
(MONTH(Pivot_ThiTruong_Ngay)=BO24)
))),0)
),0)</f>
        <v>469300000</v>
      </c>
      <c r="BQ24" s="138" t="str">
        <f ca="1">IFERROR(TEXT(BP24,LOOKUP(BP24,Pivot!$B$6:$B$12,Pivot!$C$6:$C$12)),"")</f>
        <v>469.3tr</v>
      </c>
      <c r="BR24" s="138" cm="1">
        <f t="array" aca="1" ref="BR24" ca="1">IFERROR(
_xlfn.IFS(
($BO$13)=1,
IFERROR(ROWS(
_xlfn.UNIQUE(_xlfn._xlws.FILTER(Pivot_ThiTruong_MaKhach,
(NOT(ISBLANK(Pivot_ThiTruong_MaKhach)))*
(Pivot_ThiTruong_TtDon=1)*
(MONTH(Pivot_ThiTruong_Ngay)=BO24)
))),0),
($BO$13)=2,
IFERROR(
SUM(_xlfn._xlws.FILTER(Pivot_ThiTruong_DoanhThu,
(MONTH(Pivot_ThiTruong_Ngay)=BO24)
))/
ROWS(_xlfn.UNIQUE(_xlfn._xlws.FILTER(Pivot_ThiTruong_MaKhach,
(NOT(ISBLANK(Pivot_ThiTruong_MaKhach)))*
(MONTH(Pivot_ThiTruong_Ngay)=BO24)
))),0),
($BO$13)=3,
IFERROR(
ROWS(_xlfn.UNIQUE(_xlfn._xlws.FILTER(Pivot_ThiTruong_MaDon,
(NOT(ISBLANK(Pivot_ThiTruong_MaDon))*
(MONTH(Pivot_ThiTruong_Ngay)=BO24)
))))/
ROWS(_xlfn.UNIQUE(_xlfn._xlws.FILTER(Pivot_ThiTruong_MaKhach,
(NOT(ISBLANK(Pivot_ThiTruong_MaKhach)))*
(MONTH(Pivot_ThiTruong_Ngay)=BO24)
))),0)
),0)</f>
        <v>156433333.33333334</v>
      </c>
      <c r="BS24" s="138" t="str">
        <f ca="1">IFERROR(TEXT(BR24,LOOKUP(BR24,Pivot!$B$6:$B$12,Pivot!$C$6:$C$12)),"")</f>
        <v>156.4tr</v>
      </c>
      <c r="BT24" s="204"/>
    </row>
    <row r="25" spans="2:103" ht="16.5" x14ac:dyDescent="0.3">
      <c r="B25" s="134"/>
      <c r="BO25" s="138">
        <v>11</v>
      </c>
      <c r="BP25" s="138" cm="1">
        <f t="array" aca="1" ref="BP25" ca="1">IFERROR(
_xlfn.IFS(
($BO$13)=1,
IFERROR(ROWS(
_xlfn.UNIQUE(_xlfn._xlws.FILTER(Pivot_ThiTruong_MaKhach,
(NOT(ISBLANK(Pivot_ThiTruong_MaKhach)))*
(MONTH(Pivot_ThiTruong_Ngay)=BO25)
))),0),
($BO$13)=2,
IFERROR(SUM(
_xlfn._xlws.FILTER(Pivot_ThiTruong_DoanhThu,
(MONTH(Pivot_ThiTruong_Ngay)=BO25)
)),0),
($BO$13)=3,
IFERROR(ROWS(
_xlfn.UNIQUE(_xlfn._xlws.FILTER(Pivot_ThiTruong_MaDon,
(NOT(ISBLANK(Pivot_ThiTruong_MaDon)))*
(MONTH(Pivot_ThiTruong_Ngay)=BO25)
))),0)
),0)</f>
        <v>477200000</v>
      </c>
      <c r="BQ25" s="138" t="str">
        <f ca="1">IFERROR(TEXT(BP25,LOOKUP(BP25,Pivot!$B$6:$B$12,Pivot!$C$6:$C$12)),"")</f>
        <v>477.2tr</v>
      </c>
      <c r="BR25" s="138" cm="1">
        <f t="array" aca="1" ref="BR25" ca="1">IFERROR(
_xlfn.IFS(
($BO$13)=1,
IFERROR(ROWS(
_xlfn.UNIQUE(_xlfn._xlws.FILTER(Pivot_ThiTruong_MaKhach,
(NOT(ISBLANK(Pivot_ThiTruong_MaKhach)))*
(Pivot_ThiTruong_TtDon=1)*
(MONTH(Pivot_ThiTruong_Ngay)=BO25)
))),0),
($BO$13)=2,
IFERROR(
SUM(_xlfn._xlws.FILTER(Pivot_ThiTruong_DoanhThu,
(MONTH(Pivot_ThiTruong_Ngay)=BO25)
))/
ROWS(_xlfn.UNIQUE(_xlfn._xlws.FILTER(Pivot_ThiTruong_MaKhach,
(NOT(ISBLANK(Pivot_ThiTruong_MaKhach)))*
(MONTH(Pivot_ThiTruong_Ngay)=BO25)
))),0),
($BO$13)=3,
IFERROR(
ROWS(_xlfn.UNIQUE(_xlfn._xlws.FILTER(Pivot_ThiTruong_MaDon,
(NOT(ISBLANK(Pivot_ThiTruong_MaDon))*
(MONTH(Pivot_ThiTruong_Ngay)=BO25)
))))/
ROWS(_xlfn.UNIQUE(_xlfn._xlws.FILTER(Pivot_ThiTruong_MaKhach,
(NOT(ISBLANK(Pivot_ThiTruong_MaKhach)))*
(MONTH(Pivot_ThiTruong_Ngay)=BO25)
))),0)
),0)</f>
        <v>159066666.66666666</v>
      </c>
      <c r="BS25" s="138" t="str">
        <f ca="1">IFERROR(TEXT(BR25,LOOKUP(BR25,Pivot!$B$6:$B$12,Pivot!$C$6:$C$12)),"")</f>
        <v>159.1tr</v>
      </c>
      <c r="BT25" s="204"/>
    </row>
    <row r="26" spans="2:103" ht="16.5" x14ac:dyDescent="0.3">
      <c r="B26" s="134"/>
      <c r="BO26" s="138">
        <v>12</v>
      </c>
      <c r="BP26" s="138" cm="1">
        <f t="array" aca="1" ref="BP26" ca="1">IFERROR(
_xlfn.IFS(
($BO$13)=1,
IFERROR(ROWS(
_xlfn.UNIQUE(_xlfn._xlws.FILTER(Pivot_ThiTruong_MaKhach,
(NOT(ISBLANK(Pivot_ThiTruong_MaKhach)))*
(MONTH(Pivot_ThiTruong_Ngay)=BO26)
))),0),
($BO$13)=2,
IFERROR(SUM(
_xlfn._xlws.FILTER(Pivot_ThiTruong_DoanhThu,
(MONTH(Pivot_ThiTruong_Ngay)=BO26)
)),0),
($BO$13)=3,
IFERROR(ROWS(
_xlfn.UNIQUE(_xlfn._xlws.FILTER(Pivot_ThiTruong_MaDon,
(NOT(ISBLANK(Pivot_ThiTruong_MaDon)))*
(MONTH(Pivot_ThiTruong_Ngay)=BO26)
))),0)
),0)</f>
        <v>495800000</v>
      </c>
      <c r="BQ26" s="138" t="str">
        <f ca="1">IFERROR(TEXT(BP26,LOOKUP(BP26,Pivot!$B$6:$B$12,Pivot!$C$6:$C$12)),"")</f>
        <v>495.8tr</v>
      </c>
      <c r="BR26" s="138" cm="1">
        <f t="array" aca="1" ref="BR26" ca="1">IFERROR(
_xlfn.IFS(
($BO$13)=1,
IFERROR(ROWS(
_xlfn.UNIQUE(_xlfn._xlws.FILTER(Pivot_ThiTruong_MaKhach,
(NOT(ISBLANK(Pivot_ThiTruong_MaKhach)))*
(Pivot_ThiTruong_TtDon=1)*
(MONTH(Pivot_ThiTruong_Ngay)=BO26)
))),0),
($BO$13)=2,
IFERROR(
SUM(_xlfn._xlws.FILTER(Pivot_ThiTruong_DoanhThu,
(MONTH(Pivot_ThiTruong_Ngay)=BO26)
))/
ROWS(_xlfn.UNIQUE(_xlfn._xlws.FILTER(Pivot_ThiTruong_MaKhach,
(NOT(ISBLANK(Pivot_ThiTruong_MaKhach)))*
(MONTH(Pivot_ThiTruong_Ngay)=BO26)
))),0),
($BO$13)=3,
IFERROR(
ROWS(_xlfn.UNIQUE(_xlfn._xlws.FILTER(Pivot_ThiTruong_MaDon,
(NOT(ISBLANK(Pivot_ThiTruong_MaDon))*
(MONTH(Pivot_ThiTruong_Ngay)=BO26)
))))/
ROWS(_xlfn.UNIQUE(_xlfn._xlws.FILTER(Pivot_ThiTruong_MaKhach,
(NOT(ISBLANK(Pivot_ThiTruong_MaKhach)))*
(MONTH(Pivot_ThiTruong_Ngay)=BO26)
))),0)
),0)</f>
        <v>165266666.66666666</v>
      </c>
      <c r="BS26" s="138" t="str">
        <f ca="1">IFERROR(TEXT(BR26,LOOKUP(BR26,Pivot!$B$6:$B$12,Pivot!$C$6:$C$12)),"")</f>
        <v>165.3tr</v>
      </c>
      <c r="BT26" s="204"/>
    </row>
    <row r="27" spans="2:103" ht="16.5" x14ac:dyDescent="0.3">
      <c r="B27" s="134"/>
      <c r="BO27" s="204"/>
    </row>
    <row r="28" spans="2:103" ht="16.5" x14ac:dyDescent="0.3">
      <c r="B28" s="134"/>
      <c r="BO28" s="204"/>
    </row>
    <row r="29" spans="2:103" ht="16.5" x14ac:dyDescent="0.3">
      <c r="B29" s="134"/>
      <c r="BO29" s="204"/>
      <c r="CL29" s="137" t="str" cm="1">
        <f t="array" ref="CL29">_xlfn.IFS(
($BO$13) = 1,"Cấu trúc khách hàng",
($BO$13) = 2,"Cấu trúc doanh thu",
($BO$13) = 3,"Cấu trúc đơn hàng")</f>
        <v>Cấu trúc doanh thu</v>
      </c>
      <c r="CN29" s="137" t="str" cm="1">
        <f t="array" ref="CN29">_xlfn.IFS(
($BO$13) = 1,"Tỷ lệ khách mới (%) và tốc độ tăng lượng khách",
($BO$13) = 2,"Doanh thu / khách và tốc độ tăng doanh thu",
($BO$13) = 3,"Đơn hàng / khách và tốc độ tăng đơn hàng")</f>
        <v>Doanh thu / khách và tốc độ tăng doanh thu</v>
      </c>
      <c r="CS29" s="137" t="str" cm="1">
        <f t="array" ref="CS29">_xlfn.IFS(
($BO$13) = 1,"Số khách theo tỉnh thành",
($BO$13) = 2,"Doanh thu theo tỉnh thành",
($BO$13) = 3,"Đơn hàng theo tỉnh thành")</f>
        <v>Doanh thu theo tỉnh thành</v>
      </c>
    </row>
    <row r="30" spans="2:103" ht="16.5" x14ac:dyDescent="0.3">
      <c r="B30" s="134"/>
      <c r="BO30" s="140" t="s">
        <v>173</v>
      </c>
      <c r="BP30" s="137" t="s">
        <v>25</v>
      </c>
      <c r="BQ30" s="137" t="s">
        <v>184</v>
      </c>
      <c r="BR30" s="137" t="s">
        <v>178</v>
      </c>
      <c r="BS30" s="137" t="s">
        <v>185</v>
      </c>
      <c r="BT30" s="137" t="s">
        <v>186</v>
      </c>
      <c r="BU30" s="137" t="s">
        <v>187</v>
      </c>
      <c r="BV30" s="137" t="s">
        <v>33</v>
      </c>
      <c r="BW30" s="137" t="s">
        <v>188</v>
      </c>
      <c r="BX30" s="137" t="s">
        <v>189</v>
      </c>
      <c r="BY30" s="137" t="s">
        <v>190</v>
      </c>
      <c r="BZ30" s="137" t="s">
        <v>174</v>
      </c>
      <c r="CA30" s="137" t="s">
        <v>191</v>
      </c>
      <c r="CB30" s="137" t="s">
        <v>192</v>
      </c>
      <c r="CC30" s="137" t="s">
        <v>193</v>
      </c>
      <c r="CD30" s="137" t="s">
        <v>164</v>
      </c>
      <c r="CE30" s="137" t="s">
        <v>194</v>
      </c>
      <c r="CF30" s="137" t="s">
        <v>33</v>
      </c>
      <c r="CG30" s="137" t="s">
        <v>195</v>
      </c>
      <c r="CH30" s="137" t="s">
        <v>169</v>
      </c>
      <c r="CJ30" s="137" t="s">
        <v>25</v>
      </c>
      <c r="CK30" s="137" t="s">
        <v>21</v>
      </c>
      <c r="CL30" s="137" t="s">
        <v>22</v>
      </c>
      <c r="CM30" s="137" t="s">
        <v>157</v>
      </c>
      <c r="CN30" s="137" t="s">
        <v>22</v>
      </c>
      <c r="CO30" s="137" t="s">
        <v>71</v>
      </c>
      <c r="CP30" s="137" t="s">
        <v>196</v>
      </c>
      <c r="CQ30" s="137" t="s">
        <v>22</v>
      </c>
      <c r="CS30" s="137" t="s">
        <v>197</v>
      </c>
      <c r="CT30" s="137" t="s">
        <v>178</v>
      </c>
      <c r="CU30" s="137" t="s">
        <v>22</v>
      </c>
      <c r="CW30" s="137" t="s">
        <v>198</v>
      </c>
      <c r="CX30" s="137" t="s">
        <v>199</v>
      </c>
      <c r="CY30" s="137" t="s">
        <v>200</v>
      </c>
    </row>
    <row r="31" spans="2:103" ht="16.5" x14ac:dyDescent="0.3">
      <c r="B31" s="134"/>
      <c r="BO31" s="137" t="str" cm="1">
        <f t="array" ref="BO31:BO33">Table_KhachHang[Mã KH]</f>
        <v>KH3</v>
      </c>
      <c r="BP31" s="137" cm="1">
        <f t="array" ref="BP31:BP33">VLOOKUP(_xlfn.ANCHORARRAY(BO31),Table_KhachHang[Mã KH]:Table_KhachHang[Phân khúc],3,0)</f>
        <v>0</v>
      </c>
      <c r="BQ31" s="137" cm="1">
        <f t="array" ref="BQ31:BQ33">VLOOKUP(_xlfn.ANCHORARRAY(BO31),Table_KhachHang[Mã KH]:Table_KhachHang[Tỉnh],8,0)</f>
        <v>0</v>
      </c>
      <c r="BR31" s="137" cm="1">
        <f t="array" aca="1" ref="BR31:BR33" ca="1">IFERROR(
_xlfn.IFS(
($BO$13)=1,
IFERROR(COUNTIFS(_xlfn.ANCHORARRAY(
BO31),_xlfn.ANCHORARRAY(BO31),_xlfn.ANCHORARRAY(
BW31),"&gt;0"
),0),
($BO$13)=2,
IFERROR(SUMIFS(
Pivot_ThiTruong_DoanhThu,
Pivot_ThiTruong_MaKhach,_xlfn.ANCHORARRAY(BO31)
),0),
($BO$13)=3,
IFERROR(COUNTIFS(
Pivot_ThiTruong_MaKhach,_xlfn.ANCHORARRAY(BO31)
),0)
),0)</f>
        <v>0</v>
      </c>
      <c r="BS31" s="145" cm="1">
        <f t="array" ref="BS31:BS33">IFERROR(_xlfn.MINIFS(
Table_DonBan[Ngày lập],
Table_DonBan[Mã Khách],_xlfn.ANCHORARRAY(BO31)
),"")</f>
        <v>45741</v>
      </c>
      <c r="BT31" s="137" cm="1">
        <f t="array" ref="BT31:BT33">IFERROR(COUNTIFS(_xlfn.ANCHORARRAY(
BO31),_xlfn.ANCHORARRAY(BO31),_xlfn.ANCHORARRAY(
BW31),"&gt;0"
),0)</f>
        <v>0</v>
      </c>
      <c r="BU31" s="137" cm="1">
        <f t="array" ref="BU31:BU33">IFERROR(COUNTIFS(_xlfn.ANCHORARRAY(
BO31),_xlfn.ANCHORARRAY(BO31),_xlfn.ANCHORARRAY(
BW31),"&gt;0",_xlfn.ANCHORARRAY(
BS31),"&gt;="&amp;Pivot!$H$2,_xlfn.ANCHORARRAY(
BS31),"&lt;="&amp;Pivot!$H$3
),0)</f>
        <v>0</v>
      </c>
      <c r="BV31" s="137" cm="1">
        <f t="array" aca="1" ref="BV31:BV33" ca="1">IFERROR(SUMIFS(
Pivot_ThiTruong_DoanhThu,
Pivot_ThiTruong_MaKhach,_xlfn.ANCHORARRAY( BO31)),0)</f>
        <v>0</v>
      </c>
      <c r="BW31" s="137" cm="1">
        <f t="array" ref="BW31:BW33">IFERROR(COUNTIFS(
Table_DonBan[Mã Khách],_xlfn.ANCHORARRAY( BO31),
Table_DonBan[Ngày lập],"&gt;="&amp;Pivot!$H$2,
Table_DonBan[Ngày lập],"&lt;="&amp;Pivot!$H$3),"")</f>
        <v>0</v>
      </c>
      <c r="BX31" s="137" cm="1">
        <f t="array" aca="1" ref="BX31:BX33" ca="1">IF(_xlfn.ANCHORARRAY(BR31)&gt;0,
SUMIF(Table_DonBan[Mã Khách],_xlfn.ANCHORARRAY(BO31),Table_DonBan[Doanh thu ròng]),0)</f>
        <v>0</v>
      </c>
      <c r="BY31" s="204" cm="1">
        <f t="array" ref="BY31:BY33">MAX(Table_DonBan[Ngày lập])-_xlfn.ANCHORARRAY(BS31)</f>
        <v>67</v>
      </c>
      <c r="BZ31" s="137" cm="1">
        <f t="array" aca="1" ref="BZ31:BZ33" ca="1">IF(_xlfn.ANCHORARRAY(BR31)&gt;0,
SUMIF(Table_DonBan[Mã Khách],_xlfn.ANCHORARRAY(BO31),Table_DonBan[Doanh thu ròng])/_xlfn.ANCHORARRAY( BY31),
0)</f>
        <v>0</v>
      </c>
      <c r="CA31" s="146" cm="1">
        <f t="array" ref="CA31:CA33">IFERROR(_xlfn.MAXIFS(
Table_DonBan[Ngày lập],
Table_DonBan[Mã Khách],_xlfn.ANCHORARRAY(BO31)
),"")</f>
        <v>45808</v>
      </c>
      <c r="CB31" s="204" cm="1">
        <f t="array" aca="1" ref="CB31:CB33" ca="1" xml:space="preserve">
IF(_xlfn.ANCHORARRAY(BR31)&gt;0,
MAX(Table_DonBan[Ngày lập])-_xlfn.ANCHORARRAY(CA31),
0)</f>
        <v>0</v>
      </c>
      <c r="CC31" s="204" cm="1">
        <f t="array" ref="CC31:CC33">IFERROR(COUNTIFS(
Table_DonBan[Mã Khách],_xlfn.ANCHORARRAY( BO31)),"")</f>
        <v>6</v>
      </c>
      <c r="CD31" s="140" cm="1">
        <f t="array" ref="CD31:CD33">_xlfn.ANCHORARRAY(BY31)/_xlfn.ANCHORARRAY(CC31)</f>
        <v>11.166666666666666</v>
      </c>
      <c r="CE31" s="137" cm="1">
        <f t="array" ref="CE31:CE33">IFERROR(COUNTIFS(_xlfn.ANCHORARRAY(
BO31),_xlfn.ANCHORARRAY(BO31),_xlfn.ANCHORARRAY(
CG31),"&gt;0"
),0)</f>
        <v>0</v>
      </c>
      <c r="CF31" s="137" cm="1">
        <f t="array" ref="CF31:CF33">IFERROR(SUMIFS(
Table_DonBan[Doanh thu ròng],
Table_DonBan[Mã Khách],_xlfn.ANCHORARRAY( BO31),
Table_DonBan[Ngày lập],"&gt;="&amp;DATE(YEAR(Pivot!$H$2)-1,MONTH(Pivot!$H$2),DAY(Pivot!$H$2)),
Table_DonBan[Ngày lập],"&lt;="&amp;DATE(YEAR(Pivot!$H$3)-1,MONTH(Pivot!$H$3),DAY(Pivot!$H$3))),0)</f>
        <v>0</v>
      </c>
      <c r="CG31" s="137" cm="1">
        <f t="array" ref="CG31:CG33">IFERROR(COUNTIFS(
Table_DonBan[Mã Khách],_xlfn.ANCHORARRAY( BO31),
Table_DonBan[Ngày lập],"&gt;="&amp;DATE(YEAR(Pivot!$H$2)-1,MONTH(Pivot!$H$2),DAY(Pivot!$H$2)),
Table_DonBan[Ngày lập],"&lt;="&amp;DATE(YEAR(Pivot!$H$3)-1,MONTH(Pivot!$H$3),DAY(Pivot!$H$3))),"")</f>
        <v>0</v>
      </c>
      <c r="CH31" s="137" cm="1">
        <f t="array" ref="CH31:CH33">VLOOKUP(_xlfn.ANCHORARRAY(BO31),Table_KhachHang[Mã KH]:Table_KhachHang[Dư nợ],9,0)</f>
        <v>0</v>
      </c>
      <c r="CJ31" s="137" cm="1">
        <f t="array" ref="CJ31">_xlfn.UNIQUE(_xlfn.ANCHORARRAY(BP31))</f>
        <v>0</v>
      </c>
      <c r="CK31" s="137" cm="1">
        <f t="array" aca="1" ref="CK31" ca="1">SUMIF(_xlfn.ANCHORARRAY(BP31),_xlfn.ANCHORARRAY(CJ31),_xlfn.ANCHORARRAY(BR31))</f>
        <v>0</v>
      </c>
      <c r="CL31" s="138" t="str" cm="1">
        <f t="array" aca="1" ref="CL31" ca="1">IFERROR(TEXT(_xlfn.ANCHORARRAY(CK31),LOOKUP(_xlfn.ANCHORARRAY(CK31),Pivot!$B$6:$B$12,Pivot!$C$6:$C$12)),"")</f>
        <v/>
      </c>
      <c r="CM31" s="204" cm="1">
        <f t="array" aca="1" ref="CM31" ca="1">IFERROR(
_xlfn.IFS(
($BO$13)=1,
IFERROR(
SUMIFS(_xlfn.ANCHORARRAY(BU31),_xlfn.ANCHORARRAY(BP31),_xlfn.ANCHORARRAY(CJ31))/
SUMIFS(_xlfn.ANCHORARRAY(BT31),_xlfn.ANCHORARRAY(BP31),_xlfn.ANCHORARRAY(CJ31)),0)
*100,
($BO$13)=2,
IFERROR(
SUMIFS(_xlfn.ANCHORARRAY(BV31),_xlfn.ANCHORARRAY(BP31),_xlfn.ANCHORARRAY(CJ31))/
SUMIFS(_xlfn.ANCHORARRAY(BT31),_xlfn.ANCHORARRAY(BP31),_xlfn.ANCHORARRAY(CJ31)),0),
($BO$13)=3,
IFERROR(
SUMIFS(_xlfn.ANCHORARRAY(BW31),_xlfn.ANCHORARRAY(BP31),_xlfn.ANCHORARRAY(CJ31))/
SUMIFS(_xlfn.ANCHORARRAY(BT31),_xlfn.ANCHORARRAY(BP31),_xlfn.ANCHORARRAY(CJ31)),0)),0)</f>
        <v>0</v>
      </c>
      <c r="CN31" s="138" t="str" cm="1">
        <f t="array" aca="1" ref="CN31" ca="1">IFERROR(TEXT(_xlfn.ANCHORARRAY(CM31),LOOKUP(_xlfn.ANCHORARRAY(CM31),Pivot!$B$6:$B$12,Pivot!$C$6:$C$12)),"")</f>
        <v/>
      </c>
      <c r="CO31" s="139" cm="1">
        <f t="array" aca="1" ref="CO31" ca="1">IFERROR(
_xlfn.IFS(
($BO$13)=1,
IFERROR(
SUMIFS(_xlfn.ANCHORARRAY(BT31),_xlfn.ANCHORARRAY(BP31),_xlfn.ANCHORARRAY(CJ31))/
SUMIFS(_xlfn.ANCHORARRAY(CE31),_xlfn.ANCHORARRAY(BP31),_xlfn.ANCHORARRAY(CJ31))-1,0),
($BO$13)=2,
IFERROR(
SUMIFS(_xlfn.ANCHORARRAY(BV31),_xlfn.ANCHORARRAY(BP31),_xlfn.ANCHORARRAY(CJ31))/
SUMIFS(_xlfn.ANCHORARRAY(CF31),_xlfn.ANCHORARRAY(BP31),_xlfn.ANCHORARRAY(CJ31))-1,0),
($BO$13)=3,
IFERROR(
SUMIFS(_xlfn.ANCHORARRAY(BW31),_xlfn.ANCHORARRAY(BP31),_xlfn.ANCHORARRAY(CJ31))/
SUMIFS(_xlfn.ANCHORARRAY(CG31),_xlfn.ANCHORARRAY(BP31),_xlfn.ANCHORARRAY(CJ31))-1,0)
),0)</f>
        <v>0</v>
      </c>
      <c r="CP31" s="137" t="str" cm="1">
        <f t="array" aca="1" ref="CP31" ca="1">IF(_xlfn.ANCHORARRAY(CM31)&gt;AVERAGE(_xlfn.ANCHORARRAY(CM31)),_xlfn.ANCHORARRAY(CM31),"")</f>
        <v/>
      </c>
      <c r="CQ31" s="138" t="str" cm="1">
        <f t="array" aca="1" ref="CQ31" ca="1">IFERROR(TEXT(_xlfn.ANCHORARRAY(CP31),LOOKUP(_xlfn.ANCHORARRAY(CP31),Pivot!$B$6:$B$12,Pivot!$C$6:$C$12)),"")</f>
        <v/>
      </c>
      <c r="CS31" s="137" cm="1">
        <f t="array" ref="CS31">_xlfn.UNIQUE(Table_KhachHang[Tỉnh])</f>
        <v>0</v>
      </c>
      <c r="CT31" s="137" cm="1">
        <f t="array" aca="1" ref="CT31" ca="1">SUMIF(_xlfn.ANCHORARRAY(BQ31),_xlfn.ANCHORARRAY(CS31),_xlfn.ANCHORARRAY(BR31))</f>
        <v>0</v>
      </c>
      <c r="CU31" s="138" t="str" cm="1">
        <f t="array" aca="1" ref="CU31" ca="1">IFERROR(TEXT(_xlfn.ANCHORARRAY(CT31),LOOKUP(_xlfn.ANCHORARRAY(CT31),Pivot!$B$6:$B$12,Pivot!$C$6:$C$12)),"")</f>
        <v/>
      </c>
      <c r="CW31" s="137" cm="1">
        <f t="array" ref="CW31">_xlfn.UNIQUE(Table_SKU[Nhóm 1])</f>
        <v>0</v>
      </c>
      <c r="CX31" s="137" cm="1">
        <f t="array" aca="1" ref="CX31" ca="1">IFERROR(SUMIFS(
PIvot_ThiTruong_SoLuongSP,
Pivot_ThiTruong_NhomSP,_xlfn.ANCHORARRAY(CW31)),0)</f>
        <v>0</v>
      </c>
      <c r="CY31" s="137" cm="1">
        <f t="array" aca="1" ref="CY31" ca="1">IFERROR(SUMIFS(
PIvot_ThiTruong_SoLuongSP,
Pivot_ThiTruong_NhomSP,_xlfn.ANCHORARRAY(CW31),
Pivot_ThiTruong_MaKhach,$AA$4),0)</f>
        <v>0</v>
      </c>
    </row>
    <row r="32" spans="2:103" ht="16.5" x14ac:dyDescent="0.3">
      <c r="B32" s="134"/>
      <c r="BO32" s="137" t="str">
        <v>KH2</v>
      </c>
      <c r="BP32" s="137">
        <v>0</v>
      </c>
      <c r="BQ32" s="137">
        <v>0</v>
      </c>
      <c r="BR32" s="137">
        <f ca="1"/>
        <v>0</v>
      </c>
      <c r="BS32" s="137">
        <v>45729</v>
      </c>
      <c r="BT32" s="137">
        <v>0</v>
      </c>
      <c r="BU32" s="137">
        <v>0</v>
      </c>
      <c r="BV32" s="137">
        <f ca="1"/>
        <v>0</v>
      </c>
      <c r="BW32" s="137">
        <v>0</v>
      </c>
      <c r="BX32" s="137">
        <f ca="1"/>
        <v>0</v>
      </c>
      <c r="BY32" s="204">
        <v>79</v>
      </c>
      <c r="BZ32" s="137">
        <f ca="1"/>
        <v>0</v>
      </c>
      <c r="CA32" s="204">
        <v>45792</v>
      </c>
      <c r="CB32" s="204">
        <f ca="1"/>
        <v>0</v>
      </c>
      <c r="CC32" s="204">
        <v>10</v>
      </c>
      <c r="CD32" s="204">
        <v>7.9</v>
      </c>
      <c r="CE32" s="137">
        <v>0</v>
      </c>
      <c r="CF32" s="137">
        <v>0</v>
      </c>
      <c r="CG32" s="137">
        <v>0</v>
      </c>
      <c r="CH32" s="137">
        <v>0</v>
      </c>
      <c r="CM32" s="204"/>
      <c r="CO32" s="139"/>
    </row>
    <row r="33" spans="2:86" ht="16.5" x14ac:dyDescent="0.3">
      <c r="B33" s="134"/>
      <c r="BO33" s="137" t="str">
        <v>KH1</v>
      </c>
      <c r="BP33" s="137">
        <v>0</v>
      </c>
      <c r="BQ33" s="137">
        <v>0</v>
      </c>
      <c r="BR33" s="137">
        <f ca="1"/>
        <v>0</v>
      </c>
      <c r="BS33" s="137">
        <v>45736</v>
      </c>
      <c r="BT33" s="137">
        <v>0</v>
      </c>
      <c r="BU33" s="137">
        <v>0</v>
      </c>
      <c r="BV33" s="137">
        <f ca="1"/>
        <v>0</v>
      </c>
      <c r="BW33" s="137">
        <v>0</v>
      </c>
      <c r="BX33" s="137">
        <f ca="1"/>
        <v>0</v>
      </c>
      <c r="BY33" s="204">
        <v>72</v>
      </c>
      <c r="BZ33" s="137">
        <f ca="1"/>
        <v>0</v>
      </c>
      <c r="CA33" s="204">
        <v>45796</v>
      </c>
      <c r="CB33" s="204">
        <f ca="1"/>
        <v>0</v>
      </c>
      <c r="CC33" s="204">
        <v>8</v>
      </c>
      <c r="CD33" s="204">
        <v>9</v>
      </c>
      <c r="CE33" s="137">
        <v>0</v>
      </c>
      <c r="CF33" s="137">
        <v>0</v>
      </c>
      <c r="CG33" s="137">
        <v>0</v>
      </c>
      <c r="CH33" s="137">
        <v>0</v>
      </c>
    </row>
    <row r="34" spans="2:86" ht="16.5" x14ac:dyDescent="0.3">
      <c r="B34" s="134"/>
      <c r="BY34" s="204"/>
      <c r="CA34" s="204"/>
      <c r="CB34" s="204"/>
      <c r="CC34" s="204"/>
      <c r="CD34" s="204"/>
    </row>
    <row r="35" spans="2:86" ht="16.5" x14ac:dyDescent="0.3">
      <c r="B35" s="134"/>
      <c r="BY35" s="204"/>
      <c r="CA35" s="204"/>
      <c r="CB35" s="204"/>
      <c r="CC35" s="204"/>
      <c r="CD35" s="204"/>
    </row>
    <row r="36" spans="2:86" ht="16.5" x14ac:dyDescent="0.3">
      <c r="B36" s="134"/>
      <c r="BY36" s="204"/>
      <c r="CA36" s="204"/>
      <c r="CB36" s="204"/>
      <c r="CC36" s="204"/>
      <c r="CD36" s="204"/>
    </row>
    <row r="37" spans="2:86" ht="16.5" x14ac:dyDescent="0.3">
      <c r="B37" s="134"/>
      <c r="BY37" s="204"/>
      <c r="CA37" s="204"/>
      <c r="CB37" s="204"/>
      <c r="CC37" s="204"/>
      <c r="CD37" s="204"/>
    </row>
    <row r="38" spans="2:86" ht="16.5" x14ac:dyDescent="0.3">
      <c r="B38" s="134"/>
    </row>
    <row r="39" spans="2:86" ht="16.5" x14ac:dyDescent="0.3">
      <c r="B39" s="134"/>
    </row>
    <row r="40" spans="2:86" ht="16.5" x14ac:dyDescent="0.3">
      <c r="B40" s="134"/>
    </row>
    <row r="41" spans="2:86" ht="16.5" x14ac:dyDescent="0.3">
      <c r="B41" s="134"/>
    </row>
    <row r="42" spans="2:86" ht="16.5" x14ac:dyDescent="0.3">
      <c r="B42" s="134"/>
    </row>
    <row r="43" spans="2:86" ht="16.5" x14ac:dyDescent="0.3">
      <c r="B43" s="134"/>
    </row>
    <row r="44" spans="2:86" ht="16.5" x14ac:dyDescent="0.3">
      <c r="B44" s="134"/>
    </row>
    <row r="45" spans="2:86" ht="16.5" x14ac:dyDescent="0.3">
      <c r="B45" s="134"/>
    </row>
    <row r="46" spans="2:86" ht="16.5" x14ac:dyDescent="0.3">
      <c r="B46" s="134"/>
    </row>
    <row r="47" spans="2:86" ht="16.5" x14ac:dyDescent="0.3">
      <c r="B47" s="134"/>
    </row>
    <row r="48" spans="2:86" ht="16.5" x14ac:dyDescent="0.3">
      <c r="B48" s="134"/>
    </row>
    <row r="49" spans="2:2" ht="16.5" x14ac:dyDescent="0.3">
      <c r="B49" s="134"/>
    </row>
    <row r="50" spans="2:2" ht="16.5" x14ac:dyDescent="0.3">
      <c r="B50" s="134"/>
    </row>
  </sheetData>
  <sheetProtection algorithmName="SHA-512" hashValue="aqjVC1K9ymOXzueLiypiwZLCN9sVvnlvP1SxD3QWGlSDaRLU8ptc/9ynLuj3hAvbrhBgGgyQa0u6IoMujYspRQ==" saltValue="tXUwG9HxkIa+Mca6LjhKWg==" spinCount="100000" sheet="1" scenarios="1" formatCells="0" formatColumns="0" formatRows="0" insertColumns="0" insertRows="0" deleteColumns="0" deleteRows="0" sort="0" autoFilter="0" pivotTables="0"/>
  <mergeCells count="1">
    <mergeCell ref="AA4:AC4"/>
  </mergeCells>
  <dataValidations disablePrompts="1" count="1">
    <dataValidation type="list" allowBlank="1" showInputMessage="1" showErrorMessage="1" sqref="AA4:AC4" xr:uid="{1AF2CE8A-5039-4782-840A-40B2395D4D49}">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11</xdr:col>
                    <xdr:colOff>581025</xdr:colOff>
                    <xdr:row>16</xdr:row>
                    <xdr:rowOff>9525</xdr:rowOff>
                  </from>
                  <to>
                    <xdr:col>13</xdr:col>
                    <xdr:colOff>295275</xdr:colOff>
                    <xdr:row>17</xdr:row>
                    <xdr:rowOff>9525</xdr:rowOff>
                  </to>
                </anchor>
              </controlPr>
            </control>
          </mc:Choice>
        </mc:AlternateContent>
      </controls>
    </mc:Choice>
  </mc:AlternateContent>
  <tableParts count="4">
    <tablePart r:id="rId7"/>
    <tablePart r:id="rId8"/>
    <tablePart r:id="rId9"/>
    <tablePart r:id="rId10"/>
  </tableParts>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36825-C85E-474A-AE3E-837CE067A7D7}">
  <sheetPr codeName="Sheet48">
    <tabColor theme="9" tint="0.39997558519241921"/>
    <outlinePr summaryBelow="0" summaryRight="0"/>
  </sheetPr>
  <dimension ref="A1:DC58"/>
  <sheetViews>
    <sheetView showGridLines="0" topLeftCell="A10" zoomScaleNormal="100" workbookViewId="0">
      <selection activeCell="AJ20" sqref="AJ20"/>
    </sheetView>
  </sheetViews>
  <sheetFormatPr defaultRowHeight="18" customHeight="1" outlineLevelCol="1" x14ac:dyDescent="0.15"/>
  <cols>
    <col min="1" max="1" width="3" style="130" customWidth="1"/>
    <col min="2" max="2" width="8.875" style="131" customWidth="1"/>
    <col min="3" max="3" width="15.75" style="131" bestFit="1" customWidth="1"/>
    <col min="4" max="37" width="9" style="131"/>
    <col min="38" max="38" width="9" style="131" customWidth="1"/>
    <col min="39" max="43" width="9" style="131"/>
    <col min="44" max="45" width="11.5" style="131" customWidth="1"/>
    <col min="46" max="46" width="12.75" style="131" customWidth="1"/>
    <col min="47" max="47" width="11.5" style="131" customWidth="1"/>
    <col min="48" max="49" width="9" style="131"/>
    <col min="50" max="59" width="10.75" style="131" customWidth="1"/>
    <col min="60" max="64" width="10.75" style="135" customWidth="1"/>
    <col min="65" max="65" width="13.625" style="137" bestFit="1" customWidth="1"/>
    <col min="66" max="66" width="14.375" style="137" bestFit="1" customWidth="1"/>
    <col min="67" max="67" width="11.125" style="137" bestFit="1" customWidth="1"/>
    <col min="68" max="68" width="11.125" style="137" customWidth="1"/>
    <col min="69" max="69" width="11.625" style="137" bestFit="1" customWidth="1"/>
    <col min="70" max="70" width="11.375" style="137" customWidth="1"/>
    <col min="71" max="71" width="9" style="137" collapsed="1"/>
    <col min="72" max="76" width="9" style="137" hidden="1" customWidth="1" outlineLevel="1"/>
    <col min="77" max="79" width="11.125" style="137" hidden="1" customWidth="1" outlineLevel="1"/>
    <col min="80" max="80" width="11.125" style="137" customWidth="1" collapsed="1"/>
    <col min="81" max="88" width="9" style="137" hidden="1" customWidth="1" outlineLevel="1"/>
    <col min="89" max="89" width="9" style="137" customWidth="1" collapsed="1"/>
    <col min="90" max="92" width="9" style="137" hidden="1" customWidth="1" outlineLevel="1"/>
    <col min="93" max="100" width="9" style="137"/>
    <col min="101" max="107" width="9" style="135"/>
    <col min="108" max="16384" width="9" style="131"/>
  </cols>
  <sheetData>
    <row r="1" spans="2:71" ht="18" customHeight="1" x14ac:dyDescent="0.15">
      <c r="AJ1" s="135"/>
      <c r="AK1" s="135"/>
      <c r="AL1" s="135"/>
      <c r="AM1" s="135"/>
      <c r="AN1" s="135"/>
      <c r="AO1" s="135"/>
      <c r="AP1" s="137"/>
      <c r="AQ1" s="137" t="str" cm="1">
        <f t="array" aca="1" ref="AQ1:AS1" ca="1">TRANSPOSE(_xlfn._xlws.SORT(_xlfn.UNIQUE(Pivot_SanPham_SKU)))</f>
        <v>TP-Aa1-1</v>
      </c>
      <c r="AR1" s="137" t="str">
        <f ca="1"/>
        <v>TP-Bb2-2</v>
      </c>
      <c r="AS1" s="137" t="str">
        <f ca="1"/>
        <v>TP-Cc3-3</v>
      </c>
      <c r="AT1" s="137"/>
      <c r="AU1" s="137"/>
      <c r="AV1" s="137"/>
      <c r="AW1" s="137"/>
      <c r="AX1" s="137"/>
      <c r="AY1" s="137"/>
      <c r="AZ1" s="137"/>
      <c r="BA1" s="137"/>
      <c r="BB1" s="137"/>
      <c r="BC1" s="137"/>
      <c r="BD1" s="137"/>
      <c r="BE1" s="137"/>
      <c r="BF1" s="137"/>
      <c r="BG1" s="137"/>
    </row>
    <row r="2" spans="2:71" ht="18" customHeight="1" x14ac:dyDescent="0.15">
      <c r="AJ2" s="135"/>
      <c r="AK2" s="135"/>
      <c r="AL2" s="135"/>
      <c r="AM2" s="135"/>
      <c r="AN2" s="135"/>
      <c r="AO2" s="135"/>
      <c r="AP2" s="137"/>
      <c r="AQ2" s="137"/>
      <c r="AR2" s="137" t="s">
        <v>158</v>
      </c>
      <c r="AS2" s="137" t="s">
        <v>159</v>
      </c>
      <c r="AT2" s="137" t="s">
        <v>33</v>
      </c>
      <c r="AU2" s="137" t="s">
        <v>22</v>
      </c>
      <c r="AV2" s="137" t="s">
        <v>160</v>
      </c>
      <c r="AW2" s="137" t="s">
        <v>161</v>
      </c>
      <c r="AX2" s="137" t="s">
        <v>162</v>
      </c>
      <c r="AY2" s="137" t="s">
        <v>22</v>
      </c>
      <c r="AZ2" s="137" t="s">
        <v>163</v>
      </c>
      <c r="BA2" s="137" t="s">
        <v>161</v>
      </c>
      <c r="BB2" s="137" t="s">
        <v>201</v>
      </c>
      <c r="BC2" s="137" t="s">
        <v>165</v>
      </c>
      <c r="BD2" s="137" t="s">
        <v>161</v>
      </c>
      <c r="BE2" s="137" t="s">
        <v>17</v>
      </c>
      <c r="BF2" s="137" t="s">
        <v>202</v>
      </c>
      <c r="BG2" s="137"/>
    </row>
    <row r="3" spans="2:71" ht="18" customHeight="1" x14ac:dyDescent="0.15">
      <c r="AJ3" s="135"/>
      <c r="AK3" s="135"/>
      <c r="AL3" s="135"/>
      <c r="AM3" s="135"/>
      <c r="AN3" s="135"/>
      <c r="AO3" s="135"/>
      <c r="AP3" s="137"/>
      <c r="AQ3" s="137" t="str">
        <f>AA4</f>
        <v>TP-Cc3-3</v>
      </c>
      <c r="AR3" s="137" t="e">
        <f>IF(NOT(ISBLANK($AA$4)),
VLOOKUP($AQ$3,Table_SKU[Mã SKU]:Table_SKU[Mô tả],2,0),"")</f>
        <v>#N/A</v>
      </c>
      <c r="AS3" s="137" t="e">
        <f ca="1">IF(NOT(ISBLANK($AA$4)),
VLOOKUP($AQ$3,Dashboard_SanPham_SKU[[SKU]:[Nhóm khách]],5,0),"")</f>
        <v>#N/A</v>
      </c>
      <c r="AT3" s="137" t="e">
        <f ca="1">IF(NOT(ISBLANK($AA$4)),
VLOOKUP($AQ$3,_xlfn.ANCHORARRAY(BN31):_xlfn.ANCHORARRAY(BT31),7,0),"")</f>
        <v>#N/A</v>
      </c>
      <c r="AU3" s="138" t="str">
        <f ca="1">IFERROR(TEXT(AT3,LOOKUP(AT3,Pivot!$B$6:$B$12,Pivot!$C$6:$C$12)),"")</f>
        <v/>
      </c>
      <c r="AV3" s="137" t="e">
        <f ca="1">_xlfn.RANK.EQ(AT3,_xlfn.ANCHORARRAY(BT31),0)</f>
        <v>#N/A</v>
      </c>
      <c r="AW3" s="139" t="e" cm="1">
        <f t="array" aca="1" ref="AW3" ca="1">AV3/(COUNT(_xlfn._xlws.FILTER(Dashboard_SanPham_SKU[Doanh thu],Dashboard_SanPham_SKU[Doanh thu]&gt;0)))</f>
        <v>#N/A</v>
      </c>
      <c r="AX3" s="137" t="e">
        <f ca="1">IF(NOT(ISBLANK($AA$4)),
VLOOKUP($AQ$3,Dashboard_SanPham_SKU[[SKU]:[Doanh thu / ngày]],3,0),"")</f>
        <v>#N/A</v>
      </c>
      <c r="AY3" s="138" t="str">
        <f ca="1">IFERROR(TEXT(AX3,LOOKUP(AX3,Pivot!$B$6:$B$12,Pivot!$C$6:$C$12)),"")</f>
        <v/>
      </c>
      <c r="AZ3" s="137" t="e">
        <f ca="1">_xlfn.RANK.EQ(AX3,Dashboard_SanPham_SKU[Doanh thu / ngày],0)</f>
        <v>#N/A</v>
      </c>
      <c r="BA3" s="139" t="e" cm="1">
        <f t="array" aca="1" ref="BA3" ca="1">AZ3/(COUNT(_xlfn._xlws.FILTER(Dashboard_SanPham_SKU[Doanh thu],Dashboard_SanPham_SKU[Doanh thu]&gt;0)))</f>
        <v>#N/A</v>
      </c>
      <c r="BB3" s="140" t="e">
        <f ca="1">IF(NOT(ISBLANK($AA$4)),
VLOOKUP($AQ$3,_xlfn.ANCHORARRAY(BN31):_xlfn.ANCHORARRAY($CA$31),14,0),"")</f>
        <v>#N/A</v>
      </c>
      <c r="BC3" s="137" t="e">
        <f ca="1">_xlfn.RANK.EQ(BB3,_xlfn.ANCHORARRAY(CA31),0)</f>
        <v>#N/A</v>
      </c>
      <c r="BD3" s="139" t="e">
        <f ca="1">BC3/(COUNT(Dashboard_SanPham_SKU[Doanh thu]))</f>
        <v>#N/A</v>
      </c>
      <c r="BE3" s="137" cm="1">
        <f t="array" ref="BE3">IFERROR(SUM(
_xlfn._xlws.FILTER(Table_Main[Số lượng],
(Table_Main[Mã SKU] = $AA$4)*
(Table_Main[Loại] = "Nhập")*
(Table_Main[Ngày xuất nhập] &lt;=Pivot!$S$3)
)),0)
-IFERROR(SUM(
_xlfn._xlws.FILTER(Table_Main[Số lượng],
(Table_Main[Mã SKU] = $AA$4)*
(Table_Main[Loại] = "Xuất")*
(Table_Main[Ngày xuất nhập] &lt;=Pivot!$S$3)
)),0)</f>
        <v>0</v>
      </c>
      <c r="BF3" s="140" t="e">
        <f ca="1">BE3/BB3</f>
        <v>#N/A</v>
      </c>
      <c r="BG3" s="137"/>
    </row>
    <row r="4" spans="2:71" ht="18" customHeight="1" x14ac:dyDescent="0.15">
      <c r="AA4" s="560" t="s">
        <v>63</v>
      </c>
      <c r="AB4" s="560"/>
      <c r="AC4" s="560"/>
      <c r="AJ4" s="135"/>
      <c r="AK4" s="135"/>
      <c r="AL4" s="135"/>
      <c r="AM4" s="135"/>
      <c r="AN4" s="135"/>
      <c r="AO4" s="135"/>
      <c r="AP4" s="137"/>
      <c r="AQ4" s="137"/>
      <c r="AR4" s="137"/>
      <c r="AS4" s="137"/>
      <c r="AT4" s="137"/>
      <c r="AU4" s="137"/>
      <c r="AV4" s="137"/>
      <c r="AW4" s="137"/>
      <c r="AX4" s="137"/>
      <c r="AY4" s="137"/>
      <c r="AZ4" s="137"/>
      <c r="BA4" s="137"/>
      <c r="BB4" s="137"/>
      <c r="BC4" s="137"/>
      <c r="BD4" s="137"/>
      <c r="BE4" s="137"/>
      <c r="BF4" s="137"/>
      <c r="BG4" s="137"/>
    </row>
    <row r="5" spans="2:71" ht="16.5" x14ac:dyDescent="0.3">
      <c r="B5" s="134"/>
      <c r="AJ5" s="135"/>
      <c r="AK5" s="135"/>
      <c r="AL5" s="135"/>
      <c r="AM5" s="135"/>
      <c r="AN5" s="135"/>
      <c r="AO5" s="135"/>
      <c r="AP5" s="137"/>
      <c r="AQ5" s="137"/>
      <c r="AR5" s="137">
        <f ca="1">_xlfn.MINIFS(Dashboard_SanPham_SKU[Doanh thu / ngày],Dashboard_SanPham_SKU[Doanh thu / ngày],"&gt;0")</f>
        <v>0</v>
      </c>
      <c r="AS5" s="137">
        <f ca="1">_xlfn.MINIFS(Dashboard_SanPham_SKU[Số ngày chưa mua],Dashboard_SanPham_SKU[Số ngày chưa mua],"&gt;0")</f>
        <v>0</v>
      </c>
      <c r="AT5" s="137" t="e">
        <f ca="1">AVERAGEIF(Dashboard_SanPham_SKU[Doanh thu / ngày],"&gt;0",Dashboard_SanPham_SKU[Doanh thu / ngày])</f>
        <v>#DIV/0!</v>
      </c>
      <c r="AU5" s="137" t="e">
        <f ca="1">AVERAGEIF(Dashboard_SanPham_SKU[Số ngày chưa mua],"&gt;0",Dashboard_SanPham_SKU[Số ngày chưa mua])</f>
        <v>#DIV/0!</v>
      </c>
      <c r="AV5" s="137"/>
      <c r="AW5" s="137"/>
      <c r="AX5" s="137"/>
      <c r="AY5" s="137"/>
      <c r="AZ5" s="137"/>
      <c r="BA5" s="137"/>
      <c r="BB5" s="137"/>
      <c r="BC5" s="137"/>
      <c r="BD5" s="137"/>
      <c r="BE5" s="137"/>
      <c r="BF5" s="137"/>
      <c r="BG5" s="137"/>
      <c r="BN5" s="137" t="s">
        <v>21</v>
      </c>
      <c r="BO5" s="137" t="s">
        <v>21</v>
      </c>
      <c r="BP5" s="137" t="s">
        <v>22</v>
      </c>
      <c r="BQ5" s="137" t="s">
        <v>71</v>
      </c>
      <c r="BR5" s="137" t="s">
        <v>22</v>
      </c>
    </row>
    <row r="6" spans="2:71" ht="16.5" x14ac:dyDescent="0.3">
      <c r="B6" s="134"/>
      <c r="AJ6" s="135"/>
      <c r="AK6" s="135"/>
      <c r="AL6" s="135"/>
      <c r="AM6" s="135"/>
      <c r="AN6" s="135"/>
      <c r="AO6" s="135"/>
      <c r="AP6" s="137"/>
      <c r="AQ6" s="137"/>
      <c r="AR6" s="137" t="e">
        <f ca="1">MAX(Dashboard_SanPham_SKU[Doanh thu / ngày])</f>
        <v>#N/A</v>
      </c>
      <c r="AS6" s="137" t="e">
        <f ca="1">MAX(Dashboard_SanPham_SKU[Số ngày chưa mua])</f>
        <v>#N/A</v>
      </c>
      <c r="AT6" s="137" t="e">
        <f ca="1">AVERAGEIF(Dashboard_SanPham_SKU[Doanh thu / ngày],"&gt;0",Dashboard_SanPham_SKU[Doanh thu / ngày])</f>
        <v>#DIV/0!</v>
      </c>
      <c r="AU6" s="137" t="e">
        <f ca="1">AVERAGEIF(Dashboard_SanPham_SKU[Số ngày chưa mua],"&gt;0",Dashboard_SanPham_SKU[Số ngày chưa mua])</f>
        <v>#DIV/0!</v>
      </c>
      <c r="AV6" s="137"/>
      <c r="AW6" s="137"/>
      <c r="AX6" s="137"/>
      <c r="AY6" s="137"/>
      <c r="AZ6" s="137"/>
      <c r="BA6" s="137"/>
      <c r="BB6" s="137"/>
      <c r="BC6" s="137"/>
      <c r="BD6" s="137"/>
      <c r="BE6" s="137"/>
      <c r="BF6" s="137"/>
      <c r="BG6" s="137"/>
      <c r="BN6" s="137" t="s">
        <v>30</v>
      </c>
      <c r="BO6" s="137" cm="1">
        <f t="array" ref="BO6">IFERROR(SUM(
_xlfn._xlws.FILTER(Table_Main[Số lượng],
(NOT(ISBLANK(Table_Main[Đơn bán])))*
(Table_Main[Ngày lên đơn] &gt;=Pivot!$S$2)*
(Table_Main[Ngày lên đơn] &lt;=Pivot!$S$3)
)),0)</f>
        <v>0</v>
      </c>
      <c r="BP6" s="138" t="str">
        <f>IFERROR(TEXT(BO6,LOOKUP(BO6,Pivot!$B$6:$B$12,Pivot!$C$6:$C$12)),"")</f>
        <v/>
      </c>
      <c r="BQ6" s="137" t="e" cm="1" vm="1">
        <f t="array" ref="BQ6">ABS(BO6-SUM(
_xlfn._xlws.FILTER(Table_Main[Số lượng],
(NOT(ISBLANK(Table_Main[Đơn bán])))*
(Table_Main[Ngày lên đơn] &gt;=DATE(YEAR(Pivot!$S$2)-1,MONTH(Pivot!$S$2),1))*
(Table_Main[Ngày lên đơn] &lt;= DATE(YEAR(Pivot!$S$3)-1,MONTH(Pivot!$S$3),1))
)))</f>
        <v>#VALUE!</v>
      </c>
      <c r="BR6" s="138" t="str">
        <f>IFERROR(TEXT(BQ6,LOOKUP(BQ6,Pivot!$B$6:$B$12,Pivot!$C$6:$C$12)),"")</f>
        <v/>
      </c>
      <c r="BS6" s="137" t="str" cm="1">
        <f t="array" ref="BS6">IFERROR(IF(BO6-SUM(
_xlfn._xlws.FILTER(Table_Main[Số lượng],
(NOT(ISBLANK(Table_Main[Đơn bán])))*
(Table_Main[Ngày lên đơn] &gt;=DATE(YEAR(Pivot!$S$2)-1,MONTH(Pivot!$S$2),1))*
(Table_Main[Ngày lên đơn] &lt;= DATE(YEAR(Pivot!$S$3)-1,MONTH(Pivot!$S$3),1))
)),"tăng","giảm"),"")</f>
        <v/>
      </c>
    </row>
    <row r="7" spans="2:71" ht="16.5" x14ac:dyDescent="0.3">
      <c r="B7" s="134"/>
      <c r="AR7" s="135" t="s">
        <v>47</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J7" s="135" t="s">
        <v>25</v>
      </c>
      <c r="BK7" s="135" t="s">
        <v>21</v>
      </c>
      <c r="BL7" s="135" t="s">
        <v>179</v>
      </c>
      <c r="BN7" s="137" t="s">
        <v>203</v>
      </c>
      <c r="BO7" s="204">
        <f>IFERROR(BO6/
(Pivot!$S$3-Pivot!$S$2+1),0)</f>
        <v>0</v>
      </c>
      <c r="BP7" s="138" t="str">
        <f>IFERROR(TEXT(BO7,LOOKUP(BO7,Pivot!$B$6:$B$12,Pivot!$C$6:$C$12)),"")</f>
        <v/>
      </c>
      <c r="BQ7" s="204">
        <f>IFERROR(BQ6/
(Pivot!$S$3-Pivot!$S$2+1),0)</f>
        <v>0</v>
      </c>
      <c r="BR7" s="138" t="str">
        <f>IFERROR(TEXT(BQ7,LOOKUP(BQ7,Pivot!$B$6:$B$12,Pivot!$C$6:$C$12)),"")</f>
        <v/>
      </c>
      <c r="BS7" s="137" t="str">
        <f>BS6</f>
        <v/>
      </c>
    </row>
    <row r="8" spans="2:71" ht="16.5" x14ac:dyDescent="0.3">
      <c r="B8" s="134"/>
      <c r="AQ8" s="131" t="str" cm="1">
        <f t="array" ref="AQ8:AQ10">Table_SKU[Mã SKU]</f>
        <v>TP2</v>
      </c>
      <c r="AR8" s="131" t="s">
        <v>52</v>
      </c>
      <c r="AS8" s="203" t="e">
        <f ca="1">VLOOKUP(Dashboard_SanPham_SKU[[#This Row],[SKU]],_xlfn.ANCHORARRAY($BN$31):_xlfn.ANCHORARRAY($BS$31),6,0)</f>
        <v>#N/A</v>
      </c>
      <c r="AT8" s="203" t="e">
        <f ca="1">VLOOKUP(Dashboard_SanPham_SKU[[#This Row],[SKU]],_xlfn.ANCHORARRAY($BN$31):_xlfn.ANCHORARRAY($BV$31),9,0)</f>
        <v>#N/A</v>
      </c>
      <c r="AU8" s="203" t="e">
        <f ca="1">VLOOKUP(Dashboard_SanPham_SKU[[#This Row],[SKU]],_xlfn.ANCHORARRAY($BN$31):_xlfn.ANCHORARRAY($BX$31),11,0)</f>
        <v>#N/A</v>
      </c>
      <c r="AV8" s="157" t="e" cm="1">
        <f t="array" aca="1" ref="AV8"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X8" s="133" cm="1">
        <f t="array" ref="AX8">_xlfn.UNIQUE(Table_SKU[Nhóm 1])</f>
        <v>0</v>
      </c>
      <c r="AY8" s="133" t="s">
        <v>29</v>
      </c>
      <c r="AZ8" s="158">
        <f ca="1">VLOOKUP(Dashboard_SanPham_Nhom[[#This Row],[Phân khúc]],_xlfn.ANCHORARRAY($CC$31):_xlfn.ANCHORARRAY($CD$31),2,0)</f>
        <v>554500000</v>
      </c>
      <c r="BA8" s="158">
        <f ca="1">VLOOKUP(Dashboard_SanPham_Nhom[[#This Row],[Phân khúc]],_xlfn.ANCHORARRAY($CC$31):_xlfn.ANCHORARRAY($CF$31),4,0)</f>
        <v>3046703.2967032967</v>
      </c>
      <c r="BB8" s="159">
        <f ca="1">VLOOKUP(Dashboard_SanPham_Nhom[[#This Row],[Phân khúc]],_xlfn.ANCHORARRAY($CC$31):_xlfn.ANCHORARRAY($CH$31),6,0)</f>
        <v>0</v>
      </c>
      <c r="BC8" s="157" t="str">
        <f ca="1">VLOOKUP(Dashboard_SanPham_Nhom[[#This Row],[Phân khúc]],_xlfn.ANCHORARRAY($CC$31):_xlfn.ANCHORARRAY($CI$31),7,0)</f>
        <v/>
      </c>
      <c r="BD8" s="133"/>
      <c r="BE8" s="133" cm="1">
        <f t="array" ref="BE8">_xlfn.UNIQUE(Table_KhachHang[Tỉnh])</f>
        <v>0</v>
      </c>
      <c r="BF8" s="133" t="s">
        <v>996</v>
      </c>
      <c r="BG8" s="203" t="e">
        <f ca="1">VLOOKUP(Dashboard_SanPham_TinhThanh[[#This Row],[Tỉnh]],_xlfn.ANCHORARRAY($CL$31):_xlfn.ANCHORARRAY($CM$31),2,0)</f>
        <v>#N/A</v>
      </c>
      <c r="BH8" s="147"/>
      <c r="BI8" s="147" cm="1">
        <f t="array" ref="BI8">_xlfn.UNIQUE(Table_KhachHang[Phân khúc])</f>
        <v>0</v>
      </c>
      <c r="BJ8" s="147" t="s">
        <v>1005</v>
      </c>
      <c r="BK8" s="203" cm="1">
        <f t="array" aca="1" ref="BK8"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217890000</v>
      </c>
      <c r="BL8" s="159">
        <f ca="1">Dashboard_SanPham_PhanKhuc[[#This Row],[Giá trị]]/SUM(Dashboard_SanPham_PhanKhuc[Giá trị])</f>
        <v>0.39294860234445445</v>
      </c>
      <c r="BN8" s="137" t="s">
        <v>33</v>
      </c>
      <c r="BO8" s="137" cm="1">
        <f t="array" ref="BO8">IFERROR(SUM(
_xlfn._xlws.FILTER(Table_Main[Giá trị bán trước VAT],
(NOT(ISBLANK(Table_Main[Đơn bán])))*
(Table_Main[Ngày lên đơn] &gt;=Pivot!$S$2)*
(Table_Main[Ngày lên đơn] &lt;=Pivot!$S$3)
)),0)</f>
        <v>0</v>
      </c>
      <c r="BP8" s="138" t="str">
        <f>IFERROR(TEXT(BO8,LOOKUP(BO8,Pivot!$B$6:$B$12,Pivot!$C$6:$C$12)),"")</f>
        <v/>
      </c>
      <c r="BQ8" s="137" t="e" cm="1" vm="1">
        <f t="array" ref="BQ8">ABS(BO8-SUM(
_xlfn._xlws.FILTER(Table_Main[Giá trị bán trước VAT],
(NOT(ISBLANK(Table_Main[Đơn bán])))*
(Table_Main[Ngày lên đơn] &gt;=DATE(YEAR(Pivot!$S$2)-1,MONTH(Pivot!$S$2),1))*
(Table_Main[Ngày lên đơn] &lt;= DATE(YEAR(Pivot!$S$3)-1,MONTH(Pivot!$S$3),1))
)))</f>
        <v>#VALUE!</v>
      </c>
      <c r="BR8" s="138" t="str">
        <f>IFERROR(TEXT(BQ8,LOOKUP(BQ8,Pivot!$B$6:$B$12,Pivot!$C$6:$C$12)),"")</f>
        <v/>
      </c>
      <c r="BS8" s="137" t="e" cm="1" vm="1">
        <f t="array" ref="BS8">IF(BO8-SUM(
_xlfn._xlws.FILTER(Table_Main[Giá trị bán trước VAT],
(NOT(ISBLANK(Table_Main[Đơn bán])))*
(Table_Main[Ngày lên đơn] &gt;=DATE(YEAR(Pivot!$S$2)-1,MONTH(Pivot!$S$2),1))*
(Table_Main[Ngày lên đơn] &lt;= DATE(YEAR(Pivot!$S$3)-1,MONTH(Pivot!$S$3),1))
))&gt;0,"tăng","giảm")</f>
        <v>#VALUE!</v>
      </c>
    </row>
    <row r="9" spans="2:71" ht="16.5" x14ac:dyDescent="0.3">
      <c r="B9" s="134"/>
      <c r="AQ9" s="131" t="str">
        <v>TP1</v>
      </c>
      <c r="AR9" s="131" t="s">
        <v>59</v>
      </c>
      <c r="AS9" s="203" t="e">
        <f ca="1">VLOOKUP(Dashboard_SanPham_SKU[[#This Row],[SKU]],_xlfn.ANCHORARRAY($BN$31):_xlfn.ANCHORARRAY($BS$31),6,0)</f>
        <v>#N/A</v>
      </c>
      <c r="AT9" s="203" t="e">
        <f ca="1">VLOOKUP(Dashboard_SanPham_SKU[[#This Row],[SKU]],_xlfn.ANCHORARRAY($BN$31):_xlfn.ANCHORARRAY($BV$31),9,0)</f>
        <v>#N/A</v>
      </c>
      <c r="AU9" s="203" t="e">
        <f ca="1">VLOOKUP(Dashboard_SanPham_SKU[[#This Row],[SKU]],_xlfn.ANCHORARRAY($BN$31):_xlfn.ANCHORARRAY($BX$31),11,0)</f>
        <v>#N/A</v>
      </c>
      <c r="AV9" s="157" t="e" cm="1">
        <f t="array" aca="1" ref="AV9"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9" s="131" t="s">
        <v>58</v>
      </c>
      <c r="AZ9" s="158">
        <f ca="1">VLOOKUP(Dashboard_SanPham_Nhom[[#This Row],[Phân khúc]],_xlfn.ANCHORARRAY($CC$31):_xlfn.ANCHORARRAY($CD$31),2,0)</f>
        <v>601365000</v>
      </c>
      <c r="BA9" s="158">
        <f ca="1">VLOOKUP(Dashboard_SanPham_Nhom[[#This Row],[Phân khúc]],_xlfn.ANCHORARRAY($CC$31):_xlfn.ANCHORARRAY($CF$31),4,0)</f>
        <v>3304203.2967032967</v>
      </c>
      <c r="BB9" s="443">
        <f ca="1">VLOOKUP(Dashboard_SanPham_Nhom[[#This Row],[Phân khúc]],_xlfn.ANCHORARRAY($CC$31):_xlfn.ANCHORARRAY($CH$31),6,0)</f>
        <v>0</v>
      </c>
      <c r="BC9" s="442" t="str">
        <f ca="1">VLOOKUP(Dashboard_SanPham_Nhom[[#This Row],[Phân khúc]],_xlfn.ANCHORARRAY($CC$31):_xlfn.ANCHORARRAY($CI$31),7,0)</f>
        <v/>
      </c>
      <c r="BD9" s="133"/>
      <c r="BE9" s="133"/>
      <c r="BF9" s="131" t="s">
        <v>997</v>
      </c>
      <c r="BG9" s="158" t="e">
        <f ca="1">VLOOKUP(Dashboard_SanPham_TinhThanh[[#This Row],[Tỉnh]],_xlfn.ANCHORARRAY($CL$31):_xlfn.ANCHORARRAY($CM$31),2,0)</f>
        <v>#N/A</v>
      </c>
      <c r="BH9" s="147"/>
      <c r="BI9" s="147"/>
      <c r="BJ9" s="147" t="s">
        <v>1006</v>
      </c>
      <c r="BK9" s="158" cm="1">
        <f t="array" aca="1" ref="BK9"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336610000</v>
      </c>
      <c r="BL9" s="158">
        <f ca="1">Dashboard_SanPham_PhanKhuc[[#This Row],[Giá trị]]/SUM(Dashboard_SanPham_PhanKhuc[Giá trị])</f>
        <v>0.6070513976555455</v>
      </c>
      <c r="BN9" s="137" t="s">
        <v>204</v>
      </c>
      <c r="BO9" s="204">
        <f>IFERROR(BO8/
(Pivot!$S$3-Pivot!$S$2+1),0)</f>
        <v>0</v>
      </c>
      <c r="BP9" s="138" t="str">
        <f>IFERROR(TEXT(BO9,LOOKUP(BO9,Pivot!$B$6:$B$12,Pivot!$C$6:$C$12)),"")</f>
        <v/>
      </c>
      <c r="BQ9" s="204">
        <f>IFERROR(BQ8/
(Pivot!$S$3-Pivot!$S$2+1),0)</f>
        <v>0</v>
      </c>
      <c r="BR9" s="138" t="str">
        <f>IFERROR(TEXT(BQ9,LOOKUP(BQ9,Pivot!$B$6:$B$12,Pivot!$C$6:$C$12)),"")</f>
        <v/>
      </c>
      <c r="BS9" s="137" t="e" vm="2">
        <f>BS8</f>
        <v>#VALUE!</v>
      </c>
    </row>
    <row r="10" spans="2:71" ht="16.5" x14ac:dyDescent="0.3">
      <c r="B10" s="134"/>
      <c r="AQ10" s="131" t="str">
        <v>HH1</v>
      </c>
      <c r="AR10" s="131" t="s">
        <v>63</v>
      </c>
      <c r="AS10" s="203" t="e">
        <f ca="1">VLOOKUP(Dashboard_SanPham_SKU[[#This Row],[SKU]],_xlfn.ANCHORARRAY($BN$31):_xlfn.ANCHORARRAY($BS$31),6,0)</f>
        <v>#N/A</v>
      </c>
      <c r="AT10" s="203" t="e">
        <f ca="1">VLOOKUP(Dashboard_SanPham_SKU[[#This Row],[SKU]],_xlfn.ANCHORARRAY($BN$31):_xlfn.ANCHORARRAY($BV$31),9,0)</f>
        <v>#N/A</v>
      </c>
      <c r="AU10" s="203" t="e">
        <f ca="1">VLOOKUP(Dashboard_SanPham_SKU[[#This Row],[SKU]],_xlfn.ANCHORARRAY($BN$31):_xlfn.ANCHORARRAY($BX$31),11,0)</f>
        <v>#N/A</v>
      </c>
      <c r="AV10" s="157" t="e" cm="1">
        <f t="array" aca="1" ref="AV10"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10" s="131" t="s">
        <v>62</v>
      </c>
      <c r="AZ10" s="158">
        <f ca="1">VLOOKUP(Dashboard_SanPham_Nhom[[#This Row],[Phân khúc]],_xlfn.ANCHORARRAY($CC$31):_xlfn.ANCHORARRAY($CD$31),2,0)</f>
        <v>806200000</v>
      </c>
      <c r="BA10" s="158">
        <f ca="1">VLOOKUP(Dashboard_SanPham_Nhom[[#This Row],[Phân khúc]],_xlfn.ANCHORARRAY($CC$31):_xlfn.ANCHORARRAY($CF$31),4,0)</f>
        <v>4429670.3296703296</v>
      </c>
      <c r="BB10" s="443">
        <f ca="1">VLOOKUP(Dashboard_SanPham_Nhom[[#This Row],[Phân khúc]],_xlfn.ANCHORARRAY($CC$31):_xlfn.ANCHORARRAY($CH$31),6,0)</f>
        <v>0</v>
      </c>
      <c r="BC10" s="442">
        <f ca="1">VLOOKUP(Dashboard_SanPham_Nhom[[#This Row],[Phân khúc]],_xlfn.ANCHORARRAY($CC$31):_xlfn.ANCHORARRAY($CI$31),7,0)</f>
        <v>4429670.3296703296</v>
      </c>
      <c r="BF10" s="131" t="s">
        <v>998</v>
      </c>
      <c r="BG10" s="158" t="e">
        <f ca="1">VLOOKUP(Dashboard_SanPham_TinhThanh[[#This Row],[Tỉnh]],_xlfn.ANCHORARRAY($CL$31):_xlfn.ANCHORARRAY($CM$31),2,0)</f>
        <v>#N/A</v>
      </c>
      <c r="BH10" s="147"/>
      <c r="BI10" s="147"/>
      <c r="BN10" s="137" t="s">
        <v>17</v>
      </c>
      <c r="BO10" s="137" cm="1">
        <f t="array" ref="BO10">IFERROR(SUM(
_xlfn._xlws.FILTER(Table_Main[Số lượng],
(NOT(ISBLANK(Table_Main[Mã SKU])))*
(Table_Main[Loại] = "Nhập")*
(Table_Main[Ngày xuất nhập] &lt;=Pivot!$S$3)
)),0)
-IFERROR(SUM(
_xlfn._xlws.FILTER(Table_Main[Số lượng],
(NOT(ISBLANK(Table_Main[Mã SKU])))*
(Table_Main[Loại] = "Xuất")*
(Table_Main[Ngày xuất nhập] &lt;=Pivot!$S$3)
)),0)</f>
        <v>0</v>
      </c>
      <c r="BP10" s="138" t="str">
        <f>IFERROR(TEXT(BO10,LOOKUP(BO10,Pivot!$B$6:$B$12,Pivot!$C$6:$C$12)),"")</f>
        <v/>
      </c>
      <c r="BQ10" s="141" t="e">
        <f>BO10/BO7</f>
        <v>#DIV/0!</v>
      </c>
      <c r="BR10" s="138" t="str">
        <f>IFERROR(TEXT(BQ10,LOOKUP(BQ10,Pivot!$B$6:$B$12,Pivot!$C$6:$C$12)),"")</f>
        <v/>
      </c>
    </row>
    <row r="11" spans="2:71" ht="16.5" x14ac:dyDescent="0.3">
      <c r="B11" s="134"/>
      <c r="AS11" s="205"/>
      <c r="AT11" s="205"/>
      <c r="AU11" s="205"/>
      <c r="AV11" s="205"/>
      <c r="BF11" s="131" t="s">
        <v>999</v>
      </c>
      <c r="BG11" s="158" t="e">
        <f ca="1">VLOOKUP(Dashboard_SanPham_TinhThanh[[#This Row],[Tỉnh]],_xlfn.ANCHORARRAY($CL$31):_xlfn.ANCHORARRAY($CM$31),2,0)</f>
        <v>#N/A</v>
      </c>
      <c r="BN11" s="142" t="s">
        <v>125</v>
      </c>
      <c r="BO11" s="138"/>
      <c r="BP11" s="138"/>
      <c r="BQ11" s="138"/>
      <c r="BR11" s="138"/>
    </row>
    <row r="12" spans="2:71" ht="16.5" x14ac:dyDescent="0.3">
      <c r="B12" s="134"/>
      <c r="AS12" s="205"/>
      <c r="AT12" s="205"/>
      <c r="AU12" s="205"/>
      <c r="AV12" s="205"/>
      <c r="BF12" s="131" t="s">
        <v>1000</v>
      </c>
      <c r="BG12" s="158" t="e">
        <f ca="1">VLOOKUP(Dashboard_SanPham_TinhThanh[[#This Row],[Tỉnh]],_xlfn.ANCHORARRAY($CL$31):_xlfn.ANCHORARRAY($CM$31),2,0)</f>
        <v>#N/A</v>
      </c>
      <c r="BN12" s="138"/>
      <c r="BO12" s="138"/>
      <c r="BP12" s="138"/>
      <c r="BQ12" s="138" cm="1">
        <f t="array" ref="BQ12">IFERROR(
_xlfn.IFS(
($BN$13)=1,
IFERROR(ROWS(
_xlfn.UNIQUE(_xlfn._xlws.FILTER(Table_DonBan[Mã Khách],
(Table_DonBan[Ngày lập] &gt;=DATE(YEAR(Pivot!$S$2)-1,MONTH(Pivot!$S$2),DAY(Pivot!$S$2)))*
(Table_DonBan[Ngày lập] &lt;=DATE(YEAR(Pivot!$S$3)-1,MONTH(Pivot!$S$3),DAY(Pivot!$S$3)))
))),0),
($BN$13)=2,
IFERROR(
SUM(_xlfn._xlws.FILTER(Table_DonBan[Tiền hàng]-Table_DonBan[Giá trị CK],
(Table_DonBan[Ngày lập] &gt;=DATE(YEAR(Pivot!$S$2)-1,MONTH(Pivot!$S$2),DAY(Pivot!$S$2)))*
(Table_DonBan[Ngày lập] &lt;=DATE(YEAR(Pivot!$S$3)-1,MONTH(Pivot!$S$3),DAY(Pivot!$S$3)))
)),0),
($BN$13)=3,
IFERROR(
ROWS(_xlfn._xlws.FILTER(Table_DonBan[Mã Đơn bán],
(Table_DonBan[Ngày lập] &gt;=DATE(YEAR(Pivot!$S$2)-1,MONTH(Pivot!$S$2),DAY(Pivot!$S$2)))*
(Table_DonBan[Ngày lập] &lt;=DATE(YEAR(Pivot!$S$3)-1,MONTH(Pivot!$S$3),DAY(Pivot!$S$3)))
)),0)
),0)</f>
        <v>0</v>
      </c>
      <c r="BR12" s="138"/>
      <c r="BS12" s="137" t="str" cm="1">
        <f t="array" ref="BS12">_xlfn.IFS(
($BN$13)=1, "Số khách trong kỳ",
($BN$13)=2, "Doanh thu trong kỳ",
($BN$13)=3, "Đơn hàng trong kỳ")</f>
        <v>Doanh thu trong kỳ</v>
      </c>
    </row>
    <row r="13" spans="2:71" ht="16.5" x14ac:dyDescent="0.3">
      <c r="B13" s="134"/>
      <c r="BF13" s="131" t="s">
        <v>1001</v>
      </c>
      <c r="BG13" s="158" t="e">
        <f ca="1">VLOOKUP(Dashboard_SanPham_TinhThanh[[#This Row],[Tỉnh]],_xlfn.ANCHORARRAY($CL$31):_xlfn.ANCHORARRAY($CM$31),2,0)</f>
        <v>#N/A</v>
      </c>
      <c r="BN13" s="138">
        <v>2</v>
      </c>
      <c r="BO13" s="166" cm="1">
        <f t="array" ref="BO13">IFERROR(
_xlfn.IFS(
($BN$13)=1,
IFERROR(ROWS(
_xlfn.UNIQUE(_xlfn._xlws.FILTER(Table_DonBan[Mã Khách],
(Table_DonBan[Ngày lập] &gt;=Pivot!$S$2)*
(Table_DonBan[Ngày lập] &lt;=Pivot!$S$3)
))),0),
($BN$13)=2,
IFERROR(
SUM(_xlfn._xlws.FILTER(Table_DonBan[Tiền hàng]-Table_DonBan[Giá trị CK],
(Table_DonBan[Ngày lập] &gt;=Pivot!$S$2)*
(Table_DonBan[Ngày lập] &lt;=Pivot!$S$3)
)),0),
($BN$13)=3,
IFERROR(
ROWS(_xlfn._xlws.FILTER(Table_DonBan[Mã Đơn bán],
(Table_DonBan[Ngày lập] &gt;=Pivot!$S$2)*
(Table_DonBan[Ngày lập] &lt;=Pivot!$S$3)
)),0)
),0)</f>
        <v>0</v>
      </c>
      <c r="BP13" s="144"/>
      <c r="BQ13" s="166" cm="1">
        <f t="array" ref="BQ13">IFERROR(
_xlfn.IFS(
($BN$13)=1,
IFERROR(ROWS(
_xlfn.UNIQUE(_xlfn._xlws.FILTER(Table_DonBan[Mã Khách],
(Table_DonBan[STT đơn của khách]=1)*
(Table_DonBan[Ngày lập] &gt;=Pivot!$S$2)*
(Table_DonBan[Ngày lập] &lt;=Pivot!$S$3)
))),0),
($BN$13)=2,
IFERROR(
SUM(_xlfn._xlws.FILTER(Table_DonBan[Tiền hàng]-Table_DonBan[Giá trị CK],
(Table_DonBan[STT đơn của khách]=1)*
(Table_DonBan[Ngày lập] &gt;=Pivot!$S$2)*
(Table_DonBan[Ngày lập] &lt;=Pivot!$S$3)
)),0),
($BN$13)=3,
IFERROR(
ROWS(_xlfn._xlws.FILTER(Table_DonBan[Mã Đơn bán],
(Table_DonBan[STT đơn của khách]=1)*
(Table_DonBan[Ngày lập] &gt;=Pivot!$S$2)*
(Table_DonBan[Ngày lập] &lt;=Pivot!$S$3)
)),0)
),0)</f>
        <v>0</v>
      </c>
      <c r="BR13" s="138"/>
      <c r="BS13" s="139"/>
    </row>
    <row r="14" spans="2:71" ht="16.5" x14ac:dyDescent="0.3">
      <c r="B14" s="134"/>
      <c r="BF14" s="131" t="s">
        <v>1002</v>
      </c>
      <c r="BG14" s="158" t="e">
        <f ca="1">VLOOKUP(Dashboard_SanPham_TinhThanh[[#This Row],[Tỉnh]],_xlfn.ANCHORARRAY($CL$31):_xlfn.ANCHORARRAY($CM$31),2,0)</f>
        <v>#N/A</v>
      </c>
      <c r="BN14" s="138" t="s">
        <v>1</v>
      </c>
      <c r="BO14" s="138" t="s">
        <v>66</v>
      </c>
      <c r="BP14" s="138" t="s">
        <v>22</v>
      </c>
      <c r="BQ14" s="138" t="s">
        <v>205</v>
      </c>
      <c r="BR14" s="138" t="s">
        <v>22</v>
      </c>
    </row>
    <row r="15" spans="2:71" ht="16.5" x14ac:dyDescent="0.3">
      <c r="B15" s="134"/>
      <c r="BN15" s="138">
        <v>1</v>
      </c>
      <c r="BO15" s="138" cm="1">
        <f t="array" aca="1" ref="BO15" ca="1">IFERROR(
_xlfn.IFS(
($BN$13)=1,
IFERROR(SUM(
_xlfn._xlws.FILTER(Pivot_SanPham_SoLuong,
(Pivot_SanPham_Loai = "Xuất")*
(MONTH(Pivot_SanPham_Ngay)=BN15)
)),0)
-IFERROR(SUM(
_xlfn._xlws.FILTER(Pivot_SanPham_SoLuong,
(Pivot_SanPham_Loai = "Nhập")*
(MONTH(Pivot_SanPham_Ngay)=BN15)
)),0),
($BN$13)=2,
IFERROR(SUM(
_xlfn._xlws.FILTER(Pivot_SanPham_DoanhThu,
(MONTH(Pivot_SanPham_Ngay)=BN15)
)),0),
($BN$13)=3,
IFERROR(ROWS(
_xlfn.UNIQUE(_xlfn._xlws.FILTER(Pivot_SanPham_MaDon,
(NOT(ISBLANK(Pivot_SanPham_MaDon)))*
(Pivot_SanPham_Loai = "Xuất")*
(MONTH(Pivot_SanPham_Ngay)=BN15)
))),0)
),0)</f>
        <v>330700000</v>
      </c>
      <c r="BP15" s="138" t="str">
        <f ca="1">IFERROR(TEXT(BO15,LOOKUP(BO15,Pivot!$B$6:$B$12,Pivot!$C$6:$C$12)),"")</f>
        <v>330.7tr</v>
      </c>
      <c r="BQ15" s="138">
        <f ca="1">IFERROR(BO15/
(Pivot!$S$3-Pivot!$S$2+1),0)</f>
        <v>1817032.9670329671</v>
      </c>
      <c r="BR15" s="138" t="str">
        <f ca="1">IFERROR(TEXT(BQ15,LOOKUP(BQ15,Pivot!$B$6:$B$12,Pivot!$C$6:$C$12)),"")</f>
        <v>1.8tr</v>
      </c>
      <c r="BS15" s="204"/>
    </row>
    <row r="16" spans="2:71" ht="16.5" x14ac:dyDescent="0.3">
      <c r="B16" s="134"/>
      <c r="BN16" s="138">
        <v>2</v>
      </c>
      <c r="BO16" s="138" cm="1">
        <f t="array" aca="1" ref="BO16" ca="1">IFERROR(
_xlfn.IFS(
($BN$13)=1,
IFERROR(SUM(
_xlfn._xlws.FILTER(Pivot_SanPham_SoLuong,
(Pivot_SanPham_Loai = "Xuất")*
(MONTH(Pivot_SanPham_Ngay)=BN16)
)),0)
-IFERROR(SUM(
_xlfn._xlws.FILTER(Pivot_SanPham_SoLuong,
(Pivot_SanPham_Loai = "Nhập")*
(MONTH(Pivot_SanPham_Ngay)=BN16)
)),0),
($BN$13)=2,
IFERROR(SUM(
_xlfn._xlws.FILTER(Pivot_SanPham_DoanhThu,
(MONTH(Pivot_SanPham_Ngay)=BN16)
)),0),
($BN$13)=3,
IFERROR(ROWS(
_xlfn.UNIQUE(_xlfn._xlws.FILTER(Pivot_SanPham_MaDon,
(NOT(ISBLANK(Pivot_SanPham_MaDon)))*
(Pivot_SanPham_Loai = "Xuất")*
(MONTH(Pivot_SanPham_Ngay)=BN16)
))),0)
),0)</f>
        <v>343900000</v>
      </c>
      <c r="BP16" s="138" t="str">
        <f ca="1">IFERROR(TEXT(BO16,LOOKUP(BO16,Pivot!$B$6:$B$12,Pivot!$C$6:$C$12)),"")</f>
        <v>343.9tr</v>
      </c>
      <c r="BQ16" s="138">
        <f ca="1">IFERROR(BO16/
(Pivot!$S$3-Pivot!$S$2+1),0)</f>
        <v>1889560.4395604397</v>
      </c>
      <c r="BR16" s="138" t="str">
        <f ca="1">IFERROR(TEXT(BQ16,LOOKUP(BQ16,Pivot!$B$6:$B$12,Pivot!$C$6:$C$12)),"")</f>
        <v>1.9tr</v>
      </c>
      <c r="BS16" s="204"/>
    </row>
    <row r="17" spans="2:92" ht="16.5" x14ac:dyDescent="0.3">
      <c r="B17" s="134"/>
      <c r="BN17" s="138">
        <v>3</v>
      </c>
      <c r="BO17" s="138" cm="1">
        <f t="array" aca="1" ref="BO17" ca="1">IFERROR(
_xlfn.IFS(
($BN$13)=1,
IFERROR(SUM(
_xlfn._xlws.FILTER(Pivot_SanPham_SoLuong,
(Pivot_SanPham_Loai = "Xuất")*
(MONTH(Pivot_SanPham_Ngay)=BN17)
)),0)
-IFERROR(SUM(
_xlfn._xlws.FILTER(Pivot_SanPham_SoLuong,
(Pivot_SanPham_Loai = "Nhập")*
(MONTH(Pivot_SanPham_Ngay)=BN17)
)),0),
($BN$13)=2,
IFERROR(SUM(
_xlfn._xlws.FILTER(Pivot_SanPham_DoanhThu,
(MONTH(Pivot_SanPham_Ngay)=BN17)
)),0),
($BN$13)=3,
IFERROR(ROWS(
_xlfn.UNIQUE(_xlfn._xlws.FILTER(Pivot_SanPham_MaDon,
(NOT(ISBLANK(Pivot_SanPham_MaDon)))*
(Pivot_SanPham_Loai = "Xuất")*
(MONTH(Pivot_SanPham_Ngay)=BN17)
))),0)
),0)</f>
        <v>338900000</v>
      </c>
      <c r="BP17" s="138" t="str">
        <f ca="1">IFERROR(TEXT(BO17,LOOKUP(BO17,Pivot!$B$6:$B$12,Pivot!$C$6:$C$12)),"")</f>
        <v>338.9tr</v>
      </c>
      <c r="BQ17" s="138">
        <f ca="1">IFERROR(BO17/
(Pivot!$S$3-Pivot!$S$2+1),0)</f>
        <v>1862087.912087912</v>
      </c>
      <c r="BR17" s="138" t="str">
        <f ca="1">IFERROR(TEXT(BQ17,LOOKUP(BQ17,Pivot!$B$6:$B$12,Pivot!$C$6:$C$12)),"")</f>
        <v>1.9tr</v>
      </c>
      <c r="BS17" s="204"/>
    </row>
    <row r="18" spans="2:92" ht="16.5" x14ac:dyDescent="0.3">
      <c r="B18" s="134"/>
      <c r="BN18" s="138">
        <v>4</v>
      </c>
      <c r="BO18" s="138" cm="1">
        <f t="array" aca="1" ref="BO18" ca="1">IFERROR(
_xlfn.IFS(
($BN$13)=1,
IFERROR(SUM(
_xlfn._xlws.FILTER(Pivot_SanPham_SoLuong,
(Pivot_SanPham_Loai = "Xuất")*
(MONTH(Pivot_SanPham_Ngay)=BN18)
)),0)
-IFERROR(SUM(
_xlfn._xlws.FILTER(Pivot_SanPham_SoLuong,
(Pivot_SanPham_Loai = "Nhập")*
(MONTH(Pivot_SanPham_Ngay)=BN18)
)),0),
($BN$13)=2,
IFERROR(SUM(
_xlfn._xlws.FILTER(Pivot_SanPham_DoanhThu,
(MONTH(Pivot_SanPham_Ngay)=BN18)
)),0),
($BN$13)=3,
IFERROR(ROWS(
_xlfn.UNIQUE(_xlfn._xlws.FILTER(Pivot_SanPham_MaDon,
(NOT(ISBLANK(Pivot_SanPham_MaDon)))*
(Pivot_SanPham_Loai = "Xuất")*
(MONTH(Pivot_SanPham_Ngay)=BN18)
))),0)
),0)</f>
        <v>355100000</v>
      </c>
      <c r="BP18" s="138" t="str">
        <f ca="1">IFERROR(TEXT(BO18,LOOKUP(BO18,Pivot!$B$6:$B$12,Pivot!$C$6:$C$12)),"")</f>
        <v>355.1tr</v>
      </c>
      <c r="BQ18" s="138">
        <f ca="1">IFERROR(BO18/
(Pivot!$S$3-Pivot!$S$2+1),0)</f>
        <v>1951098.9010989012</v>
      </c>
      <c r="BR18" s="138" t="str">
        <f ca="1">IFERROR(TEXT(BQ18,LOOKUP(BQ18,Pivot!$B$6:$B$12,Pivot!$C$6:$C$12)),"")</f>
        <v>2.0tr</v>
      </c>
      <c r="BS18" s="204"/>
    </row>
    <row r="19" spans="2:92" ht="16.5" x14ac:dyDescent="0.3">
      <c r="B19" s="134"/>
      <c r="BN19" s="138">
        <v>5</v>
      </c>
      <c r="BO19" s="138" cm="1">
        <f t="array" aca="1" ref="BO19" ca="1">IFERROR(
_xlfn.IFS(
($BN$13)=1,
IFERROR(SUM(
_xlfn._xlws.FILTER(Pivot_SanPham_SoLuong,
(Pivot_SanPham_Loai = "Xuất")*
(MONTH(Pivot_SanPham_Ngay)=BN19)
)),0)
-IFERROR(SUM(
_xlfn._xlws.FILTER(Pivot_SanPham_SoLuong,
(Pivot_SanPham_Loai = "Nhập")*
(MONTH(Pivot_SanPham_Ngay)=BN19)
)),0),
($BN$13)=2,
IFERROR(SUM(
_xlfn._xlws.FILTER(Pivot_SanPham_DoanhThu,
(MONTH(Pivot_SanPham_Ngay)=BN19)
)),0),
($BN$13)=3,
IFERROR(ROWS(
_xlfn.UNIQUE(_xlfn._xlws.FILTER(Pivot_SanPham_MaDon,
(NOT(ISBLANK(Pivot_SanPham_MaDon)))*
(Pivot_SanPham_Loai = "Xuất")*
(MONTH(Pivot_SanPham_Ngay)=BN19)
))),0)
),0)</f>
        <v>0</v>
      </c>
      <c r="BP19" s="138" t="str">
        <f ca="1">IFERROR(TEXT(BO19,LOOKUP(BO19,Pivot!$B$6:$B$12,Pivot!$C$6:$C$12)),"")</f>
        <v/>
      </c>
      <c r="BQ19" s="138">
        <f ca="1">IFERROR(BO19/
(Pivot!$S$3-Pivot!$S$2+1),0)</f>
        <v>0</v>
      </c>
      <c r="BR19" s="138" t="str">
        <f ca="1">IFERROR(TEXT(BQ19,LOOKUP(BQ19,Pivot!$B$6:$B$12,Pivot!$C$6:$C$12)),"")</f>
        <v/>
      </c>
      <c r="BS19" s="204"/>
    </row>
    <row r="20" spans="2:92" ht="16.5" x14ac:dyDescent="0.3">
      <c r="B20" s="134"/>
      <c r="BN20" s="138">
        <v>6</v>
      </c>
      <c r="BO20" s="138" cm="1">
        <f t="array" aca="1" ref="BO20" ca="1">IFERROR(
_xlfn.IFS(
($BN$13)=1,
IFERROR(SUM(
_xlfn._xlws.FILTER(Pivot_SanPham_SoLuong,
(Pivot_SanPham_Loai = "Xuất")*
(MONTH(Pivot_SanPham_Ngay)=BN20)
)),0)
-IFERROR(SUM(
_xlfn._xlws.FILTER(Pivot_SanPham_SoLuong,
(Pivot_SanPham_Loai = "Nhập")*
(MONTH(Pivot_SanPham_Ngay)=BN20)
)),0),
($BN$13)=2,
IFERROR(SUM(
_xlfn._xlws.FILTER(Pivot_SanPham_DoanhThu,
(MONTH(Pivot_SanPham_Ngay)=BN20)
)),0),
($BN$13)=3,
IFERROR(ROWS(
_xlfn.UNIQUE(_xlfn._xlws.FILTER(Pivot_SanPham_MaDon,
(NOT(ISBLANK(Pivot_SanPham_MaDon)))*
(Pivot_SanPham_Loai = "Xuất")*
(MONTH(Pivot_SanPham_Ngay)=BN20)
))),0)
),0)</f>
        <v>0</v>
      </c>
      <c r="BP20" s="138" t="str">
        <f ca="1">IFERROR(TEXT(BO20,LOOKUP(BO20,Pivot!$B$6:$B$12,Pivot!$C$6:$C$12)),"")</f>
        <v/>
      </c>
      <c r="BQ20" s="138">
        <f ca="1">IFERROR(BO20/
(Pivot!$S$3-Pivot!$S$2+1),0)</f>
        <v>0</v>
      </c>
      <c r="BR20" s="138" t="str">
        <f ca="1">IFERROR(TEXT(BQ20,LOOKUP(BQ20,Pivot!$B$6:$B$12,Pivot!$C$6:$C$12)),"")</f>
        <v/>
      </c>
      <c r="BS20" s="204"/>
    </row>
    <row r="21" spans="2:92" ht="16.5" x14ac:dyDescent="0.3">
      <c r="B21" s="134"/>
      <c r="BN21" s="138">
        <v>7</v>
      </c>
      <c r="BO21" s="138" cm="1">
        <f t="array" aca="1" ref="BO21" ca="1">IFERROR(
_xlfn.IFS(
($BN$13)=1,
IFERROR(SUM(
_xlfn._xlws.FILTER(Pivot_SanPham_SoLuong,
(Pivot_SanPham_Loai = "Xuất")*
(MONTH(Pivot_SanPham_Ngay)=BN21)
)),0)
-IFERROR(SUM(
_xlfn._xlws.FILTER(Pivot_SanPham_SoLuong,
(Pivot_SanPham_Loai = "Nhập")*
(MONTH(Pivot_SanPham_Ngay)=BN21)
)),0),
($BN$13)=2,
IFERROR(SUM(
_xlfn._xlws.FILTER(Pivot_SanPham_DoanhThu,
(MONTH(Pivot_SanPham_Ngay)=BN21)
)),0),
($BN$13)=3,
IFERROR(ROWS(
_xlfn.UNIQUE(_xlfn._xlws.FILTER(Pivot_SanPham_MaDon,
(NOT(ISBLANK(Pivot_SanPham_MaDon)))*
(Pivot_SanPham_Loai = "Xuất")*
(MONTH(Pivot_SanPham_Ngay)=BN21)
))),0)
),0)</f>
        <v>0</v>
      </c>
      <c r="BP21" s="138" t="str">
        <f ca="1">IFERROR(TEXT(BO21,LOOKUP(BO21,Pivot!$B$6:$B$12,Pivot!$C$6:$C$12)),"")</f>
        <v/>
      </c>
      <c r="BQ21" s="138">
        <f ca="1">IFERROR(BO21/
(Pivot!$S$3-Pivot!$S$2+1),0)</f>
        <v>0</v>
      </c>
      <c r="BR21" s="138" t="str">
        <f ca="1">IFERROR(TEXT(BQ21,LOOKUP(BQ21,Pivot!$B$6:$B$12,Pivot!$C$6:$C$12)),"")</f>
        <v/>
      </c>
      <c r="BS21" s="204"/>
    </row>
    <row r="22" spans="2:92" ht="16.5" x14ac:dyDescent="0.3">
      <c r="B22" s="134"/>
      <c r="BN22" s="138">
        <v>8</v>
      </c>
      <c r="BO22" s="138" cm="1">
        <f t="array" aca="1" ref="BO22" ca="1">IFERROR(
_xlfn.IFS(
($BN$13)=1,
IFERROR(SUM(
_xlfn._xlws.FILTER(Pivot_SanPham_SoLuong,
(Pivot_SanPham_Loai = "Xuất")*
(MONTH(Pivot_SanPham_Ngay)=BN22)
)),0)
-IFERROR(SUM(
_xlfn._xlws.FILTER(Pivot_SanPham_SoLuong,
(Pivot_SanPham_Loai = "Nhập")*
(MONTH(Pivot_SanPham_Ngay)=BN22)
)),0),
($BN$13)=2,
IFERROR(SUM(
_xlfn._xlws.FILTER(Pivot_SanPham_DoanhThu,
(MONTH(Pivot_SanPham_Ngay)=BN22)
)),0),
($BN$13)=3,
IFERROR(ROWS(
_xlfn.UNIQUE(_xlfn._xlws.FILTER(Pivot_SanPham_MaDon,
(NOT(ISBLANK(Pivot_SanPham_MaDon)))*
(Pivot_SanPham_Loai = "Xuất")*
(MONTH(Pivot_SanPham_Ngay)=BN22)
))),0)
),0)</f>
        <v>0</v>
      </c>
      <c r="BP22" s="138" t="str">
        <f ca="1">IFERROR(TEXT(BO22,LOOKUP(BO22,Pivot!$B$6:$B$12,Pivot!$C$6:$C$12)),"")</f>
        <v/>
      </c>
      <c r="BQ22" s="138">
        <f ca="1">IFERROR(BO22/
(Pivot!$S$3-Pivot!$S$2+1),0)</f>
        <v>0</v>
      </c>
      <c r="BR22" s="138" t="str">
        <f ca="1">IFERROR(TEXT(BQ22,LOOKUP(BQ22,Pivot!$B$6:$B$12,Pivot!$C$6:$C$12)),"")</f>
        <v/>
      </c>
      <c r="BS22" s="204"/>
    </row>
    <row r="23" spans="2:92" ht="16.5" x14ac:dyDescent="0.3">
      <c r="B23" s="134"/>
      <c r="BN23" s="138">
        <v>9</v>
      </c>
      <c r="BO23" s="138" cm="1">
        <f t="array" aca="1" ref="BO23" ca="1">IFERROR(
_xlfn.IFS(
($BN$13)=1,
IFERROR(SUM(
_xlfn._xlws.FILTER(Pivot_SanPham_SoLuong,
(Pivot_SanPham_Loai = "Xuất")*
(MONTH(Pivot_SanPham_Ngay)=BN23)
)),0)
-IFERROR(SUM(
_xlfn._xlws.FILTER(Pivot_SanPham_SoLuong,
(Pivot_SanPham_Loai = "Nhập")*
(MONTH(Pivot_SanPham_Ngay)=BN23)
)),0),
($BN$13)=2,
IFERROR(SUM(
_xlfn._xlws.FILTER(Pivot_SanPham_DoanhThu,
(MONTH(Pivot_SanPham_Ngay)=BN23)
)),0),
($BN$13)=3,
IFERROR(ROWS(
_xlfn.UNIQUE(_xlfn._xlws.FILTER(Pivot_SanPham_MaDon,
(NOT(ISBLANK(Pivot_SanPham_MaDon)))*
(Pivot_SanPham_Loai = "Xuất")*
(MONTH(Pivot_SanPham_Ngay)=BN23)
))),0)
),0)</f>
        <v>0</v>
      </c>
      <c r="BP23" s="138" t="str">
        <f ca="1">IFERROR(TEXT(BO23,LOOKUP(BO23,Pivot!$B$6:$B$12,Pivot!$C$6:$C$12)),"")</f>
        <v/>
      </c>
      <c r="BQ23" s="138">
        <f ca="1">IFERROR(BO23/
(Pivot!$S$3-Pivot!$S$2+1),0)</f>
        <v>0</v>
      </c>
      <c r="BR23" s="138" t="str">
        <f ca="1">IFERROR(TEXT(BQ23,LOOKUP(BQ23,Pivot!$B$6:$B$12,Pivot!$C$6:$C$12)),"")</f>
        <v/>
      </c>
      <c r="BS23" s="204"/>
    </row>
    <row r="24" spans="2:92" ht="16.5" x14ac:dyDescent="0.3">
      <c r="B24" s="134"/>
      <c r="BN24" s="138">
        <v>10</v>
      </c>
      <c r="BO24" s="138" cm="1">
        <f t="array" aca="1" ref="BO24" ca="1">IFERROR(
_xlfn.IFS(
($BN$13)=1,
IFERROR(SUM(
_xlfn._xlws.FILTER(Pivot_SanPham_SoLuong,
(Pivot_SanPham_Loai = "Xuất")*
(MONTH(Pivot_SanPham_Ngay)=BN24)
)),0)
-IFERROR(SUM(
_xlfn._xlws.FILTER(Pivot_SanPham_SoLuong,
(Pivot_SanPham_Loai = "Nhập")*
(MONTH(Pivot_SanPham_Ngay)=BN24)
)),0),
($BN$13)=2,
IFERROR(SUM(
_xlfn._xlws.FILTER(Pivot_SanPham_DoanhThu,
(MONTH(Pivot_SanPham_Ngay)=BN24)
)),0),
($BN$13)=3,
IFERROR(ROWS(
_xlfn.UNIQUE(_xlfn._xlws.FILTER(Pivot_SanPham_MaDon,
(NOT(ISBLANK(Pivot_SanPham_MaDon)))*
(Pivot_SanPham_Loai = "Xuất")*
(MONTH(Pivot_SanPham_Ngay)=BN24)
))),0)
),0)</f>
        <v>0</v>
      </c>
      <c r="BP24" s="138" t="str">
        <f ca="1">IFERROR(TEXT(BO24,LOOKUP(BO24,Pivot!$B$6:$B$12,Pivot!$C$6:$C$12)),"")</f>
        <v/>
      </c>
      <c r="BQ24" s="138">
        <f ca="1">IFERROR(BO24/
(Pivot!$S$3-Pivot!$S$2+1),0)</f>
        <v>0</v>
      </c>
      <c r="BR24" s="138" t="str">
        <f ca="1">IFERROR(TEXT(BQ24,LOOKUP(BQ24,Pivot!$B$6:$B$12,Pivot!$C$6:$C$12)),"")</f>
        <v/>
      </c>
      <c r="BS24" s="204"/>
    </row>
    <row r="25" spans="2:92" ht="16.5" x14ac:dyDescent="0.3">
      <c r="B25" s="134"/>
      <c r="BN25" s="138">
        <v>11</v>
      </c>
      <c r="BO25" s="138" cm="1">
        <f t="array" aca="1" ref="BO25" ca="1">IFERROR(
_xlfn.IFS(
($BN$13)=1,
IFERROR(SUM(
_xlfn._xlws.FILTER(Pivot_SanPham_SoLuong,
(Pivot_SanPham_Loai = "Xuất")*
(MONTH(Pivot_SanPham_Ngay)=BN25)
)),0)
-IFERROR(SUM(
_xlfn._xlws.FILTER(Pivot_SanPham_SoLuong,
(Pivot_SanPham_Loai = "Nhập")*
(MONTH(Pivot_SanPham_Ngay)=BN25)
)),0),
($BN$13)=2,
IFERROR(SUM(
_xlfn._xlws.FILTER(Pivot_SanPham_DoanhThu,
(MONTH(Pivot_SanPham_Ngay)=BN25)
)),0),
($BN$13)=3,
IFERROR(ROWS(
_xlfn.UNIQUE(_xlfn._xlws.FILTER(Pivot_SanPham_MaDon,
(NOT(ISBLANK(Pivot_SanPham_MaDon)))*
(Pivot_SanPham_Loai = "Xuất")*
(MONTH(Pivot_SanPham_Ngay)=BN25)
))),0)
),0)</f>
        <v>294405000</v>
      </c>
      <c r="BP25" s="138" t="str">
        <f ca="1">IFERROR(TEXT(BO25,LOOKUP(BO25,Pivot!$B$6:$B$12,Pivot!$C$6:$C$12)),"")</f>
        <v>294.4tr</v>
      </c>
      <c r="BQ25" s="138">
        <f ca="1">IFERROR(BO25/
(Pivot!$S$3-Pivot!$S$2+1),0)</f>
        <v>1617609.8901098901</v>
      </c>
      <c r="BR25" s="138" t="str">
        <f ca="1">IFERROR(TEXT(BQ25,LOOKUP(BQ25,Pivot!$B$6:$B$12,Pivot!$C$6:$C$12)),"")</f>
        <v>1.6tr</v>
      </c>
      <c r="BS25" s="204"/>
    </row>
    <row r="26" spans="2:92" ht="16.5" x14ac:dyDescent="0.3">
      <c r="B26" s="134"/>
      <c r="BN26" s="138">
        <v>12</v>
      </c>
      <c r="BO26" s="138" cm="1">
        <f t="array" aca="1" ref="BO26" ca="1">IFERROR(
_xlfn.IFS(
($BN$13)=1,
IFERROR(SUM(
_xlfn._xlws.FILTER(Pivot_SanPham_SoLuong,
(Pivot_SanPham_Loai = "Xuất")*
(MONTH(Pivot_SanPham_Ngay)=BN26)
)),0)
-IFERROR(SUM(
_xlfn._xlws.FILTER(Pivot_SanPham_SoLuong,
(Pivot_SanPham_Loai = "Nhập")*
(MONTH(Pivot_SanPham_Ngay)=BN26)
)),0),
($BN$13)=2,
IFERROR(SUM(
_xlfn._xlws.FILTER(Pivot_SanPham_DoanhThu,
(MONTH(Pivot_SanPham_Ngay)=BN26)
)),0),
($BN$13)=3,
IFERROR(ROWS(
_xlfn.UNIQUE(_xlfn._xlws.FILTER(Pivot_SanPham_MaDon,
(NOT(ISBLANK(Pivot_SanPham_MaDon)))*
(Pivot_SanPham_Loai = "Xuất")*
(MONTH(Pivot_SanPham_Ngay)=BN26)
))),0)
),0)</f>
        <v>299060000</v>
      </c>
      <c r="BP26" s="138" t="str">
        <f ca="1">IFERROR(TEXT(BO26,LOOKUP(BO26,Pivot!$B$6:$B$12,Pivot!$C$6:$C$12)),"")</f>
        <v>299.1tr</v>
      </c>
      <c r="BQ26" s="138">
        <f ca="1">IFERROR(BO26/
(Pivot!$S$3-Pivot!$S$2+1),0)</f>
        <v>1643186.8131868131</v>
      </c>
      <c r="BR26" s="138" t="str">
        <f ca="1">IFERROR(TEXT(BQ26,LOOKUP(BQ26,Pivot!$B$6:$B$12,Pivot!$C$6:$C$12)),"")</f>
        <v>1.6tr</v>
      </c>
      <c r="BS26" s="204"/>
    </row>
    <row r="27" spans="2:92" ht="16.5" x14ac:dyDescent="0.3">
      <c r="B27" s="134"/>
      <c r="BN27" s="204"/>
    </row>
    <row r="28" spans="2:92" ht="16.5" x14ac:dyDescent="0.3">
      <c r="B28" s="134"/>
      <c r="BN28" s="204"/>
    </row>
    <row r="29" spans="2:92" ht="16.5" x14ac:dyDescent="0.3">
      <c r="B29" s="134"/>
      <c r="BN29" s="204"/>
      <c r="CE29" s="137" t="str" cm="1">
        <f t="array" ref="CE29">_xlfn.IFS(
($BN$13) = 1,"Cấu trúc lượng bán",
($BN$13) = 2,"Cấu trúc doanh thu",
($BN$13) = 3,"Cấu trúc đơn hàng")</f>
        <v>Cấu trúc doanh thu</v>
      </c>
      <c r="CG29" s="137" t="str" cm="1">
        <f t="array" ref="CG29">_xlfn.IFS(
($BN$13) = 1,"Lượng bán / ngày và tốc độ tăng số lượng",
($BN$13) = 2,"Doanh thu / ngày và tốc độ tăng doanh thu",
($BN$13) = 3,"Đơn hàng / khách và tốc độ tăng đơn hàng")</f>
        <v>Doanh thu / ngày và tốc độ tăng doanh thu</v>
      </c>
      <c r="CL29" s="137" t="str" cm="1">
        <f t="array" ref="CL29">_xlfn.IFS(
($BN$13) = 1,"Số khách theo tỉnh thành",
($BN$13) = 2,"Doanh thu theo tỉnh thành",
($BN$13) = 3,"Đơn hàng theo tỉnh thành")</f>
        <v>Doanh thu theo tỉnh thành</v>
      </c>
    </row>
    <row r="30" spans="2:92" ht="16.5" x14ac:dyDescent="0.3">
      <c r="B30" s="134"/>
      <c r="BN30" s="140" t="s">
        <v>47</v>
      </c>
      <c r="BO30" s="137" t="s">
        <v>159</v>
      </c>
      <c r="BP30" s="137" t="s">
        <v>178</v>
      </c>
      <c r="BQ30" s="137" t="s">
        <v>206</v>
      </c>
      <c r="BR30" s="137" t="s">
        <v>30</v>
      </c>
      <c r="BS30" s="137" t="s">
        <v>33</v>
      </c>
      <c r="BT30" s="137" t="s">
        <v>189</v>
      </c>
      <c r="BU30" s="137" t="s">
        <v>190</v>
      </c>
      <c r="BV30" s="137" t="s">
        <v>174</v>
      </c>
      <c r="BW30" s="137" t="s">
        <v>207</v>
      </c>
      <c r="BX30" s="137" t="s">
        <v>192</v>
      </c>
      <c r="BY30" s="137" t="s">
        <v>208</v>
      </c>
      <c r="BZ30" s="137" t="s">
        <v>209</v>
      </c>
      <c r="CA30" s="137" t="s">
        <v>210</v>
      </c>
      <c r="CC30" s="137" t="s">
        <v>25</v>
      </c>
      <c r="CD30" s="137" t="s">
        <v>21</v>
      </c>
      <c r="CE30" s="137" t="s">
        <v>22</v>
      </c>
      <c r="CF30" s="137" t="s">
        <v>157</v>
      </c>
      <c r="CG30" s="137" t="s">
        <v>22</v>
      </c>
      <c r="CH30" s="137" t="s">
        <v>71</v>
      </c>
      <c r="CI30" s="137" t="s">
        <v>196</v>
      </c>
      <c r="CJ30" s="137" t="s">
        <v>22</v>
      </c>
      <c r="CL30" s="137" t="s">
        <v>197</v>
      </c>
      <c r="CM30" s="137" t="s">
        <v>178</v>
      </c>
      <c r="CN30" s="137" t="s">
        <v>22</v>
      </c>
    </row>
    <row r="31" spans="2:92" ht="16.5" x14ac:dyDescent="0.3">
      <c r="B31" s="134"/>
      <c r="BN31" s="137" t="str" cm="1">
        <f t="array" ref="BN31:BN33">Table_SKU[Mã SKU]</f>
        <v>TP2</v>
      </c>
      <c r="BO31" s="137" cm="1">
        <f t="array" ref="BO31:BO33">INDEX(
Table_SKU[Nhóm 1]:Table_SKU[Mã SKU],
MATCH(_xlfn.ANCHORARRAY($BN$31),Table_SKU[Mã SKU],0),
MATCH("Nhóm 1",Table_SKU[#Headers],0)
)</f>
        <v>0</v>
      </c>
      <c r="BP31" s="137" cm="1">
        <f t="array" aca="1" ref="BP31:BP33" ca="1">IFERROR(
_xlfn.IFS(
$BN$13=1,
SUMIFS(Pivot_SanPham_SoLuong,
Pivot_SanPham_SKU,_xlfn.ANCHORARRAY($BN$31)),
$BN$13=2,
SUMIFS(Pivot_SanPham_DoanhThu,
Pivot_SanPham_SKU,_xlfn.ANCHORARRAY($BN$31)),
$BN$13=3,
COUNTIFS(
Pivot_SanPham_SKU,_xlfn.ANCHORARRAY($BN$31))
),0)</f>
        <v>0</v>
      </c>
      <c r="BQ31" s="145" cm="1">
        <f t="array" ref="BQ31:BQ33">IFERROR(_xlfn.MINIFS(
Table_Main[Ngày lên đơn],
Table_Main[Mã SKU],_xlfn.ANCHORARRAY(BN31),
Table_Main[Đơn bán], "&lt;&gt;"&amp;"",
Table_Main[Loại], "Xuất"
),"")</f>
        <v>45735</v>
      </c>
      <c r="BR31" s="137" cm="1">
        <f t="array" aca="1" ref="BR31:BR33" ca="1">IFERROR(SUMIFS(
Pivot_SanPham_SoLuong,
Pivot_SanPham_Loai,"Xuất",
Pivot_SanPham_SKU,_xlfn.ANCHORARRAY( BN31)),0)
-IFERROR(SUMIFS(
Pivot_SanPham_SoLuong,
Pivot_SanPham_Loai,"Nhập",
Pivot_SanPham_SKU,_xlfn.ANCHORARRAY( BN31)),0)</f>
        <v>0</v>
      </c>
      <c r="BS31" s="137" cm="1">
        <f t="array" aca="1" ref="BS31:BS33" ca="1">IFERROR(SUMIFS(
Pivot_SanPham_DoanhThu,
Pivot_SanPham_SKU,_xlfn.ANCHORARRAY( BN31)),0)</f>
        <v>0</v>
      </c>
      <c r="BT31" s="137" cm="1">
        <f t="array" aca="1" ref="BT31:BT33" ca="1">IF(_xlfn.ANCHORARRAY(BP31)&gt;0,
SUMIF(Table_Main[Mã SKU],_xlfn.ANCHORARRAY(BN31),Table_Main[Giá trị bán trước VAT]),0)</f>
        <v>0</v>
      </c>
      <c r="BU31" s="204" cm="1">
        <f t="array" ref="BU31:BU33">MAX(Table_DonBan[Ngày lập])-_xlfn.ANCHORARRAY(BQ31)</f>
        <v>73</v>
      </c>
      <c r="BV31" s="137" cm="1">
        <f t="array" aca="1" ref="BV31:BV33" ca="1">IF(_xlfn.ANCHORARRAY($BP$31)&gt;0,_xlfn.ANCHORARRAY($BT$31)/_xlfn.ANCHORARRAY( $BU$31),
0)</f>
        <v>0</v>
      </c>
      <c r="BW31" s="146" cm="1">
        <f t="array" ref="BW31:BW33" xml:space="preserve">
IF(
IFERROR(_xlfn.MAXIFS(
Table_Main[Ngày lên đơn],
Table_Main[Mã SKU],_xlfn.ANCHORARRAY($BN$31),
Table_Main[Loại], "Xuất",
Table_Main[Đơn bán], "&lt;&gt;"&amp;""
),0)&gt;
IFERROR(_xlfn.MAXIFS(
Table_Main[Ngày lên đơn],
Table_Main[Mã SKU],_xlfn.ANCHORARRAY($BN$31),
Table_Main[Loại], "Nhập",
Table_Main[Đơn Mua], "&lt;&gt;"&amp;""
),0),
IFERROR(_xlfn.MAXIFS(
Table_Main[Ngày lên đơn],
Table_Main[Mã SKU],_xlfn.ANCHORARRAY($BN$31),
Table_Main[Loại], "Xuất",
Table_Main[Đơn bán], "&lt;&gt;"&amp;""
),0),
IFERROR(_xlfn.MAXIFS(
Table_Main[Ngày lên đơn],
Table_Main[Mã SKU],_xlfn.ANCHORARRAY($BN$31),
Table_Main[Loại], "Nhập",
Table_Main[Đơn Mua], "&lt;&gt;"&amp;""
),0)
)</f>
        <v>45786</v>
      </c>
      <c r="BX31" s="204" cm="1">
        <f t="array" aca="1" ref="BX31:BX33" ca="1" xml:space="preserve">
IF(_xlfn.ANCHORARRAY(BP31)&gt;0,
IF(
MAX(Table_DonBan[Ngày lập])-_xlfn.ANCHORARRAY(BW31) = 0,
TODAY()-_xlfn.ANCHORARRAY(BW31),MAX(Table_DonBan[Ngày lập])-_xlfn.ANCHORARRAY(BW31)),
0)</f>
        <v>0</v>
      </c>
      <c r="BY31" s="137" cm="1">
        <f t="array" ref="BY31:BY33">IFERROR(SUMIFS(
Table_Main[Số lượng],
Table_Main[Giá trị bán trước VAT],"&gt;0",
Table_Main[Loại], "Xuất",
Table_Main[Mã SKU],_xlfn.ANCHORARRAY( BN31),
Table_Main[Ngày lên đơn],"&gt;="&amp;DATE(YEAR(Pivot!$S$2)-1,MONTH(Pivot!$S$2),DAY(Pivot!$S$2)),
Table_Main[Ngày lên đơn],"&lt;="&amp;DATE(YEAR(Pivot!$S$3)-1,MONTH(Pivot!$S$3),DAY(Pivot!$S$3))),0)
-IFERROR(SUMIFS(
Table_Main[Số lượng],
Table_Main[Giá trị bán trước VAT],"&gt;0",
Table_Main[Loại], "Nhập",
Table_Main[Mã SKU],_xlfn.ANCHORARRAY( BN31),
Table_Main[Ngày lên đơn],"&gt;="&amp;DATE(YEAR(Pivot!$S$2)-1,MONTH(Pivot!$S$2),DAY(Pivot!$S$2)),
Table_Main[Ngày lên đơn],"&lt;="&amp;DATE(YEAR(Pivot!$S$3)-1,MONTH(Pivot!$S$3),DAY(Pivot!$S$3))),0)</f>
        <v>0</v>
      </c>
      <c r="BZ31" s="137" cm="1">
        <f t="array" ref="BZ31:BZ33">IFERROR(SUMIFS(
Table_Main[Giá trị bán trước VAT],
Table_Main[Mã SKU],_xlfn.ANCHORARRAY( BN31),
Table_Main[Ngày lên đơn],"&gt;="&amp;DATE(YEAR(Pivot!$S$2)-1,MONTH(Pivot!$S$2),DAY(Pivot!$S$2)),
Table_Main[Ngày lên đơn],"&lt;="&amp;DATE(YEAR(Pivot!$S$3)-1,MONTH(Pivot!$S$3),DAY(Pivot!$S$3))),0)</f>
        <v>0</v>
      </c>
      <c r="CA31" s="204" cm="1">
        <f t="array" aca="1" ref="CA31:CA33" ca="1">IF(_xlfn.ANCHORARRAY($BP$31)&gt;0,
(
IFERROR(SUMIFS(
Table_Main[Số lượng],
Table_Main[Giá trị bán trước VAT],"&gt;0",
Table_Main[Loại], "Xuất",
Table_Main[Mã SKU],_xlfn.ANCHORARRAY( BN31),
Table_Main[Ngày lên đơn],"&lt;="&amp;DATE(YEAR(Pivot!$S$3)-1,MONTH(Pivot!$S$3),DAY(Pivot!$S$3))),0)
-IFERROR(SUMIFS(
Table_Main[Số lượng],
Table_Main[Giá trị bán trước VAT],"&gt;0",
Table_Main[Loại], "Nhập",
Table_Main[Mã SKU],_xlfn.ANCHORARRAY( BN31),
Table_Main[Ngày lên đơn],"&lt;="&amp;DATE(YEAR(Pivot!$S$3)-1,MONTH(Pivot!$S$3),DAY(Pivot!$S$3))),0)
)
/_xlfn.ANCHORARRAY( $BU$31),
0)</f>
        <v>0</v>
      </c>
      <c r="CC31" s="137" t="str" cm="1">
        <f t="array" aca="1" ref="CC31:CC33" ca="1">_xlfn.UNIQUE(Pivot_SanPham_Nhom)</f>
        <v>Nhóm 1</v>
      </c>
      <c r="CD31" s="137" cm="1">
        <f t="array" aca="1" ref="CD31:CD33" ca="1">IFERROR(
_xlfn.IFS(
$BN$13=1,
SUMIFS(Pivot_SanPham_SoLuong,
Pivot_SanPham_Loai, "Xuất",
Pivot_SanPham_Nhom,_xlfn.ANCHORARRAY($CC$31))
- SUMIFS(Pivot_SanPham_SoLuong,
Pivot_SanPham_Loai, "Nhập",
Pivot_SanPham_Nhom,_xlfn.ANCHORARRAY($CC$31)),
$BN$13=2,
SUMIFS(Pivot_SanPham_DoanhThu,
Pivot_SanPham_Nhom,_xlfn.ANCHORARRAY($CC$31)),
$BN$13=3,
COUNTIFS(
Pivot_SanPham_Nhom,_xlfn.ANCHORARRAY($CC$31),
Pivot_SanPham_Loai, "Xuất")
),0)</f>
        <v>554500000</v>
      </c>
      <c r="CE31" s="138" t="str" cm="1">
        <f t="array" aca="1" ref="CE31:CE33" ca="1">IFERROR(TEXT(_xlfn.ANCHORARRAY(CD31),LOOKUP(_xlfn.ANCHORARRAY(CD31),Pivot!$B$6:$B$12,Pivot!$C$6:$C$12)),"")</f>
        <v>554.5tr</v>
      </c>
      <c r="CF31" s="204" cm="1">
        <f t="array" aca="1" ref="CF31:CF33" ca="1">_xlfn.ANCHORARRAY($CD$31)/(Pivot!$S$3-Pivot!$S$2+1)</f>
        <v>3046703.2967032967</v>
      </c>
      <c r="CG31" s="138" t="str" cm="1">
        <f t="array" aca="1" ref="CG31:CG33" ca="1">IF(ABS(_xlfn.ANCHORARRAY(CF31))&lt;1,TEXT(_xlfn.ANCHORARRAY(CF31), "#,##.0"),IFERROR(TEXT(_xlfn.ANCHORARRAY(CF31),LOOKUP(_xlfn.ANCHORARRAY(CF31),Pivot!$B$6:$B$12,Pivot!$C$6:$C$12)),""))</f>
        <v>3.0tr</v>
      </c>
      <c r="CH31" s="139" cm="1">
        <f t="array" aca="1" ref="CH31:CH33" ca="1">IFERROR(
_xlfn.IFS(
($BN$13)=1,
IFERROR(
SUMIFS(_xlfn.ANCHORARRAY(BR31),_xlfn.ANCHORARRAY($BO$31),_xlfn.ANCHORARRAY(CC31))/
SUMIFS(_xlfn.ANCHORARRAY(BY31),_xlfn.ANCHORARRAY($BO$31),_xlfn.ANCHORARRAY(CC31))-1,0),
($BN$13)=2,
IFERROR(
SUMIFS(_xlfn.ANCHORARRAY(BS31),_xlfn.ANCHORARRAY($BO$31),_xlfn.ANCHORARRAY(CC31))/
SUMIFS(_xlfn.ANCHORARRAY(BZ31),_xlfn.ANCHORARRAY($BO$31),_xlfn.ANCHORARRAY(CC31))-1,0)
),0)</f>
        <v>0</v>
      </c>
      <c r="CI31" s="137" t="str" cm="1">
        <f t="array" aca="1" ref="CI31:CI33" ca="1">IF(_xlfn.ANCHORARRAY(CF31)&gt;AVERAGE(_xlfn.ANCHORARRAY(CF31)),_xlfn.ANCHORARRAY(CF31),"")</f>
        <v/>
      </c>
      <c r="CJ31" s="138" t="str" cm="1">
        <f t="array" aca="1" ref="CJ31:CJ33" ca="1">IFERROR(TEXT(_xlfn.ANCHORARRAY(CI31),LOOKUP(_xlfn.ANCHORARRAY(CI31),Pivot!$B$6:$B$12,Pivot!$C$6:$C$12)),"")</f>
        <v/>
      </c>
      <c r="CL31" s="137" cm="1">
        <f t="array" ref="CL31">_xlfn.UNIQUE(Table_KhachHang[Tỉnh])</f>
        <v>0</v>
      </c>
      <c r="CM31" s="137" cm="1">
        <f t="array" aca="1" ref="CM31" ca="1">IFERROR(
_xlfn.IFS(
$BN$13=1,
SUMIFS(Pivot_SanPham_SoLuong,
Pivot_SanPham_Loai, "Xuất",
Pivot_SanPham_TinhThanh,_xlfn.ANCHORARRAY($CL$31))
-SUMIFS(Pivot_SanPham_SoLuong,
Pivot_SanPham_Loai, "Nhập",
Pivot_SanPham_TinhThanh,_xlfn.ANCHORARRAY($CL$31)),
$BN$13=2,
SUMIFS(Pivot_SanPham_DoanhThu,
Pivot_SanPham_TinhThanh,_xlfn.ANCHORARRAY($CL$31)),
$BN$13=3,
COUNTIFS(
Pivot_SanPham_TinhThanh,_xlfn.ANCHORARRAY($CL$31),
Pivot_SanPham_Loai, "Xuất")
),0)</f>
        <v>0</v>
      </c>
      <c r="CN31" s="138" t="str" cm="1">
        <f t="array" aca="1" ref="CN31" ca="1">IFERROR(TEXT(_xlfn.ANCHORARRAY(CM31),LOOKUP(_xlfn.ANCHORARRAY(CM31),Pivot!$B$6:$B$12,Pivot!$C$6:$C$12)),"")</f>
        <v/>
      </c>
    </row>
    <row r="32" spans="2:92" ht="16.5" x14ac:dyDescent="0.3">
      <c r="B32" s="134"/>
      <c r="BN32" s="137" t="str">
        <v>TP1</v>
      </c>
      <c r="BO32" s="137">
        <v>0</v>
      </c>
      <c r="BP32" s="137">
        <f ca="1"/>
        <v>0</v>
      </c>
      <c r="BQ32" s="137">
        <v>45743</v>
      </c>
      <c r="BR32" s="137">
        <f ca="1"/>
        <v>0</v>
      </c>
      <c r="BS32" s="137">
        <f ca="1"/>
        <v>0</v>
      </c>
      <c r="BT32" s="137">
        <f ca="1"/>
        <v>0</v>
      </c>
      <c r="BU32" s="204">
        <v>65</v>
      </c>
      <c r="BV32" s="137">
        <f ca="1"/>
        <v>0</v>
      </c>
      <c r="BW32" s="204">
        <v>45808</v>
      </c>
      <c r="BX32" s="204">
        <f ca="1"/>
        <v>0</v>
      </c>
      <c r="BY32" s="137">
        <v>0</v>
      </c>
      <c r="BZ32" s="137">
        <v>0</v>
      </c>
      <c r="CA32" s="204">
        <f ca="1"/>
        <v>0</v>
      </c>
      <c r="CC32" s="137" t="str">
        <f ca="1"/>
        <v>Nhóm 2</v>
      </c>
      <c r="CD32" s="137">
        <f ca="1"/>
        <v>601365000</v>
      </c>
      <c r="CE32" s="137" t="str">
        <f ca="1"/>
        <v>601.4tr</v>
      </c>
      <c r="CF32" s="204">
        <f ca="1"/>
        <v>3304203.2967032967</v>
      </c>
      <c r="CG32" s="137" t="str">
        <f ca="1"/>
        <v>3.3tr</v>
      </c>
      <c r="CH32" s="139">
        <f ca="1"/>
        <v>0</v>
      </c>
      <c r="CI32" s="137" t="str">
        <f ca="1"/>
        <v/>
      </c>
      <c r="CJ32" s="137" t="str">
        <f ca="1"/>
        <v/>
      </c>
    </row>
    <row r="33" spans="2:88" ht="16.5" x14ac:dyDescent="0.3">
      <c r="B33" s="134"/>
      <c r="BN33" s="137" t="str">
        <v>HH1</v>
      </c>
      <c r="BO33" s="137">
        <v>0</v>
      </c>
      <c r="BP33" s="137">
        <f ca="1"/>
        <v>0</v>
      </c>
      <c r="BQ33" s="137">
        <v>45729</v>
      </c>
      <c r="BR33" s="137">
        <f ca="1"/>
        <v>0</v>
      </c>
      <c r="BS33" s="137">
        <f ca="1"/>
        <v>0</v>
      </c>
      <c r="BT33" s="137">
        <f ca="1"/>
        <v>0</v>
      </c>
      <c r="BU33" s="204">
        <v>79</v>
      </c>
      <c r="BV33" s="137">
        <f ca="1"/>
        <v>0</v>
      </c>
      <c r="BW33" s="204">
        <v>45804</v>
      </c>
      <c r="BX33" s="204">
        <f ca="1"/>
        <v>0</v>
      </c>
      <c r="BY33" s="137">
        <v>0</v>
      </c>
      <c r="BZ33" s="137">
        <v>0</v>
      </c>
      <c r="CA33" s="204">
        <f ca="1"/>
        <v>0</v>
      </c>
      <c r="CC33" s="137" t="str">
        <f ca="1"/>
        <v>Nhóm 3</v>
      </c>
      <c r="CD33" s="137">
        <f ca="1"/>
        <v>806200000</v>
      </c>
      <c r="CE33" s="137" t="str">
        <f ca="1"/>
        <v>806.2tr</v>
      </c>
      <c r="CF33" s="204">
        <f ca="1"/>
        <v>4429670.3296703296</v>
      </c>
      <c r="CG33" s="137" t="str">
        <f ca="1"/>
        <v>4.4tr</v>
      </c>
      <c r="CH33" s="137">
        <f ca="1"/>
        <v>0</v>
      </c>
      <c r="CI33" s="137">
        <f ca="1"/>
        <v>4429670.3296703296</v>
      </c>
      <c r="CJ33" s="137" t="str">
        <f ca="1"/>
        <v>4.4tr</v>
      </c>
    </row>
    <row r="34" spans="2:88" ht="16.5" x14ac:dyDescent="0.3">
      <c r="B34" s="134"/>
      <c r="BX34" s="204"/>
      <c r="BY34" s="204"/>
      <c r="BZ34" s="204"/>
      <c r="CA34" s="204"/>
      <c r="CB34" s="204"/>
    </row>
    <row r="35" spans="2:88" ht="16.5" x14ac:dyDescent="0.3">
      <c r="B35" s="134"/>
      <c r="BX35" s="204"/>
      <c r="BY35" s="204"/>
      <c r="BZ35" s="204"/>
      <c r="CA35" s="204"/>
      <c r="CB35" s="204"/>
    </row>
    <row r="36" spans="2:88" ht="16.5" x14ac:dyDescent="0.3">
      <c r="B36" s="134"/>
      <c r="BX36" s="204"/>
      <c r="BY36" s="204"/>
      <c r="BZ36" s="204"/>
      <c r="CA36" s="204"/>
      <c r="CB36" s="204"/>
    </row>
    <row r="37" spans="2:88" ht="16.5" x14ac:dyDescent="0.3">
      <c r="B37" s="134"/>
      <c r="BX37" s="204"/>
      <c r="BY37" s="204"/>
      <c r="BZ37" s="204"/>
      <c r="CA37" s="204"/>
      <c r="CB37" s="204"/>
    </row>
    <row r="38" spans="2:88" ht="16.5" x14ac:dyDescent="0.3">
      <c r="B38" s="134"/>
    </row>
    <row r="39" spans="2:88" ht="16.5" x14ac:dyDescent="0.3">
      <c r="B39" s="134"/>
    </row>
    <row r="40" spans="2:88" ht="16.5" x14ac:dyDescent="0.3">
      <c r="B40" s="134"/>
    </row>
    <row r="41" spans="2:88" ht="16.5" x14ac:dyDescent="0.3">
      <c r="B41" s="134"/>
    </row>
    <row r="42" spans="2:88" ht="16.5" x14ac:dyDescent="0.3">
      <c r="B42" s="134"/>
    </row>
    <row r="43" spans="2:88" ht="16.5" x14ac:dyDescent="0.3">
      <c r="B43" s="134"/>
    </row>
    <row r="44" spans="2:88" ht="16.5" x14ac:dyDescent="0.3">
      <c r="B44" s="134"/>
    </row>
    <row r="45" spans="2:88" ht="16.5" x14ac:dyDescent="0.3">
      <c r="B45" s="134"/>
    </row>
    <row r="46" spans="2:88" ht="16.5" x14ac:dyDescent="0.3">
      <c r="B46" s="134"/>
    </row>
    <row r="47" spans="2:88" ht="16.5" x14ac:dyDescent="0.3">
      <c r="B47" s="134"/>
    </row>
    <row r="48" spans="2:88" ht="16.5" x14ac:dyDescent="0.3">
      <c r="B48" s="134"/>
    </row>
    <row r="49" spans="2:2" ht="16.5" x14ac:dyDescent="0.3">
      <c r="B49" s="134"/>
    </row>
    <row r="50" spans="2:2" ht="16.5" x14ac:dyDescent="0.3">
      <c r="B50" s="134"/>
    </row>
    <row r="51" spans="2:2" ht="16.5" x14ac:dyDescent="0.3">
      <c r="B51" s="134"/>
    </row>
    <row r="52" spans="2:2" ht="16.5" x14ac:dyDescent="0.3">
      <c r="B52" s="134"/>
    </row>
    <row r="53" spans="2:2" ht="16.5" x14ac:dyDescent="0.3">
      <c r="B53" s="134"/>
    </row>
    <row r="54" spans="2:2" ht="16.5" x14ac:dyDescent="0.3">
      <c r="B54" s="134"/>
    </row>
    <row r="55" spans="2:2" ht="16.5" x14ac:dyDescent="0.3">
      <c r="B55" s="134"/>
    </row>
    <row r="56" spans="2:2" ht="16.5" x14ac:dyDescent="0.3">
      <c r="B56" s="134"/>
    </row>
    <row r="57" spans="2:2" ht="16.5" x14ac:dyDescent="0.3">
      <c r="B57" s="134"/>
    </row>
    <row r="58" spans="2:2" ht="16.5" x14ac:dyDescent="0.3">
      <c r="B58" s="134"/>
    </row>
  </sheetData>
  <sheetProtection algorithmName="SHA-512" hashValue="l4DDPztxloTdxa6Ar/e3TTs6/cXazbfzQq+mMH6ILx+RQKxBtsBMXP7b1U2B2/ImbuQ9bCf7BDyarnmgjIRJBg==" saltValue="X95tQqm906GqKWt2pNygtw==" spinCount="100000" sheet="1" scenarios="1" formatCells="0" formatColumns="0" formatRows="0" insertColumns="0" insertRows="0" deleteColumns="0" deleteRows="0" sort="0" autoFilter="0" pivotTables="0"/>
  <mergeCells count="1">
    <mergeCell ref="AA4:AC4"/>
  </mergeCells>
  <dataValidations count="1">
    <dataValidation type="list" allowBlank="1" showInputMessage="1" showErrorMessage="1" sqref="AA4:AC4" xr:uid="{6074FA18-B329-41A3-9806-583E7AE7D6D4}">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47106"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controls>
    </mc:Choice>
  </mc:AlternateContent>
  <tableParts count="4">
    <tablePart r:id="rId6"/>
    <tablePart r:id="rId7"/>
    <tablePart r:id="rId8"/>
    <tablePart r:id="rId9"/>
  </tableParts>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EF7D5-6DD9-4773-ABE9-4BE1F21E5B81}">
  <sheetPr codeName="Sheet49">
    <tabColor theme="9" tint="0.39997558519241921"/>
    <outlinePr summaryBelow="0" summaryRight="0"/>
  </sheetPr>
  <dimension ref="A2:CU46"/>
  <sheetViews>
    <sheetView zoomScaleNormal="100" workbookViewId="0">
      <selection activeCell="CG21" sqref="CG21:CG22"/>
    </sheetView>
  </sheetViews>
  <sheetFormatPr defaultRowHeight="18" customHeight="1" outlineLevelCol="1" x14ac:dyDescent="0.3"/>
  <cols>
    <col min="1" max="1" width="10.375" style="130" customWidth="1"/>
    <col min="2" max="33" width="9" style="130"/>
    <col min="34" max="37" width="9" style="132"/>
    <col min="38" max="38" width="9" style="132" customWidth="1"/>
    <col min="39" max="39" width="9" style="132"/>
    <col min="40" max="40" width="9" style="132" customWidth="1"/>
    <col min="41" max="59" width="9" style="132"/>
    <col min="60" max="60" width="9.875" style="132" customWidth="1"/>
    <col min="61" max="61" width="9" style="132" customWidth="1"/>
    <col min="62" max="64" width="9" style="132"/>
    <col min="65" max="67" width="10.5" style="132" customWidth="1"/>
    <col min="68" max="68" width="9" style="132"/>
    <col min="69" max="72" width="9" style="138" customWidth="1"/>
    <col min="73" max="73" width="11.5" style="138" customWidth="1"/>
    <col min="74" max="77" width="9" style="138" customWidth="1"/>
    <col min="78" max="78" width="9" style="138"/>
    <col min="79" max="81" width="9" style="138" customWidth="1"/>
    <col min="82" max="83" width="9" style="138" customWidth="1" outlineLevel="1"/>
    <col min="84" max="84" width="10.375" style="138" customWidth="1" outlineLevel="1"/>
    <col min="85" max="88" width="9" style="138" customWidth="1" outlineLevel="1"/>
    <col min="89" max="89" width="9" style="138" customWidth="1"/>
    <col min="90" max="96" width="9" style="138" customWidth="1" outlineLevel="1"/>
    <col min="97" max="97" width="9" style="138"/>
    <col min="98" max="99" width="9" style="132"/>
    <col min="100" max="16384" width="9" style="130"/>
  </cols>
  <sheetData>
    <row r="2" spans="1:96" ht="16.5" x14ac:dyDescent="0.3">
      <c r="B2" s="134"/>
      <c r="C2" s="134"/>
      <c r="Z2" s="562" t="s">
        <v>211</v>
      </c>
      <c r="AA2" s="562"/>
      <c r="AB2" s="562"/>
      <c r="AD2" s="562" t="s">
        <v>146</v>
      </c>
      <c r="AE2" s="562"/>
      <c r="AF2" s="562"/>
    </row>
    <row r="3" spans="1:96" ht="16.5" x14ac:dyDescent="0.3">
      <c r="B3" s="134"/>
      <c r="C3" s="134"/>
      <c r="Z3" s="561"/>
      <c r="AA3" s="561"/>
      <c r="AB3" s="561"/>
      <c r="AD3" s="561"/>
      <c r="AE3" s="561"/>
      <c r="AF3" s="561"/>
    </row>
    <row r="4" spans="1:96" ht="16.5" x14ac:dyDescent="0.3">
      <c r="B4" s="134"/>
      <c r="C4" s="134"/>
      <c r="AP4" s="132" t="s">
        <v>212</v>
      </c>
      <c r="AQ4" s="132" t="s">
        <v>33</v>
      </c>
      <c r="AR4" s="132" t="s">
        <v>213</v>
      </c>
      <c r="AS4" s="132" t="s">
        <v>214</v>
      </c>
      <c r="AT4" s="132" t="s">
        <v>215</v>
      </c>
      <c r="AU4" s="132" t="s">
        <v>216</v>
      </c>
      <c r="AV4" s="132" t="s">
        <v>217</v>
      </c>
      <c r="AY4" s="132" t="s">
        <v>35</v>
      </c>
      <c r="AZ4" s="132" t="s">
        <v>33</v>
      </c>
      <c r="BA4" s="132" t="s">
        <v>213</v>
      </c>
      <c r="BB4" s="132" t="s">
        <v>214</v>
      </c>
      <c r="BC4" s="132" t="s">
        <v>215</v>
      </c>
      <c r="BD4" s="132" t="s">
        <v>216</v>
      </c>
      <c r="BE4" s="132" t="s">
        <v>217</v>
      </c>
      <c r="BH4" s="132" t="s">
        <v>25</v>
      </c>
      <c r="BI4" s="132" t="s">
        <v>218</v>
      </c>
      <c r="BJ4" s="132" t="s">
        <v>219</v>
      </c>
      <c r="BM4" s="132" t="s">
        <v>220</v>
      </c>
      <c r="BN4" s="132" t="s">
        <v>219</v>
      </c>
      <c r="BO4" s="132" t="s">
        <v>218</v>
      </c>
      <c r="BR4" s="138" t="s">
        <v>221</v>
      </c>
      <c r="BS4" s="138" t="s">
        <v>222</v>
      </c>
      <c r="BT4" s="138" t="s">
        <v>213</v>
      </c>
      <c r="BU4" s="138" t="s">
        <v>223</v>
      </c>
      <c r="BV4" s="138" t="s">
        <v>224</v>
      </c>
      <c r="BW4" s="138" t="s">
        <v>225</v>
      </c>
      <c r="BX4" s="138" t="s">
        <v>213</v>
      </c>
      <c r="BY4" s="138" t="s">
        <v>223</v>
      </c>
      <c r="CD4" s="138" t="s">
        <v>38</v>
      </c>
      <c r="CE4" s="138" t="s">
        <v>33</v>
      </c>
      <c r="CF4" s="138" t="s">
        <v>22</v>
      </c>
      <c r="CG4" s="138" t="s">
        <v>134</v>
      </c>
      <c r="CH4" s="138" t="s">
        <v>213</v>
      </c>
      <c r="CI4" s="138" t="s">
        <v>226</v>
      </c>
      <c r="CJ4" s="138" t="s">
        <v>22</v>
      </c>
      <c r="CL4" s="138" t="s">
        <v>37</v>
      </c>
      <c r="CM4" s="138" t="s">
        <v>33</v>
      </c>
      <c r="CN4" s="138" t="s">
        <v>22</v>
      </c>
      <c r="CO4" s="138" t="s">
        <v>227</v>
      </c>
      <c r="CP4" s="138" t="s">
        <v>213</v>
      </c>
      <c r="CQ4" s="138" t="s">
        <v>226</v>
      </c>
      <c r="CR4" s="138" t="s">
        <v>22</v>
      </c>
    </row>
    <row r="5" spans="1:96" ht="16.5" x14ac:dyDescent="0.3">
      <c r="A5" s="134"/>
      <c r="B5" s="134"/>
      <c r="C5" s="134"/>
      <c r="AO5" s="132" t="str" cm="1">
        <f t="array" ref="AO5">_xlfn.UNIQUE(Table_Kenh[Mã Kênh])</f>
        <v>A</v>
      </c>
      <c r="AP5" s="132" t="s">
        <v>949</v>
      </c>
      <c r="AQ5"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5" s="132">
        <f>IFERROR(VLOOKUP(Dashboard_KPI_Kenh[[#This Row],[Mã kênh]],_xlfn.ANCHORARRAY($CD$5):_xlfn.ANCHORARRAY($CH$5),5,0),0)</f>
        <v>0</v>
      </c>
      <c r="AS5" s="132">
        <f>IFERROR(VLOOKUP(Dashboard_KPI_Kenh[[#This Row],[Mã kênh]],_xlfn.ANCHORARRAY($CD$5):_xlfn.ANCHORARRAY($CI$5),6,0),0)</f>
        <v>0</v>
      </c>
      <c r="AT5" s="132" cm="1">
        <f t="array" ref="AT5">IFERROR(
SUM(_xlfn._xlws.FILTER(Table_KPI[Doanh thu KPI],
(Table_KPI[Kênh] = Dashboard_KPI_Kenh[[#This Row],[Mã kênh]])*
(Table_KPI[Kỳ] &gt;=DATE(YEAR(Pivot!$AC$2),MONTH(Pivot!$AC$2),1))*
(Table_KPI[Kỳ] &lt;=DATE(YEAR(Pivot!$AC$3),MONTH(Pivot!$AC$3)+1,1)-1)
)),0)</f>
        <v>0</v>
      </c>
      <c r="AU5" s="136" t="str">
        <f>IFERROR(Dashboard_KPI_Kenh[[#This Row],[Doanh thu]]/Dashboard_KPI_Kenh[[#This Row],[KPI]],"")</f>
        <v/>
      </c>
      <c r="AV5" s="343" t="str">
        <f>IF(Dashboard_KPI_Kenh[[#This Row],[Tỷ lệ KPI]]&gt;1,Dashboard_KPI_Kenh[[#This Row],[Tỷ lệ KPI]],"")</f>
        <v/>
      </c>
      <c r="AX5" s="132" cm="1">
        <f t="array" ref="AX5">_xlfn.UNIQUE(Table_NhanVien[Mã NV])</f>
        <v>0</v>
      </c>
      <c r="AY5" s="132" t="s">
        <v>946</v>
      </c>
      <c r="AZ5"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5" s="132">
        <f>IFERROR(VLOOKUP(Dashboard_KPI_NhanVien[[#This Row],[Mã NV]],_xlfn.ANCHORARRAY($CL$5):_xlfn.ANCHORARRAY($CP$5),5,0),0)</f>
        <v>0</v>
      </c>
      <c r="BB5" s="132">
        <f>IFERROR(VLOOKUP(Dashboard_KPI_NhanVien[[#This Row],[Mã NV]],_xlfn.ANCHORARRAY($CL$5):_xlfn.ANCHORARRAY($CQ$5),6,0),0)</f>
        <v>0</v>
      </c>
      <c r="BC5" s="132" cm="1">
        <f t="array" ref="BC5">IFERROR(
SUM(_xlfn._xlws.FILTER(Table_KPI[Doanh thu KPI],
(Table_KPI[Nhân viên] = Dashboard_KPI_NhanVien[[#This Row],[Mã NV]])*
(Table_KPI[Kỳ] &gt;=DATE(YEAR(Pivot!$AC$2),MONTH(Pivot!$AC$2),1))*
(Table_KPI[Kỳ] &lt;=DATE(YEAR(Pivot!$AC$3),MONTH(Pivot!$AC$3)+1,1)-1)
)),0)</f>
        <v>0</v>
      </c>
      <c r="BD5" s="136" t="str">
        <f>IFERROR(Dashboard_KPI_NhanVien[[#This Row],[Doanh thu]]/Dashboard_KPI_NhanVien[[#This Row],[KPI]],"")</f>
        <v/>
      </c>
      <c r="BE5" s="343" t="str">
        <f>IF(Dashboard_KPI_NhanVien[[#This Row],[Tỷ lệ KPI]]&gt;1,Dashboard_KPI_NhanVien[[#This Row],[Tỷ lệ KPI]],"")</f>
        <v/>
      </c>
      <c r="BG5" s="132" cm="1">
        <f t="array" ref="BG5">_xlfn.UNIQUE(Table_KhachHang[Phân khúc])</f>
        <v>0</v>
      </c>
      <c r="BH5" s="132" t="s">
        <v>1005</v>
      </c>
      <c r="BI5" s="343" cm="1">
        <f t="array" aca="1" ref="BI5"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0.46446140797285834</v>
      </c>
      <c r="BJ5" s="343" cm="1">
        <f t="array" aca="1" ref="BJ5"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0.46446140797285834</v>
      </c>
      <c r="BK5" s="343"/>
      <c r="BL5" s="343" cm="1">
        <f t="array" ref="BL5">_xlfn.UNIQUE(Table_SKU[Nhóm 1])</f>
        <v>0</v>
      </c>
      <c r="BM5" s="343" t="s">
        <v>29</v>
      </c>
      <c r="BN5" s="343" cm="1">
        <f t="array" aca="1" ref="BN5"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0.29638676844783712</v>
      </c>
      <c r="BO5" s="343" cm="1">
        <f t="array" aca="1" ref="BO5"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0.29638676844783712</v>
      </c>
      <c r="BQ5" s="138">
        <v>1</v>
      </c>
      <c r="BR5" s="138" cm="1">
        <f t="array" ref="BR5">IFERROR(
IF(
ISBLANK($Z$3),
SUM(
_xlfn._xlws.FILTER(Table_Main[CK kênh],
(Table_Main[Ngày lên đơn]&gt;=DATE(YEAR(Pivot!$AC$2),MONTH(Pivot!$AC$2),1))*
(Table_Main[Ngày lên đơn]&lt;=DATE(YEAR(Pivot!$AC$3), MONTH(Pivot!$AC$3)+1,1)-1)*
(MONTH(Table_Main[Ngày lên đơn]) = BQ5)
)),
SUM(
_xlfn._xlws.FILTER(Table_Main[CK kênh],
(Table_Main[Kênh] = $Z$3)*
(Table_Main[Ngày lên đơn]&gt;=DATE(YEAR(Pivot!$AC$2),MONTH(Pivot!$AC$2),1))*
(Table_Main[Ngày lên đơn]&lt;=DATE(YEAR(Pivot!$AC$3), MONTH(Pivot!$AC$3)+1,1)-1)*
(MONTH(Table_Main[Ngày lên đơn]) = BQ5)
))
),0)</f>
        <v>0</v>
      </c>
      <c r="BS5" s="138" cm="1">
        <f t="array" ref="BS5">IFERROR(
IF(ISBLANK($Z$3),
SUM(_xlfn._xlws.FILTER(
Table_DonBan[Doanh thu ròng],
(Table_DonBan[Ngày lập]&gt;=DATE(YEAR(Pivot!$AC$2),MONTH(Pivot!$AC$2),1))*
(Table_DonBan[Ngày lập]&lt;=DATE(YEAR(Pivot!$AC$3), MONTH(Pivot!$AC$3)+1,1)-1)*
(MONTH(Table_DonBan[Ngày lập]) = BQ5)
)),
SUM(_xlfn._xlws.FILTER(
Table_DonBan[Doanh thu ròng],
(Table_DonBan[Kênh] = $Z$3)*
(Table_DonBan[Ngày lập]&gt;=DATE(YEAR(Pivot!$AC$2),MONTH(Pivot!$AC$2),1))*
(Table_DonBan[Ngày lập]&lt;=DATE(YEAR(Pivot!$AC$3), MONTH(Pivot!$AC$3)+1,1)-1)*
(MONTH(Table_DonBan[Ngày lập]) = BQ5)
))
),0)</f>
        <v>0</v>
      </c>
      <c r="BT5" s="144" t="str">
        <f>IFERROR(BR5/BS5,"")</f>
        <v/>
      </c>
      <c r="BU5" s="143" t="str">
        <f>IFERROR(BS5/(BT5*100),"")</f>
        <v/>
      </c>
      <c r="BV5" s="138" cm="1">
        <f t="array" ref="BV5">IFERROR(
IF(ISBLANK($AD$3),
SUM(_xlfn._xlws.FILTER(
Table_Main[Hoa hồng],
(Table_Main[Ngày lên đơn]&gt;=DATE(YEAR(Pivot!$AC$2),MONTH(Pivot!$AC$2),1))*
(Table_Main[Ngày lên đơn]&lt;=DATE(YEAR(Pivot!$AC$3), MONTH(Pivot!$AC$3)+1,1)-1)*
(Table_Main[Tháng lên đơn] = BQ5)
)),
SUM(_xlfn._xlws.FILTER(
Table_Main[Hoa hồng],
(Table_Main[NV Bán hàng] = $AD$3)*
(Table_Main[Ngày lên đơn]&gt;=DATE(YEAR(Pivot!$AC$2),MONTH(Pivot!$AC$2),1))*
(Table_Main[Ngày lên đơn]&lt;=DATE(YEAR(Pivot!$AC$3), MONTH(Pivot!$AC$3)+1,1)-1)*
(Table_Main[Tháng lên đơn] = BQ5)
))
),0)</f>
        <v>0</v>
      </c>
      <c r="BW5" s="138" cm="1">
        <f t="array" ref="BW5">IFERROR(
IF(ISBLANK($AD$3),
SUM(_xlfn._xlws.FILTER(
Table_DonBan[Doanh thu ròng],
(Table_DonBan[Ngày lập]&gt;=DATE(YEAR(Pivot!$AC$2),MONTH(Pivot!$AC$2),1))*
(Table_DonBan[Ngày lập]&lt;=DATE(YEAR(Pivot!$AC$3), MONTH(Pivot!$AC$3)+1,1)-1)*
(MONTH(Table_DonBan[Ngày lập]) = BQ5)
)),
SUM(_xlfn._xlws.FILTER(
Table_DonBan[Doanh thu ròng],
(Table_DonBan[Mã NV] = $AD$3)*
(Table_DonBan[Ngày lập]&gt;=DATE(YEAR(Pivot!$AC$2),MONTH(Pivot!$AC$2),1))*
(Table_DonBan[Ngày lập]&lt;=DATE(YEAR(Pivot!$AC$3), MONTH(Pivot!$AC$3)+1,1)-1)*
(MONTH(Table_DonBan[Ngày lập]) = BQ5)
))
),0)</f>
        <v>0</v>
      </c>
      <c r="BX5" s="144" t="str">
        <f>IFERROR(BV5/BW5,"")</f>
        <v/>
      </c>
      <c r="BY5" s="143" t="str">
        <f>IFERROR(BW5/(BX5*100),"")</f>
        <v/>
      </c>
      <c r="CD5" s="138" t="str" cm="1">
        <f t="array" ref="CD5">_xlfn.UNIQUE(Table_Kenh[Mã Kênh])</f>
        <v>A</v>
      </c>
      <c r="CE5" s="138" cm="1">
        <f t="array" ref="CE5">SUMIFS(Table_DonBan[Doanh thu ròng],
Table_DonBan[Kênh],_xlfn.ANCHORARRAY( CD5),
Table_DonBan[Ngày lập],"&gt;="&amp;DATE(YEAR(Pivot!$AC$2),MONTH(Pivot!$AC$2),1),
Table_DonBan[Ngày lập],"&lt;="&amp;DATE(YEAR(Pivot!$AC$3), MONTH(Pivot!$AC$3)+1,1)-1
)</f>
        <v>0</v>
      </c>
      <c r="CF5" s="138" t="str" cm="1">
        <f t="array" ref="CF5">IFERROR(TEXT(_xlfn.ANCHORARRAY(CE5),LOOKUP(_xlfn.ANCHORARRAY(CE5),Pivot!$B$6:$B$12,Pivot!$C$6:$C$12)),"")</f>
        <v/>
      </c>
      <c r="CG5" s="138" cm="1">
        <f t="array" ref="CG5">MAX(0,
SUMIFS(
Table_Main[CK kênh],
Table_Main[Kênh],_xlfn.ANCHORARRAY( CD5),
Table_Main[Ngày lên đơn], "&gt;="&amp;DATE(YEAR(Pivot!$AC$2),MONTH(Pivot!$AC$2)+1,1),
Table_Main[Ngày lên đơn], "&lt;="&amp;DATE(YEAR(Pivot!$AC$3), MONTH(Pivot!$AC$3)+1,1)-1
))</f>
        <v>0</v>
      </c>
      <c r="CH5" s="160" t="str" cm="1">
        <f t="array" ref="CH5">IFERROR(_xlfn.ANCHORARRAY(CG5)/_xlfn.ANCHORARRAY(CE5),"")</f>
        <v/>
      </c>
      <c r="CI5" s="138" t="str" cm="1">
        <f t="array" ref="CI5">IFERROR(_xlfn.ANCHORARRAY(CE5)/(_xlfn.ANCHORARRAY(CH5)*100),"")</f>
        <v/>
      </c>
      <c r="CJ5" s="138" t="str" cm="1">
        <f t="array" ref="CJ5">IFERROR(TEXT(_xlfn.ANCHORARRAY(CI5),LOOKUP(_xlfn.ANCHORARRAY(CI5),Pivot!$B$6:$B$12,Pivot!$C$6:$C$12)),"")</f>
        <v/>
      </c>
      <c r="CL5" s="138" cm="1">
        <f t="array" ref="CL5">_xlfn.UNIQUE(Table_NhanVien[Mã NV])</f>
        <v>0</v>
      </c>
      <c r="CM5" s="138" cm="1">
        <f t="array" ref="CM5">IFERROR(
SUMIFS(Table_DonBan[Doanh thu ròng],
Table_DonBan[Mã NV],_xlfn.ANCHORARRAY($CL$5),
Table_DonBan[Ngày lập], "&gt;="&amp;DATE(YEAR(Pivot!$AC$2),MONTH(Pivot!$AC$2),1),
Table_DonBan[Ngày lập],"&lt;="&amp;DATE(YEAR(Pivot!$AC$3), MONTH(Pivot!$AC$3)+1,1)-1
),0)</f>
        <v>0</v>
      </c>
      <c r="CN5" s="138" t="str" cm="1">
        <f t="array" ref="CN5">IFERROR(TEXT(_xlfn.ANCHORARRAY(CM5),LOOKUP(_xlfn.ANCHORARRAY(CM5),Pivot!$B$6:$B$12,Pivot!$C$6:$C$12)),"")</f>
        <v/>
      </c>
      <c r="CO5" s="138" cm="1">
        <f t="array" ref="CO5">IFERROR(
IF(
SUMIFS(Table_Main[Hoa hồng],
Table_Main[NV Bán hàng],_xlfn.ANCHORARRAY($CL$5),
Table_Main[Ngày lên đơn], "&gt;="&amp;DATE(YEAR(Pivot!$AC$2),MONTH(Pivot!$AC$2),1),
Table_Main[Ngày lên đơn],"&lt;="&amp;DATE(YEAR(Pivot!$AC$3), MONTH(Pivot!$AC$3)+1,1)-1
)&gt;0,
SUMIFS(Table_Main[Hoa hồng],
Table_Main[NV Bán hàng],_xlfn.ANCHORARRAY($CL$5),
Table_Main[Ngày lên đơn], "&gt;="&amp;DATE(YEAR(Pivot!$AC$2),MONTH(Pivot!$AC$2),1),
Table_Main[Ngày lên đơn],"&lt;="&amp;DATE(YEAR(Pivot!$AC$3), MONTH(Pivot!$AC$3)+1,1)-1
),0),0)</f>
        <v>0</v>
      </c>
      <c r="CP5" s="160" t="str" cm="1">
        <f t="array" ref="CP5">IFERROR(_xlfn.ANCHORARRAY(CO5)/_xlfn.ANCHORARRAY(CM5),"")</f>
        <v/>
      </c>
      <c r="CQ5" s="138" t="str" cm="1">
        <f t="array" ref="CQ5">IFERROR(_xlfn.ANCHORARRAY(CM5)/(_xlfn.ANCHORARRAY(CP5)*100),"")</f>
        <v/>
      </c>
      <c r="CR5" s="138" t="str" cm="1">
        <f t="array" ref="CR5">IFERROR(TEXT(_xlfn.ANCHORARRAY(CQ5),LOOKUP(_xlfn.ANCHORARRAY(CQ5),Pivot!$B$6:$B$12,Pivot!$C$6:$C$12)),"")</f>
        <v/>
      </c>
    </row>
    <row r="6" spans="1:96" ht="16.5" x14ac:dyDescent="0.3">
      <c r="A6" s="134"/>
      <c r="B6" s="134"/>
      <c r="C6" s="134"/>
      <c r="AP6" s="132" t="s">
        <v>950</v>
      </c>
      <c r="AQ6"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6" s="132">
        <f>IFERROR(VLOOKUP(Dashboard_KPI_Kenh[[#This Row],[Mã kênh]],_xlfn.ANCHORARRAY($CD$5):_xlfn.ANCHORARRAY($CH$5),5,0),0)</f>
        <v>0</v>
      </c>
      <c r="AS6" s="132">
        <f>IFERROR(VLOOKUP(Dashboard_KPI_Kenh[[#This Row],[Mã kênh]],_xlfn.ANCHORARRAY($CD$5):_xlfn.ANCHORARRAY($CI$5),6,0),0)</f>
        <v>0</v>
      </c>
      <c r="AT6" s="132" cm="1">
        <f t="array" ref="AT6">IFERROR(
SUM(_xlfn._xlws.FILTER(Table_KPI[Doanh thu KPI],
(Table_KPI[Kênh] = Dashboard_KPI_Kenh[[#This Row],[Mã kênh]])*
(Table_KPI[Kỳ] &gt;=DATE(YEAR(Pivot!$AC$2),MONTH(Pivot!$AC$2),1))*
(Table_KPI[Kỳ] &lt;=DATE(YEAR(Pivot!$AC$3),MONTH(Pivot!$AC$3)+1,1)-1)
)),0)</f>
        <v>0</v>
      </c>
      <c r="AU6" s="444" t="str">
        <f>IFERROR(Dashboard_KPI_Kenh[[#This Row],[Doanh thu]]/Dashboard_KPI_Kenh[[#This Row],[KPI]],"")</f>
        <v/>
      </c>
      <c r="AV6" s="445" t="str">
        <f>IF(Dashboard_KPI_Kenh[[#This Row],[Tỷ lệ KPI]]&gt;1,Dashboard_KPI_Kenh[[#This Row],[Tỷ lệ KPI]],"")</f>
        <v/>
      </c>
      <c r="AY6" s="132" t="s">
        <v>54</v>
      </c>
      <c r="AZ6"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6" s="132">
        <f>IFERROR(VLOOKUP(Dashboard_KPI_NhanVien[[#This Row],[Mã NV]],_xlfn.ANCHORARRAY($CL$5):_xlfn.ANCHORARRAY($CP$5),5,0),0)</f>
        <v>0</v>
      </c>
      <c r="BB6" s="132">
        <f>IFERROR(VLOOKUP(Dashboard_KPI_NhanVien[[#This Row],[Mã NV]],_xlfn.ANCHORARRAY($CL$5):_xlfn.ANCHORARRAY($CQ$5),6,0),0)</f>
        <v>0</v>
      </c>
      <c r="BC6" s="132" cm="1">
        <f t="array" ref="BC6">IFERROR(
SUM(_xlfn._xlws.FILTER(Table_KPI[Doanh thu KPI],
(Table_KPI[Nhân viên] = Dashboard_KPI_NhanVien[[#This Row],[Mã NV]])*
(Table_KPI[Kỳ] &gt;=DATE(YEAR(Pivot!$AC$2),MONTH(Pivot!$AC$2),1))*
(Table_KPI[Kỳ] &lt;=DATE(YEAR(Pivot!$AC$3),MONTH(Pivot!$AC$3)+1,1)-1)
)),0)</f>
        <v>0</v>
      </c>
      <c r="BD6" s="444" t="str">
        <f>IFERROR(Dashboard_KPI_NhanVien[[#This Row],[Doanh thu]]/Dashboard_KPI_NhanVien[[#This Row],[KPI]],"")</f>
        <v/>
      </c>
      <c r="BE6" s="445" t="str">
        <f>IF(Dashboard_KPI_NhanVien[[#This Row],[Tỷ lệ KPI]]&gt;1,Dashboard_KPI_NhanVien[[#This Row],[Tỷ lệ KPI]],"")</f>
        <v/>
      </c>
      <c r="BH6" s="132" t="s">
        <v>1006</v>
      </c>
      <c r="BI6" s="445" cm="1">
        <f t="array" aca="1" ref="BI6"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0.5355385920271416</v>
      </c>
      <c r="BJ6" s="445" cm="1">
        <f t="array" aca="1" ref="BJ6"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0.5355385920271416</v>
      </c>
      <c r="BK6" s="343"/>
      <c r="BL6" s="343"/>
      <c r="BM6" s="132" t="s">
        <v>58</v>
      </c>
      <c r="BN6" s="445" cm="1">
        <f t="array" aca="1" ref="BN6"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0.30768447837150126</v>
      </c>
      <c r="BO6" s="445" cm="1">
        <f t="array" aca="1" ref="BO6"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0.30768447837150126</v>
      </c>
      <c r="BQ6" s="138">
        <v>2</v>
      </c>
      <c r="BR6" s="138" cm="1">
        <f t="array" ref="BR6">IFERROR(
IF(
ISBLANK($Z$3),
SUM(
_xlfn._xlws.FILTER(Table_Main[CK kênh],
(Table_Main[Ngày lên đơn]&gt;=DATE(YEAR(Pivot!$AC$2),MONTH(Pivot!$AC$2),1))*
(Table_Main[Ngày lên đơn]&lt;=DATE(YEAR(Pivot!$AC$3), MONTH(Pivot!$AC$3)+1,1)-1)*
(MONTH(Table_Main[Ngày lên đơn]) = BQ6)
)),
SUM(
_xlfn._xlws.FILTER(Table_Main[CK kênh],
(Table_Main[Kênh] = $Z$3)*
(Table_Main[Ngày lên đơn]&gt;=DATE(YEAR(Pivot!$AC$2),MONTH(Pivot!$AC$2),1))*
(Table_Main[Ngày lên đơn]&lt;=DATE(YEAR(Pivot!$AC$3), MONTH(Pivot!$AC$3)+1,1)-1)*
(MONTH(Table_Main[Ngày lên đơn]) = BQ6)
))
),0)</f>
        <v>0</v>
      </c>
      <c r="BS6" s="138" cm="1">
        <f t="array" ref="BS6">IFERROR(
IF(ISBLANK($Z$3),
SUM(_xlfn._xlws.FILTER(
Table_DonBan[Doanh thu ròng],
(Table_DonBan[Ngày lập]&gt;=DATE(YEAR(Pivot!$AC$2),MONTH(Pivot!$AC$2),1))*
(Table_DonBan[Ngày lập]&lt;=DATE(YEAR(Pivot!$AC$3), MONTH(Pivot!$AC$3)+1,1)-1)*
(MONTH(Table_DonBan[Ngày lập]) = BQ6)
)),
SUM(_xlfn._xlws.FILTER(
Table_DonBan[Doanh thu ròng],
(Table_DonBan[Kênh] = $Z$3)*
(Table_DonBan[Ngày lập]&gt;=DATE(YEAR(Pivot!$AC$2),MONTH(Pivot!$AC$2),1))*
(Table_DonBan[Ngày lập]&lt;=DATE(YEAR(Pivot!$AC$3), MONTH(Pivot!$AC$3)+1,1)-1)*
(MONTH(Table_DonBan[Ngày lập]) = BQ6)
))
),0)</f>
        <v>0</v>
      </c>
      <c r="BT6" s="144" t="str">
        <f t="shared" ref="BT6:BT16" si="0">IFERROR(BR6/BS6,"")</f>
        <v/>
      </c>
      <c r="BU6" s="143" t="str">
        <f t="shared" ref="BU6:BU16" si="1">IFERROR(BS6/(BT6*100),"")</f>
        <v/>
      </c>
      <c r="BV6" s="138" cm="1">
        <f t="array" ref="BV6">IFERROR(
IF(ISBLANK($AD$3),
SUM(_xlfn._xlws.FILTER(
Table_Main[Hoa hồng],
(Table_Main[Ngày lên đơn]&gt;=DATE(YEAR(Pivot!$AC$2),MONTH(Pivot!$AC$2),1))*
(Table_Main[Ngày lên đơn]&lt;=DATE(YEAR(Pivot!$AC$3), MONTH(Pivot!$AC$3)+1,1)-1)*
(Table_Main[Tháng lên đơn] = BQ6)
)),
SUM(_xlfn._xlws.FILTER(
Table_Main[Hoa hồng],
(Table_Main[NV Bán hàng] = $AD$3)*
(Table_Main[Ngày lên đơn]&gt;=DATE(YEAR(Pivot!$AC$2),MONTH(Pivot!$AC$2),1))*
(Table_Main[Ngày lên đơn]&lt;=DATE(YEAR(Pivot!$AC$3), MONTH(Pivot!$AC$3)+1,1)-1)*
(Table_Main[Tháng lên đơn] = BQ6)
))
),0)</f>
        <v>0</v>
      </c>
      <c r="BW6" s="138" cm="1">
        <f t="array" ref="BW6">IFERROR(
IF(ISBLANK($AD$3),
SUM(_xlfn._xlws.FILTER(
Table_DonBan[Doanh thu ròng],
(Table_DonBan[Ngày lập]&gt;=DATE(YEAR(Pivot!$AC$2),MONTH(Pivot!$AC$2),1))*
(Table_DonBan[Ngày lập]&lt;=DATE(YEAR(Pivot!$AC$3), MONTH(Pivot!$AC$3)+1,1)-1)*
(MONTH(Table_DonBan[Ngày lập]) = BQ6)
)),
SUM(_xlfn._xlws.FILTER(
Table_DonBan[Doanh thu ròng],
(Table_DonBan[Mã NV] = $AD$3)*
(Table_DonBan[Ngày lập]&gt;=DATE(YEAR(Pivot!$AC$2),MONTH(Pivot!$AC$2),1))*
(Table_DonBan[Ngày lập]&lt;=DATE(YEAR(Pivot!$AC$3), MONTH(Pivot!$AC$3)+1,1)-1)*
(MONTH(Table_DonBan[Ngày lập]) = BQ6)
))
),0)</f>
        <v>0</v>
      </c>
      <c r="BX6" s="144" t="str">
        <f t="shared" ref="BX6:BX16" si="2">IFERROR(BV6/BW6,"")</f>
        <v/>
      </c>
      <c r="BY6" s="143" t="str">
        <f t="shared" ref="BY6:BY16" si="3">IFERROR(BW6/(BX6*100),"")</f>
        <v/>
      </c>
      <c r="CH6" s="160"/>
    </row>
    <row r="7" spans="1:96" ht="16.5" x14ac:dyDescent="0.3">
      <c r="A7" s="134"/>
      <c r="B7" s="134"/>
      <c r="C7" s="134"/>
      <c r="AP7" s="132" t="s">
        <v>60</v>
      </c>
      <c r="AQ7"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7" s="132">
        <f>IFERROR(VLOOKUP(Dashboard_KPI_Kenh[[#This Row],[Mã kênh]],_xlfn.ANCHORARRAY($CD$5):_xlfn.ANCHORARRAY($CH$5),5,0),0)</f>
        <v>0</v>
      </c>
      <c r="AS7" s="132">
        <f>IFERROR(VLOOKUP(Dashboard_KPI_Kenh[[#This Row],[Mã kênh]],_xlfn.ANCHORARRAY($CD$5):_xlfn.ANCHORARRAY($CI$5),6,0),0)</f>
        <v>0</v>
      </c>
      <c r="AT7" s="132" cm="1">
        <f t="array" ref="AT7">IFERROR(
SUM(_xlfn._xlws.FILTER(Table_KPI[Doanh thu KPI],
(Table_KPI[Kênh] = Dashboard_KPI_Kenh[[#This Row],[Mã kênh]])*
(Table_KPI[Kỳ] &gt;=DATE(YEAR(Pivot!$AC$2),MONTH(Pivot!$AC$2),1))*
(Table_KPI[Kỳ] &lt;=DATE(YEAR(Pivot!$AC$3),MONTH(Pivot!$AC$3)+1,1)-1)
)),0)</f>
        <v>0</v>
      </c>
      <c r="AU7" s="444" t="str">
        <f>IFERROR(Dashboard_KPI_Kenh[[#This Row],[Doanh thu]]/Dashboard_KPI_Kenh[[#This Row],[KPI]],"")</f>
        <v/>
      </c>
      <c r="AV7" s="445" t="str">
        <f>IF(Dashboard_KPI_Kenh[[#This Row],[Tỷ lệ KPI]]&gt;1,Dashboard_KPI_Kenh[[#This Row],[Tỷ lệ KPI]],"")</f>
        <v/>
      </c>
      <c r="AY7" s="132" t="s">
        <v>65</v>
      </c>
      <c r="AZ7"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7" s="132">
        <f>IFERROR(VLOOKUP(Dashboard_KPI_NhanVien[[#This Row],[Mã NV]],_xlfn.ANCHORARRAY($CL$5):_xlfn.ANCHORARRAY($CP$5),5,0),0)</f>
        <v>0</v>
      </c>
      <c r="BB7" s="132">
        <f>IFERROR(VLOOKUP(Dashboard_KPI_NhanVien[[#This Row],[Mã NV]],_xlfn.ANCHORARRAY($CL$5):_xlfn.ANCHORARRAY($CQ$5),6,0),0)</f>
        <v>0</v>
      </c>
      <c r="BC7" s="132" cm="1">
        <f t="array" ref="BC7">IFERROR(
SUM(_xlfn._xlws.FILTER(Table_KPI[Doanh thu KPI],
(Table_KPI[Nhân viên] = Dashboard_KPI_NhanVien[[#This Row],[Mã NV]])*
(Table_KPI[Kỳ] &gt;=DATE(YEAR(Pivot!$AC$2),MONTH(Pivot!$AC$2),1))*
(Table_KPI[Kỳ] &lt;=DATE(YEAR(Pivot!$AC$3),MONTH(Pivot!$AC$3)+1,1)-1)
)),0)</f>
        <v>0</v>
      </c>
      <c r="BD7" s="444" t="str">
        <f>IFERROR(Dashboard_KPI_NhanVien[[#This Row],[Doanh thu]]/Dashboard_KPI_NhanVien[[#This Row],[KPI]],"")</f>
        <v/>
      </c>
      <c r="BE7" s="445" t="str">
        <f>IF(Dashboard_KPI_NhanVien[[#This Row],[Tỷ lệ KPI]]&gt;1,Dashboard_KPI_NhanVien[[#This Row],[Tỷ lệ KPI]],"")</f>
        <v/>
      </c>
      <c r="BM7" s="132" t="s">
        <v>62</v>
      </c>
      <c r="BN7" s="445" cm="1">
        <f t="array" aca="1" ref="BN7"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0.39592875318066156</v>
      </c>
      <c r="BO7" s="445" cm="1">
        <f t="array" aca="1" ref="BO7"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0.39592875318066156</v>
      </c>
      <c r="BQ7" s="138">
        <v>3</v>
      </c>
      <c r="BR7" s="138" cm="1">
        <f t="array" ref="BR7">IFERROR(
IF(
ISBLANK($Z$3),
SUM(
_xlfn._xlws.FILTER(Table_Main[CK kênh],
(Table_Main[Ngày lên đơn]&gt;=DATE(YEAR(Pivot!$AC$2),MONTH(Pivot!$AC$2),1))*
(Table_Main[Ngày lên đơn]&lt;=DATE(YEAR(Pivot!$AC$3), MONTH(Pivot!$AC$3)+1,1)-1)*
(MONTH(Table_Main[Ngày lên đơn]) = BQ7)
)),
SUM(
_xlfn._xlws.FILTER(Table_Main[CK kênh],
(Table_Main[Kênh] = $Z$3)*
(Table_Main[Ngày lên đơn]&gt;=DATE(YEAR(Pivot!$AC$2),MONTH(Pivot!$AC$2),1))*
(Table_Main[Ngày lên đơn]&lt;=DATE(YEAR(Pivot!$AC$3), MONTH(Pivot!$AC$3)+1,1)-1)*
(MONTH(Table_Main[Ngày lên đơn]) = BQ7)
))
),0)</f>
        <v>0</v>
      </c>
      <c r="BS7" s="138" cm="1">
        <f t="array" ref="BS7">IFERROR(
IF(ISBLANK($Z$3),
SUM(_xlfn._xlws.FILTER(
Table_DonBan[Doanh thu ròng],
(Table_DonBan[Ngày lập]&gt;=DATE(YEAR(Pivot!$AC$2),MONTH(Pivot!$AC$2),1))*
(Table_DonBan[Ngày lập]&lt;=DATE(YEAR(Pivot!$AC$3), MONTH(Pivot!$AC$3)+1,1)-1)*
(MONTH(Table_DonBan[Ngày lập]) = BQ7)
)),
SUM(_xlfn._xlws.FILTER(
Table_DonBan[Doanh thu ròng],
(Table_DonBan[Kênh] = $Z$3)*
(Table_DonBan[Ngày lập]&gt;=DATE(YEAR(Pivot!$AC$2),MONTH(Pivot!$AC$2),1))*
(Table_DonBan[Ngày lập]&lt;=DATE(YEAR(Pivot!$AC$3), MONTH(Pivot!$AC$3)+1,1)-1)*
(MONTH(Table_DonBan[Ngày lập]) = BQ7)
))
),0)</f>
        <v>0</v>
      </c>
      <c r="BT7" s="144" t="str">
        <f t="shared" si="0"/>
        <v/>
      </c>
      <c r="BU7" s="143" t="str">
        <f t="shared" si="1"/>
        <v/>
      </c>
      <c r="BV7" s="138" cm="1">
        <f t="array" ref="BV7">IFERROR(
IF(ISBLANK($AD$3),
SUM(_xlfn._xlws.FILTER(
Table_Main[Hoa hồng],
(Table_Main[Ngày lên đơn]&gt;=DATE(YEAR(Pivot!$AC$2),MONTH(Pivot!$AC$2),1))*
(Table_Main[Ngày lên đơn]&lt;=DATE(YEAR(Pivot!$AC$3), MONTH(Pivot!$AC$3)+1,1)-1)*
(Table_Main[Tháng lên đơn] = BQ7)
)),
SUM(_xlfn._xlws.FILTER(
Table_Main[Hoa hồng],
(Table_Main[NV Bán hàng] = $AD$3)*
(Table_Main[Ngày lên đơn]&gt;=DATE(YEAR(Pivot!$AC$2),MONTH(Pivot!$AC$2),1))*
(Table_Main[Ngày lên đơn]&lt;=DATE(YEAR(Pivot!$AC$3), MONTH(Pivot!$AC$3)+1,1)-1)*
(Table_Main[Tháng lên đơn] = BQ7)
))
),0)</f>
        <v>0</v>
      </c>
      <c r="BW7" s="138" cm="1">
        <f t="array" ref="BW7">IFERROR(
IF(ISBLANK($AD$3),
SUM(_xlfn._xlws.FILTER(
Table_DonBan[Doanh thu ròng],
(Table_DonBan[Ngày lập]&gt;=DATE(YEAR(Pivot!$AC$2),MONTH(Pivot!$AC$2),1))*
(Table_DonBan[Ngày lập]&lt;=DATE(YEAR(Pivot!$AC$3), MONTH(Pivot!$AC$3)+1,1)-1)*
(MONTH(Table_DonBan[Ngày lập]) = BQ7)
)),
SUM(_xlfn._xlws.FILTER(
Table_DonBan[Doanh thu ròng],
(Table_DonBan[Mã NV] = $AD$3)*
(Table_DonBan[Ngày lập]&gt;=DATE(YEAR(Pivot!$AC$2),MONTH(Pivot!$AC$2),1))*
(Table_DonBan[Ngày lập]&lt;=DATE(YEAR(Pivot!$AC$3), MONTH(Pivot!$AC$3)+1,1)-1)*
(MONTH(Table_DonBan[Ngày lập]) = BQ7)
))
),0)</f>
        <v>0</v>
      </c>
      <c r="BX7" s="144" t="str">
        <f t="shared" si="2"/>
        <v/>
      </c>
      <c r="BY7" s="143" t="str">
        <f t="shared" si="3"/>
        <v/>
      </c>
      <c r="CH7" s="160"/>
      <c r="CI7" s="166"/>
    </row>
    <row r="8" spans="1:96" ht="16.5" x14ac:dyDescent="0.3">
      <c r="A8" s="134"/>
      <c r="B8" s="134"/>
      <c r="C8" s="134"/>
      <c r="AP8" s="132" t="s">
        <v>56</v>
      </c>
      <c r="AQ8"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8" s="132">
        <f>IFERROR(VLOOKUP(Dashboard_KPI_Kenh[[#This Row],[Mã kênh]],_xlfn.ANCHORARRAY($CD$5):_xlfn.ANCHORARRAY($CH$5),5,0),0)</f>
        <v>0</v>
      </c>
      <c r="AS8" s="132">
        <f>IFERROR(VLOOKUP(Dashboard_KPI_Kenh[[#This Row],[Mã kênh]],_xlfn.ANCHORARRAY($CD$5):_xlfn.ANCHORARRAY($CI$5),6,0),0)</f>
        <v>0</v>
      </c>
      <c r="AT8" s="132" cm="1">
        <f t="array" ref="AT8">IFERROR(
SUM(_xlfn._xlws.FILTER(Table_KPI[Doanh thu KPI],
(Table_KPI[Kênh] = Dashboard_KPI_Kenh[[#This Row],[Mã kênh]])*
(Table_KPI[Kỳ] &gt;=DATE(YEAR(Pivot!$AC$2),MONTH(Pivot!$AC$2),1))*
(Table_KPI[Kỳ] &lt;=DATE(YEAR(Pivot!$AC$3),MONTH(Pivot!$AC$3)+1,1)-1)
)),0)</f>
        <v>0</v>
      </c>
      <c r="AU8" s="444" t="str">
        <f>IFERROR(Dashboard_KPI_Kenh[[#This Row],[Doanh thu]]/Dashboard_KPI_Kenh[[#This Row],[KPI]],"")</f>
        <v/>
      </c>
      <c r="AV8" s="445" t="str">
        <f>IF(Dashboard_KPI_Kenh[[#This Row],[Tỷ lệ KPI]]&gt;1,Dashboard_KPI_Kenh[[#This Row],[Tỷ lệ KPI]],"")</f>
        <v/>
      </c>
      <c r="AY8" s="132" t="s">
        <v>947</v>
      </c>
      <c r="AZ8"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8" s="132">
        <f>IFERROR(VLOOKUP(Dashboard_KPI_NhanVien[[#This Row],[Mã NV]],_xlfn.ANCHORARRAY($CL$5):_xlfn.ANCHORARRAY($CP$5),5,0),0)</f>
        <v>0</v>
      </c>
      <c r="BB8" s="132">
        <f>IFERROR(VLOOKUP(Dashboard_KPI_NhanVien[[#This Row],[Mã NV]],_xlfn.ANCHORARRAY($CL$5):_xlfn.ANCHORARRAY($CQ$5),6,0),0)</f>
        <v>0</v>
      </c>
      <c r="BC8" s="132" cm="1">
        <f t="array" ref="BC8">IFERROR(
SUM(_xlfn._xlws.FILTER(Table_KPI[Doanh thu KPI],
(Table_KPI[Nhân viên] = Dashboard_KPI_NhanVien[[#This Row],[Mã NV]])*
(Table_KPI[Kỳ] &gt;=DATE(YEAR(Pivot!$AC$2),MONTH(Pivot!$AC$2),1))*
(Table_KPI[Kỳ] &lt;=DATE(YEAR(Pivot!$AC$3),MONTH(Pivot!$AC$3)+1,1)-1)
)),0)</f>
        <v>0</v>
      </c>
      <c r="BD8" s="444" t="str">
        <f>IFERROR(Dashboard_KPI_NhanVien[[#This Row],[Doanh thu]]/Dashboard_KPI_NhanVien[[#This Row],[KPI]],"")</f>
        <v/>
      </c>
      <c r="BE8" s="445" t="str">
        <f>IF(Dashboard_KPI_NhanVien[[#This Row],[Tỷ lệ KPI]]&gt;1,Dashboard_KPI_NhanVien[[#This Row],[Tỷ lệ KPI]],"")</f>
        <v/>
      </c>
      <c r="BQ8" s="138">
        <v>4</v>
      </c>
      <c r="BR8" s="138" cm="1">
        <f t="array" ref="BR8">IFERROR(
IF(
ISBLANK($Z$3),
SUM(
_xlfn._xlws.FILTER(Table_Main[CK kênh],
(Table_Main[Ngày lên đơn]&gt;=DATE(YEAR(Pivot!$AC$2),MONTH(Pivot!$AC$2),1))*
(Table_Main[Ngày lên đơn]&lt;=DATE(YEAR(Pivot!$AC$3), MONTH(Pivot!$AC$3)+1,1)-1)*
(MONTH(Table_Main[Ngày lên đơn]) = BQ8)
)),
SUM(
_xlfn._xlws.FILTER(Table_Main[CK kênh],
(Table_Main[Kênh] = $Z$3)*
(Table_Main[Ngày lên đơn]&gt;=DATE(YEAR(Pivot!$AC$2),MONTH(Pivot!$AC$2),1))*
(Table_Main[Ngày lên đơn]&lt;=DATE(YEAR(Pivot!$AC$3), MONTH(Pivot!$AC$3)+1,1)-1)*
(MONTH(Table_Main[Ngày lên đơn]) = BQ8)
))
),0)</f>
        <v>0</v>
      </c>
      <c r="BS8" s="138" cm="1">
        <f t="array" ref="BS8">IFERROR(
IF(ISBLANK($Z$3),
SUM(_xlfn._xlws.FILTER(
Table_DonBan[Doanh thu ròng],
(Table_DonBan[Ngày lập]&gt;=DATE(YEAR(Pivot!$AC$2),MONTH(Pivot!$AC$2),1))*
(Table_DonBan[Ngày lập]&lt;=DATE(YEAR(Pivot!$AC$3), MONTH(Pivot!$AC$3)+1,1)-1)*
(MONTH(Table_DonBan[Ngày lập]) = BQ8)
)),
SUM(_xlfn._xlws.FILTER(
Table_DonBan[Doanh thu ròng],
(Table_DonBan[Kênh] = $Z$3)*
(Table_DonBan[Ngày lập]&gt;=DATE(YEAR(Pivot!$AC$2),MONTH(Pivot!$AC$2),1))*
(Table_DonBan[Ngày lập]&lt;=DATE(YEAR(Pivot!$AC$3), MONTH(Pivot!$AC$3)+1,1)-1)*
(MONTH(Table_DonBan[Ngày lập]) = BQ8)
))
),0)</f>
        <v>0</v>
      </c>
      <c r="BT8" s="144" t="str">
        <f t="shared" si="0"/>
        <v/>
      </c>
      <c r="BU8" s="143" t="str">
        <f t="shared" si="1"/>
        <v/>
      </c>
      <c r="BV8" s="138" cm="1">
        <f t="array" ref="BV8">IFERROR(
IF(ISBLANK($AD$3),
SUM(_xlfn._xlws.FILTER(
Table_Main[Hoa hồng],
(Table_Main[Ngày lên đơn]&gt;=DATE(YEAR(Pivot!$AC$2),MONTH(Pivot!$AC$2),1))*
(Table_Main[Ngày lên đơn]&lt;=DATE(YEAR(Pivot!$AC$3), MONTH(Pivot!$AC$3)+1,1)-1)*
(Table_Main[Tháng lên đơn] = BQ8)
)),
SUM(_xlfn._xlws.FILTER(
Table_Main[Hoa hồng],
(Table_Main[NV Bán hàng] = $AD$3)*
(Table_Main[Ngày lên đơn]&gt;=DATE(YEAR(Pivot!$AC$2),MONTH(Pivot!$AC$2),1))*
(Table_Main[Ngày lên đơn]&lt;=DATE(YEAR(Pivot!$AC$3), MONTH(Pivot!$AC$3)+1,1)-1)*
(Table_Main[Tháng lên đơn] = BQ8)
))
),0)</f>
        <v>0</v>
      </c>
      <c r="BW8" s="138" cm="1">
        <f t="array" ref="BW8">IFERROR(
IF(ISBLANK($AD$3),
SUM(_xlfn._xlws.FILTER(
Table_DonBan[Doanh thu ròng],
(Table_DonBan[Ngày lập]&gt;=DATE(YEAR(Pivot!$AC$2),MONTH(Pivot!$AC$2),1))*
(Table_DonBan[Ngày lập]&lt;=DATE(YEAR(Pivot!$AC$3), MONTH(Pivot!$AC$3)+1,1)-1)*
(MONTH(Table_DonBan[Ngày lập]) = BQ8)
)),
SUM(_xlfn._xlws.FILTER(
Table_DonBan[Doanh thu ròng],
(Table_DonBan[Mã NV] = $AD$3)*
(Table_DonBan[Ngày lập]&gt;=DATE(YEAR(Pivot!$AC$2),MONTH(Pivot!$AC$2),1))*
(Table_DonBan[Ngày lập]&lt;=DATE(YEAR(Pivot!$AC$3), MONTH(Pivot!$AC$3)+1,1)-1)*
(MONTH(Table_DonBan[Ngày lập]) = BQ8)
))
),0)</f>
        <v>0</v>
      </c>
      <c r="BX8" s="144" t="str">
        <f t="shared" si="2"/>
        <v/>
      </c>
      <c r="BY8" s="143" t="str">
        <f t="shared" si="3"/>
        <v/>
      </c>
      <c r="CH8" s="160"/>
      <c r="CI8" s="166"/>
    </row>
    <row r="9" spans="1:96" ht="16.5" x14ac:dyDescent="0.3">
      <c r="A9" s="134"/>
      <c r="B9" s="134"/>
      <c r="C9" s="134"/>
      <c r="AP9" s="132" t="s">
        <v>951</v>
      </c>
      <c r="AQ9"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9" s="132">
        <f>IFERROR(VLOOKUP(Dashboard_KPI_Kenh[[#This Row],[Mã kênh]],_xlfn.ANCHORARRAY($CD$5):_xlfn.ANCHORARRAY($CH$5),5,0),0)</f>
        <v>0</v>
      </c>
      <c r="AS9" s="132">
        <f>IFERROR(VLOOKUP(Dashboard_KPI_Kenh[[#This Row],[Mã kênh]],_xlfn.ANCHORARRAY($CD$5):_xlfn.ANCHORARRAY($CI$5),6,0),0)</f>
        <v>0</v>
      </c>
      <c r="AT9" s="132" cm="1">
        <f t="array" ref="AT9">IFERROR(
SUM(_xlfn._xlws.FILTER(Table_KPI[Doanh thu KPI],
(Table_KPI[Kênh] = Dashboard_KPI_Kenh[[#This Row],[Mã kênh]])*
(Table_KPI[Kỳ] &gt;=DATE(YEAR(Pivot!$AC$2),MONTH(Pivot!$AC$2),1))*
(Table_KPI[Kỳ] &lt;=DATE(YEAR(Pivot!$AC$3),MONTH(Pivot!$AC$3)+1,1)-1)
)),0)</f>
        <v>0</v>
      </c>
      <c r="AU9" s="444" t="str">
        <f>IFERROR(Dashboard_KPI_Kenh[[#This Row],[Doanh thu]]/Dashboard_KPI_Kenh[[#This Row],[KPI]],"")</f>
        <v/>
      </c>
      <c r="AV9" s="445" t="str">
        <f>IF(Dashboard_KPI_Kenh[[#This Row],[Tỷ lệ KPI]]&gt;1,Dashboard_KPI_Kenh[[#This Row],[Tỷ lệ KPI]],"")</f>
        <v/>
      </c>
      <c r="AY9" s="132" t="s">
        <v>948</v>
      </c>
      <c r="AZ9"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9" s="132">
        <f>IFERROR(VLOOKUP(Dashboard_KPI_NhanVien[[#This Row],[Mã NV]],_xlfn.ANCHORARRAY($CL$5):_xlfn.ANCHORARRAY($CP$5),5,0),0)</f>
        <v>0</v>
      </c>
      <c r="BB9" s="132">
        <f>IFERROR(VLOOKUP(Dashboard_KPI_NhanVien[[#This Row],[Mã NV]],_xlfn.ANCHORARRAY($CL$5):_xlfn.ANCHORARRAY($CQ$5),6,0),0)</f>
        <v>0</v>
      </c>
      <c r="BC9" s="132" cm="1">
        <f t="array" ref="BC9">IFERROR(
SUM(_xlfn._xlws.FILTER(Table_KPI[Doanh thu KPI],
(Table_KPI[Nhân viên] = Dashboard_KPI_NhanVien[[#This Row],[Mã NV]])*
(Table_KPI[Kỳ] &gt;=DATE(YEAR(Pivot!$AC$2),MONTH(Pivot!$AC$2),1))*
(Table_KPI[Kỳ] &lt;=DATE(YEAR(Pivot!$AC$3),MONTH(Pivot!$AC$3)+1,1)-1)
)),0)</f>
        <v>0</v>
      </c>
      <c r="BD9" s="444" t="str">
        <f>IFERROR(Dashboard_KPI_NhanVien[[#This Row],[Doanh thu]]/Dashboard_KPI_NhanVien[[#This Row],[KPI]],"")</f>
        <v/>
      </c>
      <c r="BE9" s="445" t="str">
        <f>IF(Dashboard_KPI_NhanVien[[#This Row],[Tỷ lệ KPI]]&gt;1,Dashboard_KPI_NhanVien[[#This Row],[Tỷ lệ KPI]],"")</f>
        <v/>
      </c>
      <c r="BQ9" s="138">
        <v>5</v>
      </c>
      <c r="BR9" s="138" cm="1">
        <f t="array" ref="BR9">IFERROR(
IF(
ISBLANK($Z$3),
SUM(
_xlfn._xlws.FILTER(Table_Main[CK kênh],
(Table_Main[Ngày lên đơn]&gt;=DATE(YEAR(Pivot!$AC$2),MONTH(Pivot!$AC$2),1))*
(Table_Main[Ngày lên đơn]&lt;=DATE(YEAR(Pivot!$AC$3), MONTH(Pivot!$AC$3)+1,1)-1)*
(MONTH(Table_Main[Ngày lên đơn]) = BQ9)
)),
SUM(
_xlfn._xlws.FILTER(Table_Main[CK kênh],
(Table_Main[Kênh] = $Z$3)*
(Table_Main[Ngày lên đơn]&gt;=DATE(YEAR(Pivot!$AC$2),MONTH(Pivot!$AC$2),1))*
(Table_Main[Ngày lên đơn]&lt;=DATE(YEAR(Pivot!$AC$3), MONTH(Pivot!$AC$3)+1,1)-1)*
(MONTH(Table_Main[Ngày lên đơn]) = BQ9)
))
),0)</f>
        <v>0</v>
      </c>
      <c r="BS9" s="138" cm="1">
        <f t="array" ref="BS9">IFERROR(
IF(ISBLANK($Z$3),
SUM(_xlfn._xlws.FILTER(
Table_DonBan[Doanh thu ròng],
(Table_DonBan[Ngày lập]&gt;=DATE(YEAR(Pivot!$AC$2),MONTH(Pivot!$AC$2),1))*
(Table_DonBan[Ngày lập]&lt;=DATE(YEAR(Pivot!$AC$3), MONTH(Pivot!$AC$3)+1,1)-1)*
(MONTH(Table_DonBan[Ngày lập]) = BQ9)
)),
SUM(_xlfn._xlws.FILTER(
Table_DonBan[Doanh thu ròng],
(Table_DonBan[Kênh] = $Z$3)*
(Table_DonBan[Ngày lập]&gt;=DATE(YEAR(Pivot!$AC$2),MONTH(Pivot!$AC$2),1))*
(Table_DonBan[Ngày lập]&lt;=DATE(YEAR(Pivot!$AC$3), MONTH(Pivot!$AC$3)+1,1)-1)*
(MONTH(Table_DonBan[Ngày lập]) = BQ9)
))
),0)</f>
        <v>0</v>
      </c>
      <c r="BT9" s="144" t="str">
        <f t="shared" si="0"/>
        <v/>
      </c>
      <c r="BU9" s="143" t="str">
        <f t="shared" si="1"/>
        <v/>
      </c>
      <c r="BV9" s="138" cm="1">
        <f t="array" ref="BV9">IFERROR(
IF(ISBLANK($AD$3),
SUM(_xlfn._xlws.FILTER(
Table_Main[Hoa hồng],
(Table_Main[Ngày lên đơn]&gt;=DATE(YEAR(Pivot!$AC$2),MONTH(Pivot!$AC$2),1))*
(Table_Main[Ngày lên đơn]&lt;=DATE(YEAR(Pivot!$AC$3), MONTH(Pivot!$AC$3)+1,1)-1)*
(Table_Main[Tháng lên đơn] = BQ9)
)),
SUM(_xlfn._xlws.FILTER(
Table_Main[Hoa hồng],
(Table_Main[NV Bán hàng] = $AD$3)*
(Table_Main[Ngày lên đơn]&gt;=DATE(YEAR(Pivot!$AC$2),MONTH(Pivot!$AC$2),1))*
(Table_Main[Ngày lên đơn]&lt;=DATE(YEAR(Pivot!$AC$3), MONTH(Pivot!$AC$3)+1,1)-1)*
(Table_Main[Tháng lên đơn] = BQ9)
))
),0)</f>
        <v>0</v>
      </c>
      <c r="BW9" s="138" cm="1">
        <f t="array" ref="BW9">IFERROR(
IF(ISBLANK($AD$3),
SUM(_xlfn._xlws.FILTER(
Table_DonBan[Doanh thu ròng],
(Table_DonBan[Ngày lập]&gt;=DATE(YEAR(Pivot!$AC$2),MONTH(Pivot!$AC$2),1))*
(Table_DonBan[Ngày lập]&lt;=DATE(YEAR(Pivot!$AC$3), MONTH(Pivot!$AC$3)+1,1)-1)*
(MONTH(Table_DonBan[Ngày lập]) = BQ9)
)),
SUM(_xlfn._xlws.FILTER(
Table_DonBan[Doanh thu ròng],
(Table_DonBan[Mã NV] = $AD$3)*
(Table_DonBan[Ngày lập]&gt;=DATE(YEAR(Pivot!$AC$2),MONTH(Pivot!$AC$2),1))*
(Table_DonBan[Ngày lập]&lt;=DATE(YEAR(Pivot!$AC$3), MONTH(Pivot!$AC$3)+1,1)-1)*
(MONTH(Table_DonBan[Ngày lập]) = BQ9)
))
),0)</f>
        <v>0</v>
      </c>
      <c r="BX9" s="144" t="str">
        <f t="shared" si="2"/>
        <v/>
      </c>
      <c r="BY9" s="143" t="str">
        <f t="shared" si="3"/>
        <v/>
      </c>
      <c r="CH9" s="160"/>
      <c r="CI9" s="166"/>
    </row>
    <row r="10" spans="1:96" ht="16.5" x14ac:dyDescent="0.3">
      <c r="A10" s="134"/>
      <c r="B10" s="134"/>
      <c r="C10" s="134"/>
      <c r="AP10" s="132" t="s">
        <v>952</v>
      </c>
      <c r="AQ10"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10" s="132">
        <f>IFERROR(VLOOKUP(Dashboard_KPI_Kenh[[#This Row],[Mã kênh]],_xlfn.ANCHORARRAY($CD$5):_xlfn.ANCHORARRAY($CH$5),5,0),0)</f>
        <v>0</v>
      </c>
      <c r="AS10" s="132">
        <f>IFERROR(VLOOKUP(Dashboard_KPI_Kenh[[#This Row],[Mã kênh]],_xlfn.ANCHORARRAY($CD$5):_xlfn.ANCHORARRAY($CI$5),6,0),0)</f>
        <v>0</v>
      </c>
      <c r="AT10" s="132" cm="1">
        <f t="array" ref="AT10">IFERROR(
SUM(_xlfn._xlws.FILTER(Table_KPI[Doanh thu KPI],
(Table_KPI[Kênh] = Dashboard_KPI_Kenh[[#This Row],[Mã kênh]])*
(Table_KPI[Kỳ] &gt;=DATE(YEAR(Pivot!$AC$2),MONTH(Pivot!$AC$2),1))*
(Table_KPI[Kỳ] &lt;=DATE(YEAR(Pivot!$AC$3),MONTH(Pivot!$AC$3)+1,1)-1)
)),0)</f>
        <v>0</v>
      </c>
      <c r="AU10" s="444" t="str">
        <f>IFERROR(Dashboard_KPI_Kenh[[#This Row],[Doanh thu]]/Dashboard_KPI_Kenh[[#This Row],[KPI]],"")</f>
        <v/>
      </c>
      <c r="AV10" s="445" t="str">
        <f>IF(Dashboard_KPI_Kenh[[#This Row],[Tỷ lệ KPI]]&gt;1,Dashboard_KPI_Kenh[[#This Row],[Tỷ lệ KPI]],"")</f>
        <v/>
      </c>
      <c r="BQ10" s="138">
        <v>6</v>
      </c>
      <c r="BR10" s="138" cm="1">
        <f t="array" ref="BR10">IFERROR(
IF(
ISBLANK($Z$3),
SUM(
_xlfn._xlws.FILTER(Table_Main[CK kênh],
(Table_Main[Ngày lên đơn]&gt;=DATE(YEAR(Pivot!$AC$2),MONTH(Pivot!$AC$2),1))*
(Table_Main[Ngày lên đơn]&lt;=DATE(YEAR(Pivot!$AC$3), MONTH(Pivot!$AC$3)+1,1)-1)*
(MONTH(Table_Main[Ngày lên đơn]) = BQ10)
)),
SUM(
_xlfn._xlws.FILTER(Table_Main[CK kênh],
(Table_Main[Kênh] = $Z$3)*
(Table_Main[Ngày lên đơn]&gt;=DATE(YEAR(Pivot!$AC$2),MONTH(Pivot!$AC$2),1))*
(Table_Main[Ngày lên đơn]&lt;=DATE(YEAR(Pivot!$AC$3), MONTH(Pivot!$AC$3)+1,1)-1)*
(MONTH(Table_Main[Ngày lên đơn]) = BQ10)
))
),0)</f>
        <v>0</v>
      </c>
      <c r="BS10" s="138" cm="1">
        <f t="array" ref="BS10">IFERROR(
IF(ISBLANK($Z$3),
SUM(_xlfn._xlws.FILTER(
Table_DonBan[Doanh thu ròng],
(Table_DonBan[Ngày lập]&gt;=DATE(YEAR(Pivot!$AC$2),MONTH(Pivot!$AC$2),1))*
(Table_DonBan[Ngày lập]&lt;=DATE(YEAR(Pivot!$AC$3), MONTH(Pivot!$AC$3)+1,1)-1)*
(MONTH(Table_DonBan[Ngày lập]) = BQ10)
)),
SUM(_xlfn._xlws.FILTER(
Table_DonBan[Doanh thu ròng],
(Table_DonBan[Kênh] = $Z$3)*
(Table_DonBan[Ngày lập]&gt;=DATE(YEAR(Pivot!$AC$2),MONTH(Pivot!$AC$2),1))*
(Table_DonBan[Ngày lập]&lt;=DATE(YEAR(Pivot!$AC$3), MONTH(Pivot!$AC$3)+1,1)-1)*
(MONTH(Table_DonBan[Ngày lập]) = BQ10)
))
),0)</f>
        <v>0</v>
      </c>
      <c r="BT10" s="144" t="str">
        <f t="shared" si="0"/>
        <v/>
      </c>
      <c r="BU10" s="143" t="str">
        <f t="shared" si="1"/>
        <v/>
      </c>
      <c r="BV10" s="138" cm="1">
        <f t="array" ref="BV10">IFERROR(
IF(ISBLANK($AD$3),
SUM(_xlfn._xlws.FILTER(
Table_Main[Hoa hồng],
(Table_Main[Ngày lên đơn]&gt;=DATE(YEAR(Pivot!$AC$2),MONTH(Pivot!$AC$2),1))*
(Table_Main[Ngày lên đơn]&lt;=DATE(YEAR(Pivot!$AC$3), MONTH(Pivot!$AC$3)+1,1)-1)*
(Table_Main[Tháng lên đơn] = BQ10)
)),
SUM(_xlfn._xlws.FILTER(
Table_Main[Hoa hồng],
(Table_Main[NV Bán hàng] = $AD$3)*
(Table_Main[Ngày lên đơn]&gt;=DATE(YEAR(Pivot!$AC$2),MONTH(Pivot!$AC$2),1))*
(Table_Main[Ngày lên đơn]&lt;=DATE(YEAR(Pivot!$AC$3), MONTH(Pivot!$AC$3)+1,1)-1)*
(Table_Main[Tháng lên đơn] = BQ10)
))
),0)</f>
        <v>0</v>
      </c>
      <c r="BW10" s="138" cm="1">
        <f t="array" ref="BW10">IFERROR(
IF(ISBLANK($AD$3),
SUM(_xlfn._xlws.FILTER(
Table_DonBan[Doanh thu ròng],
(Table_DonBan[Ngày lập]&gt;=DATE(YEAR(Pivot!$AC$2),MONTH(Pivot!$AC$2),1))*
(Table_DonBan[Ngày lập]&lt;=DATE(YEAR(Pivot!$AC$3), MONTH(Pivot!$AC$3)+1,1)-1)*
(MONTH(Table_DonBan[Ngày lập]) = BQ10)
)),
SUM(_xlfn._xlws.FILTER(
Table_DonBan[Doanh thu ròng],
(Table_DonBan[Mã NV] = $AD$3)*
(Table_DonBan[Ngày lập]&gt;=DATE(YEAR(Pivot!$AC$2),MONTH(Pivot!$AC$2),1))*
(Table_DonBan[Ngày lập]&lt;=DATE(YEAR(Pivot!$AC$3), MONTH(Pivot!$AC$3)+1,1)-1)*
(MONTH(Table_DonBan[Ngày lập]) = BQ10)
))
),0)</f>
        <v>0</v>
      </c>
      <c r="BX10" s="144" t="str">
        <f t="shared" si="2"/>
        <v/>
      </c>
      <c r="BY10" s="143" t="str">
        <f t="shared" si="3"/>
        <v/>
      </c>
      <c r="CH10" s="160"/>
      <c r="CI10" s="166"/>
    </row>
    <row r="11" spans="1:96" ht="16.5" x14ac:dyDescent="0.3">
      <c r="A11" s="134"/>
      <c r="B11" s="134"/>
      <c r="C11" s="134"/>
      <c r="BQ11" s="138">
        <v>7</v>
      </c>
      <c r="BR11" s="138" cm="1">
        <f t="array" ref="BR11">IFERROR(
IF(
ISBLANK($Z$3),
SUM(
_xlfn._xlws.FILTER(Table_Main[CK kênh],
(Table_Main[Ngày lên đơn]&gt;=DATE(YEAR(Pivot!$AC$2),MONTH(Pivot!$AC$2),1))*
(Table_Main[Ngày lên đơn]&lt;=DATE(YEAR(Pivot!$AC$3), MONTH(Pivot!$AC$3)+1,1)-1)*
(MONTH(Table_Main[Ngày lên đơn]) = BQ11)
)),
SUM(
_xlfn._xlws.FILTER(Table_Main[CK kênh],
(Table_Main[Kênh] = $Z$3)*
(Table_Main[Ngày lên đơn]&gt;=DATE(YEAR(Pivot!$AC$2),MONTH(Pivot!$AC$2),1))*
(Table_Main[Ngày lên đơn]&lt;=DATE(YEAR(Pivot!$AC$3), MONTH(Pivot!$AC$3)+1,1)-1)*
(MONTH(Table_Main[Ngày lên đơn]) = BQ11)
))
),0)</f>
        <v>0</v>
      </c>
      <c r="BS11" s="138" cm="1">
        <f t="array" ref="BS11">IFERROR(
IF(ISBLANK($Z$3),
SUM(_xlfn._xlws.FILTER(
Table_DonBan[Doanh thu ròng],
(Table_DonBan[Ngày lập]&gt;=DATE(YEAR(Pivot!$AC$2),MONTH(Pivot!$AC$2),1))*
(Table_DonBan[Ngày lập]&lt;=DATE(YEAR(Pivot!$AC$3), MONTH(Pivot!$AC$3)+1,1)-1)*
(MONTH(Table_DonBan[Ngày lập]) = BQ11)
)),
SUM(_xlfn._xlws.FILTER(
Table_DonBan[Doanh thu ròng],
(Table_DonBan[Kênh] = $Z$3)*
(Table_DonBan[Ngày lập]&gt;=DATE(YEAR(Pivot!$AC$2),MONTH(Pivot!$AC$2),1))*
(Table_DonBan[Ngày lập]&lt;=DATE(YEAR(Pivot!$AC$3), MONTH(Pivot!$AC$3)+1,1)-1)*
(MONTH(Table_DonBan[Ngày lập]) = BQ11)
))
),0)</f>
        <v>0</v>
      </c>
      <c r="BT11" s="144" t="str">
        <f t="shared" si="0"/>
        <v/>
      </c>
      <c r="BU11" s="143" t="str">
        <f t="shared" si="1"/>
        <v/>
      </c>
      <c r="BV11" s="138" cm="1">
        <f t="array" ref="BV11">IFERROR(
IF(ISBLANK($AD$3),
SUM(_xlfn._xlws.FILTER(
Table_Main[Hoa hồng],
(Table_Main[Ngày lên đơn]&gt;=DATE(YEAR(Pivot!$AC$2),MONTH(Pivot!$AC$2),1))*
(Table_Main[Ngày lên đơn]&lt;=DATE(YEAR(Pivot!$AC$3), MONTH(Pivot!$AC$3)+1,1)-1)*
(Table_Main[Tháng lên đơn] = BQ11)
)),
SUM(_xlfn._xlws.FILTER(
Table_Main[Hoa hồng],
(Table_Main[NV Bán hàng] = $AD$3)*
(Table_Main[Ngày lên đơn]&gt;=DATE(YEAR(Pivot!$AC$2),MONTH(Pivot!$AC$2),1))*
(Table_Main[Ngày lên đơn]&lt;=DATE(YEAR(Pivot!$AC$3), MONTH(Pivot!$AC$3)+1,1)-1)*
(Table_Main[Tháng lên đơn] = BQ11)
))
),0)</f>
        <v>0</v>
      </c>
      <c r="BW11" s="138" cm="1">
        <f t="array" ref="BW11">IFERROR(
IF(ISBLANK($AD$3),
SUM(_xlfn._xlws.FILTER(
Table_DonBan[Doanh thu ròng],
(Table_DonBan[Ngày lập]&gt;=DATE(YEAR(Pivot!$AC$2),MONTH(Pivot!$AC$2),1))*
(Table_DonBan[Ngày lập]&lt;=DATE(YEAR(Pivot!$AC$3), MONTH(Pivot!$AC$3)+1,1)-1)*
(MONTH(Table_DonBan[Ngày lập]) = BQ11)
)),
SUM(_xlfn._xlws.FILTER(
Table_DonBan[Doanh thu ròng],
(Table_DonBan[Mã NV] = $AD$3)*
(Table_DonBan[Ngày lập]&gt;=DATE(YEAR(Pivot!$AC$2),MONTH(Pivot!$AC$2),1))*
(Table_DonBan[Ngày lập]&lt;=DATE(YEAR(Pivot!$AC$3), MONTH(Pivot!$AC$3)+1,1)-1)*
(MONTH(Table_DonBan[Ngày lập]) = BQ11)
))
),0)</f>
        <v>0</v>
      </c>
      <c r="BX11" s="144" t="str">
        <f t="shared" si="2"/>
        <v/>
      </c>
      <c r="BY11" s="143" t="str">
        <f t="shared" si="3"/>
        <v/>
      </c>
    </row>
    <row r="12" spans="1:96" ht="16.5" x14ac:dyDescent="0.3">
      <c r="A12" s="134"/>
      <c r="B12" s="134"/>
      <c r="C12" s="134"/>
      <c r="BQ12" s="138">
        <v>8</v>
      </c>
      <c r="BR12" s="138" cm="1">
        <f t="array" ref="BR12">IFERROR(
IF(
ISBLANK($Z$3),
SUM(
_xlfn._xlws.FILTER(Table_Main[CK kênh],
(Table_Main[Ngày lên đơn]&gt;=DATE(YEAR(Pivot!$AC$2),MONTH(Pivot!$AC$2),1))*
(Table_Main[Ngày lên đơn]&lt;=DATE(YEAR(Pivot!$AC$3), MONTH(Pivot!$AC$3)+1,1)-1)*
(MONTH(Table_Main[Ngày lên đơn]) = BQ12)
)),
SUM(
_xlfn._xlws.FILTER(Table_Main[CK kênh],
(Table_Main[Kênh] = $Z$3)*
(Table_Main[Ngày lên đơn]&gt;=DATE(YEAR(Pivot!$AC$2),MONTH(Pivot!$AC$2),1))*
(Table_Main[Ngày lên đơn]&lt;=DATE(YEAR(Pivot!$AC$3), MONTH(Pivot!$AC$3)+1,1)-1)*
(MONTH(Table_Main[Ngày lên đơn]) = BQ12)
))
),0)</f>
        <v>0</v>
      </c>
      <c r="BS12" s="138" cm="1">
        <f t="array" ref="BS12">IFERROR(
IF(ISBLANK($Z$3),
SUM(_xlfn._xlws.FILTER(
Table_DonBan[Doanh thu ròng],
(Table_DonBan[Ngày lập]&gt;=DATE(YEAR(Pivot!$AC$2),MONTH(Pivot!$AC$2),1))*
(Table_DonBan[Ngày lập]&lt;=DATE(YEAR(Pivot!$AC$3), MONTH(Pivot!$AC$3)+1,1)-1)*
(MONTH(Table_DonBan[Ngày lập]) = BQ12)
)),
SUM(_xlfn._xlws.FILTER(
Table_DonBan[Doanh thu ròng],
(Table_DonBan[Kênh] = $Z$3)*
(Table_DonBan[Ngày lập]&gt;=DATE(YEAR(Pivot!$AC$2),MONTH(Pivot!$AC$2),1))*
(Table_DonBan[Ngày lập]&lt;=DATE(YEAR(Pivot!$AC$3), MONTH(Pivot!$AC$3)+1,1)-1)*
(MONTH(Table_DonBan[Ngày lập]) = BQ12)
))
),0)</f>
        <v>0</v>
      </c>
      <c r="BT12" s="144" t="str">
        <f t="shared" si="0"/>
        <v/>
      </c>
      <c r="BU12" s="143" t="str">
        <f t="shared" si="1"/>
        <v/>
      </c>
      <c r="BV12" s="138" cm="1">
        <f t="array" ref="BV12">IFERROR(
IF(ISBLANK($AD$3),
SUM(_xlfn._xlws.FILTER(
Table_Main[Hoa hồng],
(Table_Main[Ngày lên đơn]&gt;=DATE(YEAR(Pivot!$AC$2),MONTH(Pivot!$AC$2),1))*
(Table_Main[Ngày lên đơn]&lt;=DATE(YEAR(Pivot!$AC$3), MONTH(Pivot!$AC$3)+1,1)-1)*
(Table_Main[Tháng lên đơn] = BQ12)
)),
SUM(_xlfn._xlws.FILTER(
Table_Main[Hoa hồng],
(Table_Main[NV Bán hàng] = $AD$3)*
(Table_Main[Ngày lên đơn]&gt;=DATE(YEAR(Pivot!$AC$2),MONTH(Pivot!$AC$2),1))*
(Table_Main[Ngày lên đơn]&lt;=DATE(YEAR(Pivot!$AC$3), MONTH(Pivot!$AC$3)+1,1)-1)*
(Table_Main[Tháng lên đơn] = BQ12)
))
),0)</f>
        <v>0</v>
      </c>
      <c r="BW12" s="138" cm="1">
        <f t="array" ref="BW12">IFERROR(
IF(ISBLANK($AD$3),
SUM(_xlfn._xlws.FILTER(
Table_DonBan[Doanh thu ròng],
(Table_DonBan[Ngày lập]&gt;=DATE(YEAR(Pivot!$AC$2),MONTH(Pivot!$AC$2),1))*
(Table_DonBan[Ngày lập]&lt;=DATE(YEAR(Pivot!$AC$3), MONTH(Pivot!$AC$3)+1,1)-1)*
(MONTH(Table_DonBan[Ngày lập]) = BQ12)
)),
SUM(_xlfn._xlws.FILTER(
Table_DonBan[Doanh thu ròng],
(Table_DonBan[Mã NV] = $AD$3)*
(Table_DonBan[Ngày lập]&gt;=DATE(YEAR(Pivot!$AC$2),MONTH(Pivot!$AC$2),1))*
(Table_DonBan[Ngày lập]&lt;=DATE(YEAR(Pivot!$AC$3), MONTH(Pivot!$AC$3)+1,1)-1)*
(MONTH(Table_DonBan[Ngày lập]) = BQ12)
))
),0)</f>
        <v>0</v>
      </c>
      <c r="BX12" s="144" t="str">
        <f t="shared" si="2"/>
        <v/>
      </c>
      <c r="BY12" s="143" t="str">
        <f t="shared" si="3"/>
        <v/>
      </c>
    </row>
    <row r="13" spans="1:96" ht="16.5" x14ac:dyDescent="0.3">
      <c r="A13" s="134"/>
      <c r="B13" s="134"/>
      <c r="C13" s="134"/>
      <c r="BQ13" s="138">
        <v>9</v>
      </c>
      <c r="BR13" s="138" cm="1">
        <f t="array" ref="BR13">IFERROR(
IF(
ISBLANK($Z$3),
SUM(
_xlfn._xlws.FILTER(Table_Main[CK kênh],
(Table_Main[Ngày lên đơn]&gt;=DATE(YEAR(Pivot!$AC$2),MONTH(Pivot!$AC$2),1))*
(Table_Main[Ngày lên đơn]&lt;=DATE(YEAR(Pivot!$AC$3), MONTH(Pivot!$AC$3)+1,1)-1)*
(MONTH(Table_Main[Ngày lên đơn]) = BQ13)
)),
SUM(
_xlfn._xlws.FILTER(Table_Main[CK kênh],
(Table_Main[Kênh] = $Z$3)*
(Table_Main[Ngày lên đơn]&gt;=DATE(YEAR(Pivot!$AC$2),MONTH(Pivot!$AC$2),1))*
(Table_Main[Ngày lên đơn]&lt;=DATE(YEAR(Pivot!$AC$3), MONTH(Pivot!$AC$3)+1,1)-1)*
(MONTH(Table_Main[Ngày lên đơn]) = BQ13)
))
),0)</f>
        <v>0</v>
      </c>
      <c r="BS13" s="138" cm="1">
        <f t="array" ref="BS13">IFERROR(
IF(ISBLANK($Z$3),
SUM(_xlfn._xlws.FILTER(
Table_DonBan[Doanh thu ròng],
(Table_DonBan[Ngày lập]&gt;=DATE(YEAR(Pivot!$AC$2),MONTH(Pivot!$AC$2),1))*
(Table_DonBan[Ngày lập]&lt;=DATE(YEAR(Pivot!$AC$3), MONTH(Pivot!$AC$3)+1,1)-1)*
(MONTH(Table_DonBan[Ngày lập]) = BQ13)
)),
SUM(_xlfn._xlws.FILTER(
Table_DonBan[Doanh thu ròng],
(Table_DonBan[Kênh] = $Z$3)*
(Table_DonBan[Ngày lập]&gt;=DATE(YEAR(Pivot!$AC$2),MONTH(Pivot!$AC$2),1))*
(Table_DonBan[Ngày lập]&lt;=DATE(YEAR(Pivot!$AC$3), MONTH(Pivot!$AC$3)+1,1)-1)*
(MONTH(Table_DonBan[Ngày lập]) = BQ13)
))
),0)</f>
        <v>0</v>
      </c>
      <c r="BT13" s="144" t="str">
        <f t="shared" si="0"/>
        <v/>
      </c>
      <c r="BU13" s="143" t="str">
        <f t="shared" si="1"/>
        <v/>
      </c>
      <c r="BV13" s="138" cm="1">
        <f t="array" ref="BV13">IFERROR(
IF(ISBLANK($AD$3),
SUM(_xlfn._xlws.FILTER(
Table_Main[Hoa hồng],
(Table_Main[Ngày lên đơn]&gt;=DATE(YEAR(Pivot!$AC$2),MONTH(Pivot!$AC$2),1))*
(Table_Main[Ngày lên đơn]&lt;=DATE(YEAR(Pivot!$AC$3), MONTH(Pivot!$AC$3)+1,1)-1)*
(Table_Main[Tháng lên đơn] = BQ13)
)),
SUM(_xlfn._xlws.FILTER(
Table_Main[Hoa hồng],
(Table_Main[NV Bán hàng] = $AD$3)*
(Table_Main[Ngày lên đơn]&gt;=DATE(YEAR(Pivot!$AC$2),MONTH(Pivot!$AC$2),1))*
(Table_Main[Ngày lên đơn]&lt;=DATE(YEAR(Pivot!$AC$3), MONTH(Pivot!$AC$3)+1,1)-1)*
(Table_Main[Tháng lên đơn] = BQ13)
))
),0)</f>
        <v>0</v>
      </c>
      <c r="BW13" s="138" cm="1">
        <f t="array" ref="BW13">IFERROR(
IF(ISBLANK($AD$3),
SUM(_xlfn._xlws.FILTER(
Table_DonBan[Doanh thu ròng],
(Table_DonBan[Ngày lập]&gt;=DATE(YEAR(Pivot!$AC$2),MONTH(Pivot!$AC$2),1))*
(Table_DonBan[Ngày lập]&lt;=DATE(YEAR(Pivot!$AC$3), MONTH(Pivot!$AC$3)+1,1)-1)*
(MONTH(Table_DonBan[Ngày lập]) = BQ13)
)),
SUM(_xlfn._xlws.FILTER(
Table_DonBan[Doanh thu ròng],
(Table_DonBan[Mã NV] = $AD$3)*
(Table_DonBan[Ngày lập]&gt;=DATE(YEAR(Pivot!$AC$2),MONTH(Pivot!$AC$2),1))*
(Table_DonBan[Ngày lập]&lt;=DATE(YEAR(Pivot!$AC$3), MONTH(Pivot!$AC$3)+1,1)-1)*
(MONTH(Table_DonBan[Ngày lập]) = BQ13)
))
),0)</f>
        <v>0</v>
      </c>
      <c r="BX13" s="144" t="str">
        <f t="shared" si="2"/>
        <v/>
      </c>
      <c r="BY13" s="143" t="str">
        <f t="shared" si="3"/>
        <v/>
      </c>
    </row>
    <row r="14" spans="1:96" ht="16.5" x14ac:dyDescent="0.3">
      <c r="A14" s="134"/>
      <c r="B14" s="134"/>
      <c r="C14" s="134"/>
      <c r="BQ14" s="138">
        <v>10</v>
      </c>
      <c r="BR14" s="138" cm="1">
        <f t="array" ref="BR14">IFERROR(
IF(
ISBLANK($Z$3),
SUM(
_xlfn._xlws.FILTER(Table_Main[CK kênh],
(Table_Main[Ngày lên đơn]&gt;=DATE(YEAR(Pivot!$AC$2),MONTH(Pivot!$AC$2),1))*
(Table_Main[Ngày lên đơn]&lt;=DATE(YEAR(Pivot!$AC$3), MONTH(Pivot!$AC$3)+1,1)-1)*
(MONTH(Table_Main[Ngày lên đơn]) = BQ14)
)),
SUM(
_xlfn._xlws.FILTER(Table_Main[CK kênh],
(Table_Main[Kênh] = $Z$3)*
(Table_Main[Ngày lên đơn]&gt;=DATE(YEAR(Pivot!$AC$2),MONTH(Pivot!$AC$2),1))*
(Table_Main[Ngày lên đơn]&lt;=DATE(YEAR(Pivot!$AC$3), MONTH(Pivot!$AC$3)+1,1)-1)*
(MONTH(Table_Main[Ngày lên đơn]) = BQ14)
))
),0)</f>
        <v>0</v>
      </c>
      <c r="BS14" s="138" cm="1">
        <f t="array" ref="BS14">IFERROR(
IF(ISBLANK($Z$3),
SUM(_xlfn._xlws.FILTER(
Table_DonBan[Doanh thu ròng],
(Table_DonBan[Ngày lập]&gt;=DATE(YEAR(Pivot!$AC$2),MONTH(Pivot!$AC$2),1))*
(Table_DonBan[Ngày lập]&lt;=DATE(YEAR(Pivot!$AC$3), MONTH(Pivot!$AC$3)+1,1)-1)*
(MONTH(Table_DonBan[Ngày lập]) = BQ14)
)),
SUM(_xlfn._xlws.FILTER(
Table_DonBan[Doanh thu ròng],
(Table_DonBan[Kênh] = $Z$3)*
(Table_DonBan[Ngày lập]&gt;=DATE(YEAR(Pivot!$AC$2),MONTH(Pivot!$AC$2),1))*
(Table_DonBan[Ngày lập]&lt;=DATE(YEAR(Pivot!$AC$3), MONTH(Pivot!$AC$3)+1,1)-1)*
(MONTH(Table_DonBan[Ngày lập]) = BQ14)
))
),0)</f>
        <v>0</v>
      </c>
      <c r="BT14" s="144" t="str">
        <f t="shared" si="0"/>
        <v/>
      </c>
      <c r="BU14" s="143" t="str">
        <f t="shared" si="1"/>
        <v/>
      </c>
      <c r="BV14" s="138" cm="1">
        <f t="array" ref="BV14">IFERROR(
IF(ISBLANK($AD$3),
SUM(_xlfn._xlws.FILTER(
Table_Main[Hoa hồng],
(Table_Main[Ngày lên đơn]&gt;=DATE(YEAR(Pivot!$AC$2),MONTH(Pivot!$AC$2),1))*
(Table_Main[Ngày lên đơn]&lt;=DATE(YEAR(Pivot!$AC$3), MONTH(Pivot!$AC$3)+1,1)-1)*
(Table_Main[Tháng lên đơn] = BQ14)
)),
SUM(_xlfn._xlws.FILTER(
Table_Main[Hoa hồng],
(Table_Main[NV Bán hàng] = $AD$3)*
(Table_Main[Ngày lên đơn]&gt;=DATE(YEAR(Pivot!$AC$2),MONTH(Pivot!$AC$2),1))*
(Table_Main[Ngày lên đơn]&lt;=DATE(YEAR(Pivot!$AC$3), MONTH(Pivot!$AC$3)+1,1)-1)*
(Table_Main[Tháng lên đơn] = BQ14)
))
),0)</f>
        <v>0</v>
      </c>
      <c r="BW14" s="138" cm="1">
        <f t="array" ref="BW14">IFERROR(
IF(ISBLANK($AD$3),
SUM(_xlfn._xlws.FILTER(
Table_DonBan[Doanh thu ròng],
(Table_DonBan[Ngày lập]&gt;=DATE(YEAR(Pivot!$AC$2),MONTH(Pivot!$AC$2),1))*
(Table_DonBan[Ngày lập]&lt;=DATE(YEAR(Pivot!$AC$3), MONTH(Pivot!$AC$3)+1,1)-1)*
(MONTH(Table_DonBan[Ngày lập]) = BQ14)
)),
SUM(_xlfn._xlws.FILTER(
Table_DonBan[Doanh thu ròng],
(Table_DonBan[Mã NV] = $AD$3)*
(Table_DonBan[Ngày lập]&gt;=DATE(YEAR(Pivot!$AC$2),MONTH(Pivot!$AC$2),1))*
(Table_DonBan[Ngày lập]&lt;=DATE(YEAR(Pivot!$AC$3), MONTH(Pivot!$AC$3)+1,1)-1)*
(MONTH(Table_DonBan[Ngày lập]) = BQ14)
))
),0)</f>
        <v>0</v>
      </c>
      <c r="BX14" s="144" t="str">
        <f t="shared" si="2"/>
        <v/>
      </c>
      <c r="BY14" s="143" t="str">
        <f t="shared" si="3"/>
        <v/>
      </c>
    </row>
    <row r="15" spans="1:96" ht="16.5" x14ac:dyDescent="0.3">
      <c r="A15" s="134"/>
      <c r="B15" s="134"/>
      <c r="C15" s="134"/>
      <c r="BQ15" s="138">
        <v>11</v>
      </c>
      <c r="BR15" s="138" cm="1">
        <f t="array" ref="BR15">IFERROR(
IF(
ISBLANK($Z$3),
SUM(
_xlfn._xlws.FILTER(Table_Main[CK kênh],
(Table_Main[Ngày lên đơn]&gt;=DATE(YEAR(Pivot!$AC$2),MONTH(Pivot!$AC$2),1))*
(Table_Main[Ngày lên đơn]&lt;=DATE(YEAR(Pivot!$AC$3), MONTH(Pivot!$AC$3)+1,1)-1)*
(MONTH(Table_Main[Ngày lên đơn]) = BQ15)
)),
SUM(
_xlfn._xlws.FILTER(Table_Main[CK kênh],
(Table_Main[Kênh] = $Z$3)*
(Table_Main[Ngày lên đơn]&gt;=DATE(YEAR(Pivot!$AC$2),MONTH(Pivot!$AC$2),1))*
(Table_Main[Ngày lên đơn]&lt;=DATE(YEAR(Pivot!$AC$3), MONTH(Pivot!$AC$3)+1,1)-1)*
(MONTH(Table_Main[Ngày lên đơn]) = BQ15)
))
),0)</f>
        <v>0</v>
      </c>
      <c r="BS15" s="138" cm="1">
        <f t="array" ref="BS15">IFERROR(
IF(ISBLANK($Z$3),
SUM(_xlfn._xlws.FILTER(
Table_DonBan[Doanh thu ròng],
(Table_DonBan[Ngày lập]&gt;=DATE(YEAR(Pivot!$AC$2),MONTH(Pivot!$AC$2),1))*
(Table_DonBan[Ngày lập]&lt;=DATE(YEAR(Pivot!$AC$3), MONTH(Pivot!$AC$3)+1,1)-1)*
(MONTH(Table_DonBan[Ngày lập]) = BQ15)
)),
SUM(_xlfn._xlws.FILTER(
Table_DonBan[Doanh thu ròng],
(Table_DonBan[Kênh] = $Z$3)*
(Table_DonBan[Ngày lập]&gt;=DATE(YEAR(Pivot!$AC$2),MONTH(Pivot!$AC$2),1))*
(Table_DonBan[Ngày lập]&lt;=DATE(YEAR(Pivot!$AC$3), MONTH(Pivot!$AC$3)+1,1)-1)*
(MONTH(Table_DonBan[Ngày lập]) = BQ15)
))
),0)</f>
        <v>0</v>
      </c>
      <c r="BT15" s="144" t="str">
        <f t="shared" si="0"/>
        <v/>
      </c>
      <c r="BU15" s="143" t="str">
        <f t="shared" si="1"/>
        <v/>
      </c>
      <c r="BV15" s="138" cm="1">
        <f t="array" ref="BV15">IFERROR(
IF(ISBLANK($AD$3),
SUM(_xlfn._xlws.FILTER(
Table_Main[Hoa hồng],
(Table_Main[Ngày lên đơn]&gt;=DATE(YEAR(Pivot!$AC$2),MONTH(Pivot!$AC$2),1))*
(Table_Main[Ngày lên đơn]&lt;=DATE(YEAR(Pivot!$AC$3), MONTH(Pivot!$AC$3)+1,1)-1)*
(Table_Main[Tháng lên đơn] = BQ15)
)),
SUM(_xlfn._xlws.FILTER(
Table_Main[Hoa hồng],
(Table_Main[NV Bán hàng] = $AD$3)*
(Table_Main[Ngày lên đơn]&gt;=DATE(YEAR(Pivot!$AC$2),MONTH(Pivot!$AC$2),1))*
(Table_Main[Ngày lên đơn]&lt;=DATE(YEAR(Pivot!$AC$3), MONTH(Pivot!$AC$3)+1,1)-1)*
(Table_Main[Tháng lên đơn] = BQ15)
))
),0)</f>
        <v>0</v>
      </c>
      <c r="BW15" s="138" cm="1">
        <f t="array" ref="BW15">IFERROR(
IF(ISBLANK($AD$3),
SUM(_xlfn._xlws.FILTER(
Table_DonBan[Doanh thu ròng],
(Table_DonBan[Ngày lập]&gt;=DATE(YEAR(Pivot!$AC$2),MONTH(Pivot!$AC$2),1))*
(Table_DonBan[Ngày lập]&lt;=DATE(YEAR(Pivot!$AC$3), MONTH(Pivot!$AC$3)+1,1)-1)*
(MONTH(Table_DonBan[Ngày lập]) = BQ15)
)),
SUM(_xlfn._xlws.FILTER(
Table_DonBan[Doanh thu ròng],
(Table_DonBan[Mã NV] = $AD$3)*
(Table_DonBan[Ngày lập]&gt;=DATE(YEAR(Pivot!$AC$2),MONTH(Pivot!$AC$2),1))*
(Table_DonBan[Ngày lập]&lt;=DATE(YEAR(Pivot!$AC$3), MONTH(Pivot!$AC$3)+1,1)-1)*
(MONTH(Table_DonBan[Ngày lập]) = BQ15)
))
),0)</f>
        <v>0</v>
      </c>
      <c r="BX15" s="144" t="str">
        <f t="shared" si="2"/>
        <v/>
      </c>
      <c r="BY15" s="143" t="str">
        <f t="shared" si="3"/>
        <v/>
      </c>
    </row>
    <row r="16" spans="1:96" ht="16.5" x14ac:dyDescent="0.3">
      <c r="A16" s="134"/>
      <c r="B16" s="134"/>
      <c r="C16" s="134"/>
      <c r="BQ16" s="138">
        <v>12</v>
      </c>
      <c r="BR16" s="138" cm="1">
        <f t="array" ref="BR16">IFERROR(
IF(
ISBLANK($Z$3),
SUM(
_xlfn._xlws.FILTER(Table_Main[CK kênh],
(Table_Main[Ngày lên đơn]&gt;=DATE(YEAR(Pivot!$AC$2),MONTH(Pivot!$AC$2),1))*
(Table_Main[Ngày lên đơn]&lt;=DATE(YEAR(Pivot!$AC$3), MONTH(Pivot!$AC$3)+1,1)-1)*
(MONTH(Table_Main[Ngày lên đơn]) = BQ16)
)),
SUM(
_xlfn._xlws.FILTER(Table_Main[CK kênh],
(Table_Main[Kênh] = $Z$3)*
(Table_Main[Ngày lên đơn]&gt;=DATE(YEAR(Pivot!$AC$2),MONTH(Pivot!$AC$2),1))*
(Table_Main[Ngày lên đơn]&lt;=DATE(YEAR(Pivot!$AC$3), MONTH(Pivot!$AC$3)+1,1)-1)*
(MONTH(Table_Main[Ngày lên đơn]) = BQ16)
))
),0)</f>
        <v>0</v>
      </c>
      <c r="BS16" s="138" cm="1">
        <f t="array" ref="BS16">IFERROR(
IF(ISBLANK($Z$3),
SUM(_xlfn._xlws.FILTER(
Table_DonBan[Doanh thu ròng],
(Table_DonBan[Ngày lập]&gt;=DATE(YEAR(Pivot!$AC$2),MONTH(Pivot!$AC$2),1))*
(Table_DonBan[Ngày lập]&lt;=DATE(YEAR(Pivot!$AC$3), MONTH(Pivot!$AC$3)+1,1)-1)*
(MONTH(Table_DonBan[Ngày lập]) = BQ16)
)),
SUM(_xlfn._xlws.FILTER(
Table_DonBan[Doanh thu ròng],
(Table_DonBan[Kênh] = $Z$3)*
(Table_DonBan[Ngày lập]&gt;=DATE(YEAR(Pivot!$AC$2),MONTH(Pivot!$AC$2),1))*
(Table_DonBan[Ngày lập]&lt;=DATE(YEAR(Pivot!$AC$3), MONTH(Pivot!$AC$3)+1,1)-1)*
(MONTH(Table_DonBan[Ngày lập]) = BQ16)
))
),0)</f>
        <v>0</v>
      </c>
      <c r="BT16" s="144" t="str">
        <f t="shared" si="0"/>
        <v/>
      </c>
      <c r="BU16" s="143" t="str">
        <f t="shared" si="1"/>
        <v/>
      </c>
      <c r="BV16" s="138" cm="1">
        <f t="array" ref="BV16">IFERROR(
IF(ISBLANK($AD$3),
SUM(_xlfn._xlws.FILTER(
Table_Main[Hoa hồng],
(Table_Main[Ngày lên đơn]&gt;=DATE(YEAR(Pivot!$AC$2),MONTH(Pivot!$AC$2),1))*
(Table_Main[Ngày lên đơn]&lt;=DATE(YEAR(Pivot!$AC$3), MONTH(Pivot!$AC$3)+1,1)-1)*
(Table_Main[Tháng lên đơn] = BQ16)
)),
SUM(_xlfn._xlws.FILTER(
Table_Main[Hoa hồng],
(Table_Main[NV Bán hàng] = $AD$3)*
(Table_Main[Ngày lên đơn]&gt;=DATE(YEAR(Pivot!$AC$2),MONTH(Pivot!$AC$2),1))*
(Table_Main[Ngày lên đơn]&lt;=DATE(YEAR(Pivot!$AC$3), MONTH(Pivot!$AC$3)+1,1)-1)*
(Table_Main[Tháng lên đơn] = BQ16)
))
),0)</f>
        <v>0</v>
      </c>
      <c r="BW16" s="138" cm="1">
        <f t="array" ref="BW16">IFERROR(
IF(ISBLANK($AD$3),
SUM(_xlfn._xlws.FILTER(
Table_DonBan[Doanh thu ròng],
(Table_DonBan[Ngày lập]&gt;=DATE(YEAR(Pivot!$AC$2),MONTH(Pivot!$AC$2),1))*
(Table_DonBan[Ngày lập]&lt;=DATE(YEAR(Pivot!$AC$3), MONTH(Pivot!$AC$3)+1,1)-1)*
(MONTH(Table_DonBan[Ngày lập]) = BQ16)
)),
SUM(_xlfn._xlws.FILTER(
Table_DonBan[Doanh thu ròng],
(Table_DonBan[Mã NV] = $AD$3)*
(Table_DonBan[Ngày lập]&gt;=DATE(YEAR(Pivot!$AC$2),MONTH(Pivot!$AC$2),1))*
(Table_DonBan[Ngày lập]&lt;=DATE(YEAR(Pivot!$AC$3), MONTH(Pivot!$AC$3)+1,1)-1)*
(MONTH(Table_DonBan[Ngày lập]) = BQ16)
))
),0)</f>
        <v>0</v>
      </c>
      <c r="BX16" s="144" t="str">
        <f t="shared" si="2"/>
        <v/>
      </c>
      <c r="BY16" s="143" t="str">
        <f t="shared" si="3"/>
        <v/>
      </c>
    </row>
    <row r="17" spans="1:79" ht="16.5" x14ac:dyDescent="0.3">
      <c r="A17" s="134"/>
      <c r="B17" s="134"/>
      <c r="C17" s="134"/>
    </row>
    <row r="18" spans="1:79" ht="16.5" x14ac:dyDescent="0.3">
      <c r="A18" s="134"/>
      <c r="B18" s="134"/>
      <c r="C18" s="134"/>
    </row>
    <row r="19" spans="1:79" ht="16.5" x14ac:dyDescent="0.3">
      <c r="A19" s="134"/>
      <c r="B19" s="134"/>
      <c r="C19" s="134"/>
    </row>
    <row r="20" spans="1:79" ht="16.5" x14ac:dyDescent="0.3">
      <c r="A20" s="134"/>
      <c r="BR20" s="138" t="s">
        <v>228</v>
      </c>
      <c r="BS20" s="138" t="s">
        <v>229</v>
      </c>
      <c r="BT20" s="138" t="s">
        <v>230</v>
      </c>
      <c r="BU20" s="138" t="s">
        <v>231</v>
      </c>
      <c r="BV20" s="138" t="s">
        <v>232</v>
      </c>
      <c r="BW20" s="138" t="s">
        <v>233</v>
      </c>
      <c r="BX20" s="138" t="s">
        <v>234</v>
      </c>
      <c r="BY20" s="138" t="s">
        <v>22</v>
      </c>
      <c r="BZ20" s="138" t="s">
        <v>235</v>
      </c>
      <c r="CA20" s="138" t="s">
        <v>22</v>
      </c>
    </row>
    <row r="21" spans="1:79" ht="16.5" x14ac:dyDescent="0.3">
      <c r="A21" s="134"/>
      <c r="BQ21" s="138">
        <v>1</v>
      </c>
      <c r="BR21" s="138" cm="1">
        <f t="array" aca="1" ref="BR21" ca="1">IF(ISBLANK($Z$3),
IFERROR(SUM(_xlfn._xlws.FILTER(Pivot_KPI_DthuCP,
(PIvot_KPI_ThangCP = $BQ21)*
(Pivot_KPI_NhanVienCP = "(blank)")
)),0),
IFERROR(SUM(_xlfn._xlws.FILTER(Pivot_KPI_DthuCP,
(PIvot_KPI_ThangCP = $BQ21)*
(Pivot_KPI_NhanVienCP = "(blank)")*
(Pivot_KPI_KenhCP=$Z$3)
)),0))</f>
        <v>109500000</v>
      </c>
      <c r="BS21" s="138" cm="1">
        <f t="array" aca="1" ref="BS21" ca="1">IF(ISBLANK($Z$3),
IFERROR(SUM(_xlfn._xlws.FILTER(Pivot_KPI_KPICP,
(PIvot_KPI_ThangCP = $BQ21)*
(Pivot_KPI_NhanVienCP = "(blank)")
)),0),
IFERROR(SUM(_xlfn._xlws.FILTER(Pivot_KPI_KPICP,
(PIvot_KPI_ThangCP = $BQ21)*
(Pivot_KPI_NhanVienCP = "(blank)")*
(Pivot_KPI_KenhCP=$Z$3)
)),0))</f>
        <v>300000000</v>
      </c>
      <c r="BT21" s="138">
        <f ca="1">BR21/BS21</f>
        <v>0.36499999999999999</v>
      </c>
      <c r="BU21" s="138" cm="1">
        <f t="array" aca="1" ref="BU21" ca="1">IF(ISBLANK($AD$3),
IFERROR(SUM(_xlfn._xlws.FILTER(Pivot_KPI_DthuCP,
(PIvot_KPI_ThangCP = $BQ21)*
(Pivot_KPI_KenhCP = "(blank)")
)),0),
IFERROR(SUM(_xlfn._xlws.FILTER(Pivot_KPI_DthuCP,
(PIvot_KPI_ThangCP = $BQ21)*
(Pivot_KPI_KenhCP = "(blank)")*
(Pivot_KPI_NhanVienCP=$AD$3)
)),0))</f>
        <v>330700000</v>
      </c>
      <c r="BV21" s="138" cm="1">
        <f t="array" aca="1" ref="BV21" ca="1">IF(ISBLANK($AD$3),
IFERROR(SUM(_xlfn._xlws.FILTER(Pivot_KPI_KPICP,
(PIvot_KPI_ThangCP = $BQ21)*
(Pivot_KPI_KenhCP = "(blank)")
)),0),
IFERROR(SUM(_xlfn._xlws.FILTER(Pivot_KPI_KPICP,
(PIvot_KPI_ThangCP = $BQ21)*
(Pivot_KPI_KenhCP = "(blank)")*
(Pivot_KPI_NhanVienCP=$AD$3)
)),0))</f>
        <v>450000000</v>
      </c>
      <c r="BW21" s="138">
        <f ca="1">BU21/BV21</f>
        <v>0.73488888888888892</v>
      </c>
      <c r="BX21" s="138">
        <f ca="1">IF(BT21&gt;=1,BR21,0)</f>
        <v>0</v>
      </c>
      <c r="BY21" s="138" t="str">
        <f ca="1">IFERROR(TEXT(BX21,LOOKUP(BX21,Pivot!$B$6:$B$12,Pivot!$C$6:$C$12)),"")</f>
        <v/>
      </c>
      <c r="BZ21" s="138">
        <f ca="1">IF(BW21&gt;=1,BU21,0)</f>
        <v>0</v>
      </c>
      <c r="CA21" s="138" t="str">
        <f ca="1">IFERROR(TEXT(BZ21,LOOKUP(BZ21,Pivot!$B$6:$B$12,Pivot!$C$6:$C$12)),"")</f>
        <v/>
      </c>
    </row>
    <row r="22" spans="1:79" ht="16.5" x14ac:dyDescent="0.3">
      <c r="A22" s="134"/>
      <c r="BQ22" s="138">
        <v>2</v>
      </c>
      <c r="BR22" s="138" cm="1">
        <f t="array" aca="1" ref="BR22" ca="1">IF(ISBLANK($Z$3),
IFERROR(SUM(_xlfn._xlws.FILTER(Pivot_KPI_DthuCP,
(PIvot_KPI_ThangCP = $BQ22)*
(Pivot_KPI_NhanVienCP = "(blank)")
)),0),
IFERROR(SUM(_xlfn._xlws.FILTER(Pivot_KPI_DthuCP,
(PIvot_KPI_ThangCP = $BQ22)*
(Pivot_KPI_NhanVienCP = "(blank)")*
(Pivot_KPI_KenhCP=$Z$3)
)),0))</f>
        <v>0</v>
      </c>
      <c r="BS22" s="138" cm="1">
        <f t="array" aca="1" ref="BS22" ca="1">IF(ISBLANK($Z$3),
IFERROR(SUM(_xlfn._xlws.FILTER(Pivot_KPI_KPICP,
(PIvot_KPI_ThangCP = $BQ22)*
(Pivot_KPI_NhanVienCP = "(blank)")
)),0),
IFERROR(SUM(_xlfn._xlws.FILTER(Pivot_KPI_KPICP,
(PIvot_KPI_ThangCP = $BQ22)*
(Pivot_KPI_NhanVienCP = "(blank)")*
(Pivot_KPI_KenhCP=$Z$3)
)),0))</f>
        <v>300000000</v>
      </c>
      <c r="BT22" s="138">
        <f t="shared" ref="BT22:BT33" ca="1" si="4">BR22/BS22</f>
        <v>0</v>
      </c>
      <c r="BU22" s="138" cm="1">
        <f t="array" aca="1" ref="BU22" ca="1">IF(ISBLANK($AD$3),
IFERROR(SUM(_xlfn._xlws.FILTER(Pivot_KPI_DthuCP,
(PIvot_KPI_ThangCP = $BQ22)*
(Pivot_KPI_KenhCP = "(blank)")
)),0),
IFERROR(SUM(_xlfn._xlws.FILTER(Pivot_KPI_DthuCP,
(PIvot_KPI_ThangCP = $BQ22)*
(Pivot_KPI_KenhCP = "(blank)")*
(Pivot_KPI_NhanVienCP=$AD$3)
)),0))</f>
        <v>343900000</v>
      </c>
      <c r="BV22" s="138" cm="1">
        <f t="array" aca="1" ref="BV22" ca="1">IF(ISBLANK($AD$3),
IFERROR(SUM(_xlfn._xlws.FILTER(Pivot_KPI_KPICP,
(PIvot_KPI_ThangCP = $BQ22)*
(Pivot_KPI_KenhCP = "(blank)")
)),0),
IFERROR(SUM(_xlfn._xlws.FILTER(Pivot_KPI_KPICP,
(PIvot_KPI_ThangCP = $BQ22)*
(Pivot_KPI_KenhCP = "(blank)")*
(Pivot_KPI_NhanVienCP=$AD$3)
)),0))</f>
        <v>450000000</v>
      </c>
      <c r="BW22" s="138">
        <f t="shared" ref="BW22:BW33" ca="1" si="5">BU22/BV22</f>
        <v>0.76422222222222225</v>
      </c>
      <c r="BX22" s="138">
        <f t="shared" ref="BX22:BX33" ca="1" si="6">IF(BT22&gt;=1,BR22,0)</f>
        <v>0</v>
      </c>
      <c r="BY22" s="138" t="str">
        <f ca="1">IFERROR(TEXT(BX22,LOOKUP(BX22,Pivot!$B$6:$B$12,Pivot!$C$6:$C$12)),"")</f>
        <v/>
      </c>
      <c r="BZ22" s="138">
        <f t="shared" ref="BZ22:BZ33" ca="1" si="7">IF(BW22&gt;=1,BU22,0)</f>
        <v>0</v>
      </c>
      <c r="CA22" s="138" t="str">
        <f ca="1">IFERROR(TEXT(BZ22,LOOKUP(BZ22,Pivot!$B$6:$B$12,Pivot!$C$6:$C$12)),"")</f>
        <v/>
      </c>
    </row>
    <row r="23" spans="1:79" ht="16.5" x14ac:dyDescent="0.3">
      <c r="A23" s="134"/>
      <c r="BQ23" s="138">
        <v>3</v>
      </c>
      <c r="BR23" s="138" cm="1">
        <f t="array" aca="1" ref="BR23" ca="1">IF(ISBLANK($Z$3),
IFERROR(SUM(_xlfn._xlws.FILTER(Pivot_KPI_DthuCP,
(PIvot_KPI_ThangCP = $BQ23)*
(Pivot_KPI_NhanVienCP = "(blank)")
)),0),
IFERROR(SUM(_xlfn._xlws.FILTER(Pivot_KPI_DthuCP,
(PIvot_KPI_ThangCP = $BQ23)*
(Pivot_KPI_NhanVienCP = "(blank)")*
(Pivot_KPI_KenhCP=$Z$3)
)),0))</f>
        <v>113500000</v>
      </c>
      <c r="BS23" s="138" cm="1">
        <f t="array" aca="1" ref="BS23" ca="1">IF(ISBLANK($Z$3),
IFERROR(SUM(_xlfn._xlws.FILTER(Pivot_KPI_KPICP,
(PIvot_KPI_ThangCP = $BQ23)*
(Pivot_KPI_NhanVienCP = "(blank)")
)),0),
IFERROR(SUM(_xlfn._xlws.FILTER(Pivot_KPI_KPICP,
(PIvot_KPI_ThangCP = $BQ23)*
(Pivot_KPI_NhanVienCP = "(blank)")*
(Pivot_KPI_KenhCP=$Z$3)
)),0))</f>
        <v>300000000</v>
      </c>
      <c r="BT23" s="138">
        <f t="shared" ca="1" si="4"/>
        <v>0.37833333333333335</v>
      </c>
      <c r="BU23" s="138" cm="1">
        <f t="array" aca="1" ref="BU23" ca="1">IF(ISBLANK($AD$3),
IFERROR(SUM(_xlfn._xlws.FILTER(Pivot_KPI_DthuCP,
(PIvot_KPI_ThangCP = $BQ23)*
(Pivot_KPI_KenhCP = "(blank)")
)),0),
IFERROR(SUM(_xlfn._xlws.FILTER(Pivot_KPI_DthuCP,
(PIvot_KPI_ThangCP = $BQ23)*
(Pivot_KPI_KenhCP = "(blank)")*
(Pivot_KPI_NhanVienCP=$AD$3)
)),0))</f>
        <v>338900000</v>
      </c>
      <c r="BV23" s="138" cm="1">
        <f t="array" aca="1" ref="BV23" ca="1">IF(ISBLANK($AD$3),
IFERROR(SUM(_xlfn._xlws.FILTER(Pivot_KPI_KPICP,
(PIvot_KPI_ThangCP = $BQ23)*
(Pivot_KPI_KenhCP = "(blank)")
)),0),
IFERROR(SUM(_xlfn._xlws.FILTER(Pivot_KPI_KPICP,
(PIvot_KPI_ThangCP = $BQ23)*
(Pivot_KPI_KenhCP = "(blank)")*
(Pivot_KPI_NhanVienCP=$AD$3)
)),0))</f>
        <v>450000000</v>
      </c>
      <c r="BW23" s="138">
        <f t="shared" ca="1" si="5"/>
        <v>0.75311111111111106</v>
      </c>
      <c r="BX23" s="138">
        <f t="shared" ca="1" si="6"/>
        <v>0</v>
      </c>
      <c r="BY23" s="138" t="str">
        <f ca="1">IFERROR(TEXT(BX23,LOOKUP(BX23,Pivot!$B$6:$B$12,Pivot!$C$6:$C$12)),"")</f>
        <v/>
      </c>
      <c r="BZ23" s="138">
        <f t="shared" ca="1" si="7"/>
        <v>0</v>
      </c>
      <c r="CA23" s="138" t="str">
        <f ca="1">IFERROR(TEXT(BZ23,LOOKUP(BZ23,Pivot!$B$6:$B$12,Pivot!$C$6:$C$12)),"")</f>
        <v/>
      </c>
    </row>
    <row r="24" spans="1:79" ht="16.5" x14ac:dyDescent="0.3">
      <c r="A24" s="134"/>
      <c r="BQ24" s="138">
        <v>4</v>
      </c>
      <c r="BR24" s="138" cm="1">
        <f t="array" aca="1" ref="BR24" ca="1">IF(ISBLANK($Z$3),
IFERROR(SUM(_xlfn._xlws.FILTER(Pivot_KPI_DthuCP,
(PIvot_KPI_ThangCP = $BQ24)*
(Pivot_KPI_NhanVienCP = "(blank)")
)),0),
IFERROR(SUM(_xlfn._xlws.FILTER(Pivot_KPI_DthuCP,
(PIvot_KPI_ThangCP = $BQ24)*
(Pivot_KPI_NhanVienCP = "(blank)")*
(Pivot_KPI_KenhCP=$Z$3)
)),0))</f>
        <v>121300000</v>
      </c>
      <c r="BS24" s="138" cm="1">
        <f t="array" aca="1" ref="BS24" ca="1">IF(ISBLANK($Z$3),
IFERROR(SUM(_xlfn._xlws.FILTER(Pivot_KPI_KPICP,
(PIvot_KPI_ThangCP = $BQ24)*
(Pivot_KPI_NhanVienCP = "(blank)")
)),0),
IFERROR(SUM(_xlfn._xlws.FILTER(Pivot_KPI_KPICP,
(PIvot_KPI_ThangCP = $BQ24)*
(Pivot_KPI_NhanVienCP = "(blank)")*
(Pivot_KPI_KenhCP=$Z$3)
)),0))</f>
        <v>300000000</v>
      </c>
      <c r="BT24" s="138">
        <f t="shared" ca="1" si="4"/>
        <v>0.40433333333333332</v>
      </c>
      <c r="BU24" s="138" cm="1">
        <f t="array" aca="1" ref="BU24" ca="1">IF(ISBLANK($AD$3),
IFERROR(SUM(_xlfn._xlws.FILTER(Pivot_KPI_DthuCP,
(PIvot_KPI_ThangCP = $BQ24)*
(Pivot_KPI_KenhCP = "(blank)")
)),0),
IFERROR(SUM(_xlfn._xlws.FILTER(Pivot_KPI_DthuCP,
(PIvot_KPI_ThangCP = $BQ24)*
(Pivot_KPI_KenhCP = "(blank)")*
(Pivot_KPI_NhanVienCP=$AD$3)
)),0))</f>
        <v>355100000</v>
      </c>
      <c r="BV24" s="138" cm="1">
        <f t="array" aca="1" ref="BV24" ca="1">IF(ISBLANK($AD$3),
IFERROR(SUM(_xlfn._xlws.FILTER(Pivot_KPI_KPICP,
(PIvot_KPI_ThangCP = $BQ24)*
(Pivot_KPI_KenhCP = "(blank)")
)),0),
IFERROR(SUM(_xlfn._xlws.FILTER(Pivot_KPI_KPICP,
(PIvot_KPI_ThangCP = $BQ24)*
(Pivot_KPI_KenhCP = "(blank)")*
(Pivot_KPI_NhanVienCP=$AD$3)
)),0))</f>
        <v>450000000</v>
      </c>
      <c r="BW24" s="138">
        <f t="shared" ca="1" si="5"/>
        <v>0.7891111111111111</v>
      </c>
      <c r="BX24" s="138">
        <f t="shared" ca="1" si="6"/>
        <v>0</v>
      </c>
      <c r="BY24" s="138" t="str">
        <f ca="1">IFERROR(TEXT(BX24,LOOKUP(BX24,Pivot!$B$6:$B$12,Pivot!$C$6:$C$12)),"")</f>
        <v/>
      </c>
      <c r="BZ24" s="138">
        <f t="shared" ca="1" si="7"/>
        <v>0</v>
      </c>
      <c r="CA24" s="138" t="str">
        <f ca="1">IFERROR(TEXT(BZ24,LOOKUP(BZ24,Pivot!$B$6:$B$12,Pivot!$C$6:$C$12)),"")</f>
        <v/>
      </c>
    </row>
    <row r="25" spans="1:79" ht="16.5" x14ac:dyDescent="0.3">
      <c r="A25" s="134"/>
      <c r="BQ25" s="138">
        <v>5</v>
      </c>
      <c r="BR25" s="138" cm="1">
        <f t="array" aca="1" ref="BR25" ca="1">IF(ISBLANK($Z$3),
IFERROR(SUM(_xlfn._xlws.FILTER(Pivot_KPI_DthuCP,
(PIvot_KPI_ThangCP = $BQ25)*
(Pivot_KPI_NhanVienCP = "(blank)")
)),0),
IFERROR(SUM(_xlfn._xlws.FILTER(Pivot_KPI_DthuCP,
(PIvot_KPI_ThangCP = $BQ25)*
(Pivot_KPI_NhanVienCP = "(blank)")*
(Pivot_KPI_KenhCP=$Z$3)
)),0))</f>
        <v>249800000</v>
      </c>
      <c r="BS25" s="138" cm="1">
        <f t="array" aca="1" ref="BS25" ca="1">IF(ISBLANK($Z$3),
IFERROR(SUM(_xlfn._xlws.FILTER(Pivot_KPI_KPICP,
(PIvot_KPI_ThangCP = $BQ25)*
(Pivot_KPI_NhanVienCP = "(blank)")
)),0),
IFERROR(SUM(_xlfn._xlws.FILTER(Pivot_KPI_KPICP,
(PIvot_KPI_ThangCP = $BQ25)*
(Pivot_KPI_NhanVienCP = "(blank)")*
(Pivot_KPI_KenhCP=$Z$3)
)),0))</f>
        <v>300000000</v>
      </c>
      <c r="BT25" s="138">
        <f t="shared" ca="1" si="4"/>
        <v>0.83266666666666667</v>
      </c>
      <c r="BU25" s="138" cm="1">
        <f t="array" aca="1" ref="BU25" ca="1">IF(ISBLANK($AD$3),
IFERROR(SUM(_xlfn._xlws.FILTER(Pivot_KPI_DthuCP,
(PIvot_KPI_ThangCP = $BQ25)*
(Pivot_KPI_KenhCP = "(blank)")
)),0),
IFERROR(SUM(_xlfn._xlws.FILTER(Pivot_KPI_DthuCP,
(PIvot_KPI_ThangCP = $BQ25)*
(Pivot_KPI_KenhCP = "(blank)")*
(Pivot_KPI_NhanVienCP=$AD$3)
)),0))</f>
        <v>376400000</v>
      </c>
      <c r="BV25" s="138" cm="1">
        <f t="array" aca="1" ref="BV25" ca="1">IF(ISBLANK($AD$3),
IFERROR(SUM(_xlfn._xlws.FILTER(Pivot_KPI_KPICP,
(PIvot_KPI_ThangCP = $BQ25)*
(Pivot_KPI_KenhCP = "(blank)")
)),0),
IFERROR(SUM(_xlfn._xlws.FILTER(Pivot_KPI_KPICP,
(PIvot_KPI_ThangCP = $BQ25)*
(Pivot_KPI_KenhCP = "(blank)")*
(Pivot_KPI_NhanVienCP=$AD$3)
)),0))</f>
        <v>450000000</v>
      </c>
      <c r="BW25" s="138">
        <f t="shared" ca="1" si="5"/>
        <v>0.83644444444444443</v>
      </c>
      <c r="BX25" s="138">
        <f t="shared" ca="1" si="6"/>
        <v>0</v>
      </c>
      <c r="BY25" s="138" t="str">
        <f ca="1">IFERROR(TEXT(BX25,LOOKUP(BX25,Pivot!$B$6:$B$12,Pivot!$C$6:$C$12)),"")</f>
        <v/>
      </c>
      <c r="BZ25" s="138">
        <f t="shared" ca="1" si="7"/>
        <v>0</v>
      </c>
      <c r="CA25" s="138" t="str">
        <f ca="1">IFERROR(TEXT(BZ25,LOOKUP(BZ25,Pivot!$B$6:$B$12,Pivot!$C$6:$C$12)),"")</f>
        <v/>
      </c>
    </row>
    <row r="26" spans="1:79" ht="16.5" x14ac:dyDescent="0.3">
      <c r="A26" s="134"/>
      <c r="BQ26" s="138">
        <v>6</v>
      </c>
      <c r="BR26" s="138" cm="1">
        <f t="array" aca="1" ref="BR26" ca="1">IF(ISBLANK($Z$3),
IFERROR(SUM(_xlfn._xlws.FILTER(Pivot_KPI_DthuCP,
(PIvot_KPI_ThangCP = $BQ26)*
(Pivot_KPI_NhanVienCP = "(blank)")
)),0),
IFERROR(SUM(_xlfn._xlws.FILTER(Pivot_KPI_DthuCP,
(PIvot_KPI_ThangCP = $BQ26)*
(Pivot_KPI_NhanVienCP = "(blank)")*
(Pivot_KPI_KenhCP=$Z$3)
)),0))</f>
        <v>0</v>
      </c>
      <c r="BS26" s="138" cm="1">
        <f t="array" aca="1" ref="BS26" ca="1">IF(ISBLANK($Z$3),
IFERROR(SUM(_xlfn._xlws.FILTER(Pivot_KPI_KPICP,
(PIvot_KPI_ThangCP = $BQ26)*
(Pivot_KPI_NhanVienCP = "(blank)")
)),0),
IFERROR(SUM(_xlfn._xlws.FILTER(Pivot_KPI_KPICP,
(PIvot_KPI_ThangCP = $BQ26)*
(Pivot_KPI_NhanVienCP = "(blank)")*
(Pivot_KPI_KenhCP=$Z$3)
)),0))</f>
        <v>300000000</v>
      </c>
      <c r="BT26" s="138">
        <f t="shared" ca="1" si="4"/>
        <v>0</v>
      </c>
      <c r="BU26" s="138" cm="1">
        <f t="array" aca="1" ref="BU26" ca="1">IF(ISBLANK($AD$3),
IFERROR(SUM(_xlfn._xlws.FILTER(Pivot_KPI_DthuCP,
(PIvot_KPI_ThangCP = $BQ26)*
(Pivot_KPI_KenhCP = "(blank)")
)),0),
IFERROR(SUM(_xlfn._xlws.FILTER(Pivot_KPI_DthuCP,
(PIvot_KPI_ThangCP = $BQ26)*
(Pivot_KPI_KenhCP = "(blank)")*
(Pivot_KPI_NhanVienCP=$AD$3)
)),0))</f>
        <v>384600000</v>
      </c>
      <c r="BV26" s="138" cm="1">
        <f t="array" aca="1" ref="BV26" ca="1">IF(ISBLANK($AD$3),
IFERROR(SUM(_xlfn._xlws.FILTER(Pivot_KPI_KPICP,
(PIvot_KPI_ThangCP = $BQ26)*
(Pivot_KPI_KenhCP = "(blank)")
)),0),
IFERROR(SUM(_xlfn._xlws.FILTER(Pivot_KPI_KPICP,
(PIvot_KPI_ThangCP = $BQ26)*
(Pivot_KPI_KenhCP = "(blank)")*
(Pivot_KPI_NhanVienCP=$AD$3)
)),0))</f>
        <v>450000000</v>
      </c>
      <c r="BW26" s="138">
        <f t="shared" ca="1" si="5"/>
        <v>0.85466666666666669</v>
      </c>
      <c r="BX26" s="138">
        <f t="shared" ca="1" si="6"/>
        <v>0</v>
      </c>
      <c r="BY26" s="138" t="str">
        <f ca="1">IFERROR(TEXT(BX26,LOOKUP(BX26,Pivot!$B$6:$B$12,Pivot!$C$6:$C$12)),"")</f>
        <v/>
      </c>
      <c r="BZ26" s="138">
        <f t="shared" ca="1" si="7"/>
        <v>0</v>
      </c>
      <c r="CA26" s="138" t="str">
        <f ca="1">IFERROR(TEXT(BZ26,LOOKUP(BZ26,Pivot!$B$6:$B$12,Pivot!$C$6:$C$12)),"")</f>
        <v/>
      </c>
    </row>
    <row r="27" spans="1:79" ht="16.5" x14ac:dyDescent="0.3">
      <c r="A27" s="134"/>
      <c r="BQ27" s="138">
        <v>7</v>
      </c>
      <c r="BR27" s="138" cm="1">
        <f t="array" aca="1" ref="BR27" ca="1">IF(ISBLANK($Z$3),
IFERROR(SUM(_xlfn._xlws.FILTER(Pivot_KPI_DthuCP,
(PIvot_KPI_ThangCP = $BQ27)*
(Pivot_KPI_NhanVienCP = "(blank)")
)),0),
IFERROR(SUM(_xlfn._xlws.FILTER(Pivot_KPI_DthuCP,
(PIvot_KPI_ThangCP = $BQ27)*
(Pivot_KPI_NhanVienCP = "(blank)")*
(Pivot_KPI_KenhCP=$Z$3)
)),0))</f>
        <v>131700000</v>
      </c>
      <c r="BS27" s="138" cm="1">
        <f t="array" aca="1" ref="BS27" ca="1">IF(ISBLANK($Z$3),
IFERROR(SUM(_xlfn._xlws.FILTER(Pivot_KPI_KPICP,
(PIvot_KPI_ThangCP = $BQ27)*
(Pivot_KPI_NhanVienCP = "(blank)")
)),0),
IFERROR(SUM(_xlfn._xlws.FILTER(Pivot_KPI_KPICP,
(PIvot_KPI_ThangCP = $BQ27)*
(Pivot_KPI_NhanVienCP = "(blank)")*
(Pivot_KPI_KenhCP=$Z$3)
)),0))</f>
        <v>300000000</v>
      </c>
      <c r="BT27" s="138">
        <f t="shared" ca="1" si="4"/>
        <v>0.439</v>
      </c>
      <c r="BU27" s="138" cm="1">
        <f t="array" aca="1" ref="BU27" ca="1">IF(ISBLANK($AD$3),
IFERROR(SUM(_xlfn._xlws.FILTER(Pivot_KPI_DthuCP,
(PIvot_KPI_ThangCP = $BQ27)*
(Pivot_KPI_KenhCP = "(blank)")
)),0),
IFERROR(SUM(_xlfn._xlws.FILTER(Pivot_KPI_DthuCP,
(PIvot_KPI_ThangCP = $BQ27)*
(Pivot_KPI_KenhCP = "(blank)")*
(Pivot_KPI_NhanVienCP=$AD$3)
)),0))</f>
        <v>396900000</v>
      </c>
      <c r="BV27" s="138" cm="1">
        <f t="array" aca="1" ref="BV27" ca="1">IF(ISBLANK($AD$3),
IFERROR(SUM(_xlfn._xlws.FILTER(Pivot_KPI_KPICP,
(PIvot_KPI_ThangCP = $BQ27)*
(Pivot_KPI_KenhCP = "(blank)")
)),0),
IFERROR(SUM(_xlfn._xlws.FILTER(Pivot_KPI_KPICP,
(PIvot_KPI_ThangCP = $BQ27)*
(Pivot_KPI_KenhCP = "(blank)")*
(Pivot_KPI_NhanVienCP=$AD$3)
)),0))</f>
        <v>450000000</v>
      </c>
      <c r="BW27" s="138">
        <f t="shared" ca="1" si="5"/>
        <v>0.88200000000000001</v>
      </c>
      <c r="BX27" s="138">
        <f t="shared" ca="1" si="6"/>
        <v>0</v>
      </c>
      <c r="BY27" s="138" t="str">
        <f ca="1">IFERROR(TEXT(BX27,LOOKUP(BX27,Pivot!$B$6:$B$12,Pivot!$C$6:$C$12)),"")</f>
        <v/>
      </c>
      <c r="BZ27" s="138">
        <f t="shared" ca="1" si="7"/>
        <v>0</v>
      </c>
      <c r="CA27" s="138" t="str">
        <f ca="1">IFERROR(TEXT(BZ27,LOOKUP(BZ27,Pivot!$B$6:$B$12,Pivot!$C$6:$C$12)),"")</f>
        <v/>
      </c>
    </row>
    <row r="28" spans="1:79" ht="16.5" x14ac:dyDescent="0.3">
      <c r="A28" s="134"/>
      <c r="BQ28" s="138">
        <v>8</v>
      </c>
      <c r="BR28" s="138" cm="1">
        <f t="array" aca="1" ref="BR28" ca="1">IF(ISBLANK($Z$3),
IFERROR(SUM(_xlfn._xlws.FILTER(Pivot_KPI_DthuCP,
(PIvot_KPI_ThangCP = $BQ28)*
(Pivot_KPI_NhanVienCP = "(blank)")
)),0),
IFERROR(SUM(_xlfn._xlws.FILTER(Pivot_KPI_DthuCP,
(PIvot_KPI_ThangCP = $BQ28)*
(Pivot_KPI_NhanVienCP = "(blank)")*
(Pivot_KPI_KenhCP=$Z$3)
)),0))</f>
        <v>0</v>
      </c>
      <c r="BS28" s="138" cm="1">
        <f t="array" aca="1" ref="BS28" ca="1">IF(ISBLANK($Z$3),
IFERROR(SUM(_xlfn._xlws.FILTER(Pivot_KPI_KPICP,
(PIvot_KPI_ThangCP = $BQ28)*
(Pivot_KPI_NhanVienCP = "(blank)")
)),0),
IFERROR(SUM(_xlfn._xlws.FILTER(Pivot_KPI_KPICP,
(PIvot_KPI_ThangCP = $BQ28)*
(Pivot_KPI_NhanVienCP = "(blank)")*
(Pivot_KPI_KenhCP=$Z$3)
)),0))</f>
        <v>300000000</v>
      </c>
      <c r="BT28" s="138">
        <f t="shared" ca="1" si="4"/>
        <v>0</v>
      </c>
      <c r="BU28" s="138" cm="1">
        <f t="array" aca="1" ref="BU28" ca="1">IF(ISBLANK($AD$3),
IFERROR(SUM(_xlfn._xlws.FILTER(Pivot_KPI_DthuCP,
(PIvot_KPI_ThangCP = $BQ28)*
(Pivot_KPI_KenhCP = "(blank)")
)),0),
IFERROR(SUM(_xlfn._xlws.FILTER(Pivot_KPI_DthuCP,
(PIvot_KPI_ThangCP = $BQ28)*
(Pivot_KPI_KenhCP = "(blank)")*
(Pivot_KPI_NhanVienCP=$AD$3)
)),0))</f>
        <v>421000000</v>
      </c>
      <c r="BV28" s="138" cm="1">
        <f t="array" aca="1" ref="BV28" ca="1">IF(ISBLANK($AD$3),
IFERROR(SUM(_xlfn._xlws.FILTER(Pivot_KPI_KPICP,
(PIvot_KPI_ThangCP = $BQ28)*
(Pivot_KPI_KenhCP = "(blank)")
)),0),
IFERROR(SUM(_xlfn._xlws.FILTER(Pivot_KPI_KPICP,
(PIvot_KPI_ThangCP = $BQ28)*
(Pivot_KPI_KenhCP = "(blank)")*
(Pivot_KPI_NhanVienCP=$AD$3)
)),0))</f>
        <v>450000000</v>
      </c>
      <c r="BW28" s="138">
        <f t="shared" ca="1" si="5"/>
        <v>0.93555555555555558</v>
      </c>
      <c r="BX28" s="138">
        <f t="shared" ca="1" si="6"/>
        <v>0</v>
      </c>
      <c r="BY28" s="138" t="str">
        <f ca="1">IFERROR(TEXT(BX28,LOOKUP(BX28,Pivot!$B$6:$B$12,Pivot!$C$6:$C$12)),"")</f>
        <v/>
      </c>
      <c r="BZ28" s="138">
        <f t="shared" ca="1" si="7"/>
        <v>0</v>
      </c>
      <c r="CA28" s="138" t="str">
        <f ca="1">IFERROR(TEXT(BZ28,LOOKUP(BZ28,Pivot!$B$6:$B$12,Pivot!$C$6:$C$12)),"")</f>
        <v/>
      </c>
    </row>
    <row r="29" spans="1:79" ht="16.5" x14ac:dyDescent="0.3">
      <c r="A29" s="134"/>
      <c r="BQ29" s="138">
        <v>9</v>
      </c>
      <c r="BR29" s="138" cm="1">
        <f t="array" aca="1" ref="BR29" ca="1">IF(ISBLANK($Z$3),
IFERROR(SUM(_xlfn._xlws.FILTER(Pivot_KPI_DthuCP,
(PIvot_KPI_ThangCP = $BQ29)*
(Pivot_KPI_NhanVienCP = "(blank)")
)),0),
IFERROR(SUM(_xlfn._xlws.FILTER(Pivot_KPI_DthuCP,
(PIvot_KPI_ThangCP = $BQ29)*
(Pivot_KPI_NhanVienCP = "(blank)")*
(Pivot_KPI_KenhCP=$Z$3)
)),0))</f>
        <v>292800000</v>
      </c>
      <c r="BS29" s="138" cm="1">
        <f t="array" aca="1" ref="BS29" ca="1">IF(ISBLANK($Z$3),
IFERROR(SUM(_xlfn._xlws.FILTER(Pivot_KPI_KPICP,
(PIvot_KPI_ThangCP = $BQ29)*
(Pivot_KPI_NhanVienCP = "(blank)")
)),0),
IFERROR(SUM(_xlfn._xlws.FILTER(Pivot_KPI_KPICP,
(PIvot_KPI_ThangCP = $BQ29)*
(Pivot_KPI_NhanVienCP = "(blank)")*
(Pivot_KPI_KenhCP=$Z$3)
)),0))</f>
        <v>300000000</v>
      </c>
      <c r="BT29" s="138">
        <f t="shared" ca="1" si="4"/>
        <v>0.97599999999999998</v>
      </c>
      <c r="BU29" s="138" cm="1">
        <f t="array" aca="1" ref="BU29" ca="1">IF(ISBLANK($AD$3),
IFERROR(SUM(_xlfn._xlws.FILTER(Pivot_KPI_DthuCP,
(PIvot_KPI_ThangCP = $BQ29)*
(Pivot_KPI_KenhCP = "(blank)")
)),0),
IFERROR(SUM(_xlfn._xlws.FILTER(Pivot_KPI_DthuCP,
(PIvot_KPI_ThangCP = $BQ29)*
(Pivot_KPI_KenhCP = "(blank)")*
(Pivot_KPI_NhanVienCP=$AD$3)
)),0))</f>
        <v>442700000</v>
      </c>
      <c r="BV29" s="138" cm="1">
        <f t="array" aca="1" ref="BV29" ca="1">IF(ISBLANK($AD$3),
IFERROR(SUM(_xlfn._xlws.FILTER(Pivot_KPI_KPICP,
(PIvot_KPI_ThangCP = $BQ29)*
(Pivot_KPI_KenhCP = "(blank)")
)),0),
IFERROR(SUM(_xlfn._xlws.FILTER(Pivot_KPI_KPICP,
(PIvot_KPI_ThangCP = $BQ29)*
(Pivot_KPI_KenhCP = "(blank)")*
(Pivot_KPI_NhanVienCP=$AD$3)
)),0))</f>
        <v>450000000</v>
      </c>
      <c r="BW29" s="138">
        <f t="shared" ca="1" si="5"/>
        <v>0.98377777777777775</v>
      </c>
      <c r="BX29" s="138">
        <f t="shared" ca="1" si="6"/>
        <v>0</v>
      </c>
      <c r="BY29" s="138" t="str">
        <f ca="1">IFERROR(TEXT(BX29,LOOKUP(BX29,Pivot!$B$6:$B$12,Pivot!$C$6:$C$12)),"")</f>
        <v/>
      </c>
      <c r="BZ29" s="138">
        <f t="shared" ca="1" si="7"/>
        <v>0</v>
      </c>
      <c r="CA29" s="138" t="str">
        <f ca="1">IFERROR(TEXT(BZ29,LOOKUP(BZ29,Pivot!$B$6:$B$12,Pivot!$C$6:$C$12)),"")</f>
        <v/>
      </c>
    </row>
    <row r="30" spans="1:79" ht="16.5" x14ac:dyDescent="0.3">
      <c r="A30" s="134"/>
      <c r="BQ30" s="138">
        <v>10</v>
      </c>
      <c r="BR30" s="138" cm="1">
        <f t="array" aca="1" ref="BR30" ca="1">IF(ISBLANK($Z$3),
IFERROR(SUM(_xlfn._xlws.FILTER(Pivot_KPI_DthuCP,
(PIvot_KPI_ThangCP = $BQ30)*
(Pivot_KPI_NhanVienCP = "(blank)")
)),0),
IFERROR(SUM(_xlfn._xlws.FILTER(Pivot_KPI_DthuCP,
(PIvot_KPI_ThangCP = $BQ30)*
(Pivot_KPI_NhanVienCP = "(blank)")*
(Pivot_KPI_KenhCP=$Z$3)
)),0))</f>
        <v>314300000</v>
      </c>
      <c r="BS30" s="138" cm="1">
        <f t="array" aca="1" ref="BS30" ca="1">IF(ISBLANK($Z$3),
IFERROR(SUM(_xlfn._xlws.FILTER(Pivot_KPI_KPICP,
(PIvot_KPI_ThangCP = $BQ30)*
(Pivot_KPI_NhanVienCP = "(blank)")
)),0),
IFERROR(SUM(_xlfn._xlws.FILTER(Pivot_KPI_KPICP,
(PIvot_KPI_ThangCP = $BQ30)*
(Pivot_KPI_NhanVienCP = "(blank)")*
(Pivot_KPI_KenhCP=$Z$3)
)),0))</f>
        <v>300000000</v>
      </c>
      <c r="BT30" s="138">
        <f t="shared" ca="1" si="4"/>
        <v>1.0476666666666667</v>
      </c>
      <c r="BU30" s="138" cm="1">
        <f t="array" aca="1" ref="BU30" ca="1">IF(ISBLANK($AD$3),
IFERROR(SUM(_xlfn._xlws.FILTER(Pivot_KPI_DthuCP,
(PIvot_KPI_ThangCP = $BQ30)*
(Pivot_KPI_KenhCP = "(blank)")
)),0),
IFERROR(SUM(_xlfn._xlws.FILTER(Pivot_KPI_DthuCP,
(PIvot_KPI_ThangCP = $BQ30)*
(Pivot_KPI_KenhCP = "(blank)")*
(Pivot_KPI_NhanVienCP=$AD$3)
)),0))</f>
        <v>469300000</v>
      </c>
      <c r="BV30" s="138" cm="1">
        <f t="array" aca="1" ref="BV30" ca="1">IF(ISBLANK($AD$3),
IFERROR(SUM(_xlfn._xlws.FILTER(Pivot_KPI_KPICP,
(PIvot_KPI_ThangCP = $BQ30)*
(Pivot_KPI_KenhCP = "(blank)")
)),0),
IFERROR(SUM(_xlfn._xlws.FILTER(Pivot_KPI_KPICP,
(PIvot_KPI_ThangCP = $BQ30)*
(Pivot_KPI_KenhCP = "(blank)")*
(Pivot_KPI_NhanVienCP=$AD$3)
)),0))</f>
        <v>450000000</v>
      </c>
      <c r="BW30" s="138">
        <f t="shared" ca="1" si="5"/>
        <v>1.042888888888889</v>
      </c>
      <c r="BX30" s="138">
        <f t="shared" ca="1" si="6"/>
        <v>314300000</v>
      </c>
      <c r="BY30" s="138" t="str">
        <f ca="1">IFERROR(TEXT(BX30,LOOKUP(BX30,Pivot!$B$6:$B$12,Pivot!$C$6:$C$12)),"")</f>
        <v>314.3tr</v>
      </c>
      <c r="BZ30" s="138">
        <f t="shared" ca="1" si="7"/>
        <v>469300000</v>
      </c>
      <c r="CA30" s="138" t="str">
        <f ca="1">IFERROR(TEXT(BZ30,LOOKUP(BZ30,Pivot!$B$6:$B$12,Pivot!$C$6:$C$12)),"")</f>
        <v>469.3tr</v>
      </c>
    </row>
    <row r="31" spans="1:79" ht="16.5" x14ac:dyDescent="0.3">
      <c r="A31" s="134"/>
      <c r="BQ31" s="138">
        <v>11</v>
      </c>
      <c r="BR31" s="138" cm="1">
        <f t="array" aca="1" ref="BR31" ca="1">IF(ISBLANK($Z$3),
IFERROR(SUM(_xlfn._xlws.FILTER(Pivot_KPI_DthuCP,
(PIvot_KPI_ThangCP = $BQ31)*
(Pivot_KPI_NhanVienCP = "(blank)")
)),0),
IFERROR(SUM(_xlfn._xlws.FILTER(Pivot_KPI_DthuCP,
(PIvot_KPI_ThangCP = $BQ31)*
(Pivot_KPI_NhanVienCP = "(blank)")*
(Pivot_KPI_KenhCP=$Z$3)
)),0))</f>
        <v>0</v>
      </c>
      <c r="BS31" s="138" cm="1">
        <f t="array" aca="1" ref="BS31" ca="1">IF(ISBLANK($Z$3),
IFERROR(SUM(_xlfn._xlws.FILTER(Pivot_KPI_KPICP,
(PIvot_KPI_ThangCP = $BQ31)*
(Pivot_KPI_NhanVienCP = "(blank)")
)),0),
IFERROR(SUM(_xlfn._xlws.FILTER(Pivot_KPI_KPICP,
(PIvot_KPI_ThangCP = $BQ31)*
(Pivot_KPI_NhanVienCP = "(blank)")*
(Pivot_KPI_KenhCP=$Z$3)
)),0))</f>
        <v>300000000</v>
      </c>
      <c r="BT31" s="138">
        <f t="shared" ca="1" si="4"/>
        <v>0</v>
      </c>
      <c r="BU31" s="138" cm="1">
        <f t="array" aca="1" ref="BU31" ca="1">IF(ISBLANK($AD$3),
IFERROR(SUM(_xlfn._xlws.FILTER(Pivot_KPI_DthuCP,
(PIvot_KPI_ThangCP = $BQ31)*
(Pivot_KPI_KenhCP = "(blank)")
)),0),
IFERROR(SUM(_xlfn._xlws.FILTER(Pivot_KPI_DthuCP,
(PIvot_KPI_ThangCP = $BQ31)*
(Pivot_KPI_KenhCP = "(blank)")*
(Pivot_KPI_NhanVienCP=$AD$3)
)),0))</f>
        <v>492200000</v>
      </c>
      <c r="BV31" s="138" cm="1">
        <f t="array" aca="1" ref="BV31" ca="1">IF(ISBLANK($AD$3),
IFERROR(SUM(_xlfn._xlws.FILTER(Pivot_KPI_KPICP,
(PIvot_KPI_ThangCP = $BQ31)*
(Pivot_KPI_KenhCP = "(blank)")
)),0),
IFERROR(SUM(_xlfn._xlws.FILTER(Pivot_KPI_KPICP,
(PIvot_KPI_ThangCP = $BQ31)*
(Pivot_KPI_KenhCP = "(blank)")*
(Pivot_KPI_NhanVienCP=$AD$3)
)),0))</f>
        <v>450000000</v>
      </c>
      <c r="BW31" s="138">
        <f t="shared" ca="1" si="5"/>
        <v>1.0937777777777777</v>
      </c>
      <c r="BX31" s="138">
        <f t="shared" ca="1" si="6"/>
        <v>0</v>
      </c>
      <c r="BY31" s="138" t="str">
        <f ca="1">IFERROR(TEXT(BX31,LOOKUP(BX31,Pivot!$B$6:$B$12,Pivot!$C$6:$C$12)),"")</f>
        <v/>
      </c>
      <c r="BZ31" s="138">
        <f t="shared" ca="1" si="7"/>
        <v>492200000</v>
      </c>
      <c r="CA31" s="138" t="str">
        <f ca="1">IFERROR(TEXT(BZ31,LOOKUP(BZ31,Pivot!$B$6:$B$12,Pivot!$C$6:$C$12)),"")</f>
        <v>492.2tr</v>
      </c>
    </row>
    <row r="32" spans="1:79" ht="16.5" x14ac:dyDescent="0.3">
      <c r="A32" s="134"/>
      <c r="BQ32" s="138">
        <v>12</v>
      </c>
      <c r="BR32" s="138" cm="1">
        <f t="array" aca="1" ref="BR32" ca="1">IF(ISBLANK($Z$3),
IFERROR(SUM(_xlfn._xlws.FILTER(Pivot_KPI_DthuCP,
(PIvot_KPI_ThangCP = $BQ32)*
(Pivot_KPI_NhanVienCP = "(blank)")
)),0),
IFERROR(SUM(_xlfn._xlws.FILTER(Pivot_KPI_DthuCP,
(PIvot_KPI_ThangCP = $BQ32)*
(Pivot_KPI_NhanVienCP = "(blank)")*
(Pivot_KPI_KenhCP=$Z$3)
)),0))</f>
        <v>162900000</v>
      </c>
      <c r="BS32" s="138" cm="1">
        <f t="array" aca="1" ref="BS32" ca="1">IF(ISBLANK($Z$3),
IFERROR(SUM(_xlfn._xlws.FILTER(Pivot_KPI_KPICP,
(PIvot_KPI_ThangCP = $BQ32)*
(Pivot_KPI_NhanVienCP = "(blank)")
)),0),
IFERROR(SUM(_xlfn._xlws.FILTER(Pivot_KPI_KPICP,
(PIvot_KPI_ThangCP = $BQ32)*
(Pivot_KPI_NhanVienCP = "(blank)")*
(Pivot_KPI_KenhCP=$Z$3)
)),0))</f>
        <v>300000000</v>
      </c>
      <c r="BT32" s="138">
        <f t="shared" ca="1" si="4"/>
        <v>0.54300000000000004</v>
      </c>
      <c r="BU32" s="138" cm="1">
        <f t="array" aca="1" ref="BU32" ca="1">IF(ISBLANK($AD$3),
IFERROR(SUM(_xlfn._xlws.FILTER(Pivot_KPI_DthuCP,
(PIvot_KPI_ThangCP = $BQ32)*
(Pivot_KPI_KenhCP = "(blank)")
)),0),
IFERROR(SUM(_xlfn._xlws.FILTER(Pivot_KPI_DthuCP,
(PIvot_KPI_ThangCP = $BQ32)*
(Pivot_KPI_KenhCP = "(blank)")*
(Pivot_KPI_NhanVienCP=$AD$3)
)),0))</f>
        <v>510800000</v>
      </c>
      <c r="BV32" s="138" cm="1">
        <f t="array" aca="1" ref="BV32" ca="1">IF(ISBLANK($AD$3),
IFERROR(SUM(_xlfn._xlws.FILTER(Pivot_KPI_KPICP,
(PIvot_KPI_ThangCP = $BQ32)*
(Pivot_KPI_KenhCP = "(blank)")
)),0),
IFERROR(SUM(_xlfn._xlws.FILTER(Pivot_KPI_KPICP,
(PIvot_KPI_ThangCP = $BQ32)*
(Pivot_KPI_KenhCP = "(blank)")*
(Pivot_KPI_NhanVienCP=$AD$3)
)),0))</f>
        <v>450000000</v>
      </c>
      <c r="BW32" s="138">
        <f t="shared" ca="1" si="5"/>
        <v>1.1351111111111112</v>
      </c>
      <c r="BX32" s="138">
        <f t="shared" ca="1" si="6"/>
        <v>0</v>
      </c>
      <c r="BY32" s="138" t="str">
        <f ca="1">IFERROR(TEXT(BX32,LOOKUP(BX32,Pivot!$B$6:$B$12,Pivot!$C$6:$C$12)),"")</f>
        <v/>
      </c>
      <c r="BZ32" s="138">
        <f t="shared" ca="1" si="7"/>
        <v>510800000</v>
      </c>
      <c r="CA32" s="138" t="str">
        <f ca="1">IFERROR(TEXT(BZ32,LOOKUP(BZ32,Pivot!$B$6:$B$12,Pivot!$C$6:$C$12)),"")</f>
        <v>510.8tr</v>
      </c>
    </row>
    <row r="33" spans="1:79" ht="16.5" x14ac:dyDescent="0.3">
      <c r="A33" s="134"/>
      <c r="BQ33" s="138" t="s">
        <v>55</v>
      </c>
      <c r="BR33" s="138" cm="1">
        <f t="array" aca="1" ref="BR33" ca="1">IF(ISBLANK($Z$3),
IFERROR(SUM(_xlfn._xlws.FILTER(Pivot_KPI_DthuCP,
(PIvot_KPI_ThangCP = $BQ33)*
(Pivot_KPI_NhanVienCP = "(blank)")
)),0),
IFERROR(SUM(_xlfn._xlws.FILTER(Pivot_KPI_DthuCP,
(PIvot_KPI_ThangCP = $BQ33)*
(Pivot_KPI_NhanVienCP = "(blank)")*
(Pivot_KPI_KenhCP=$Z$3)
)),0))</f>
        <v>1495800000</v>
      </c>
      <c r="BS33" s="138" cm="1">
        <f t="array" aca="1" ref="BS33" ca="1">IF(ISBLANK($Z$3),
IFERROR(SUM(_xlfn._xlws.FILTER(Pivot_KPI_KPICP,
(PIvot_KPI_ThangCP = $BQ33)*
(Pivot_KPI_NhanVienCP = "(blank)")
)),0),
IFERROR(SUM(_xlfn._xlws.FILTER(Pivot_KPI_KPICP,
(PIvot_KPI_ThangCP = $BQ33)*
(Pivot_KPI_NhanVienCP = "(blank)")*
(Pivot_KPI_KenhCP=$Z$3)
)),0))</f>
        <v>2000000000</v>
      </c>
      <c r="BT33" s="160">
        <f t="shared" ca="1" si="4"/>
        <v>0.74790000000000001</v>
      </c>
      <c r="BU33" s="138" cm="1">
        <f t="array" aca="1" ref="BU33" ca="1">IF(ISBLANK($AD$3),
IFERROR(SUM(_xlfn._xlws.FILTER(Pivot_KPI_DthuCP,
(PIvot_KPI_ThangCP = $BQ33)*
(Pivot_KPI_KenhCP = "(blank)")
)),0),
IFERROR(SUM(_xlfn._xlws.FILTER(Pivot_KPI_DthuCP,
(PIvot_KPI_ThangCP = $BQ33)*
(Pivot_KPI_KenhCP = "(blank)")*
(Pivot_KPI_NhanVienCP=$AD$3)
)),0))</f>
        <v>4862500000</v>
      </c>
      <c r="BV33" s="138" cm="1">
        <f t="array" aca="1" ref="BV33" ca="1">IF(ISBLANK($AD$3),
IFERROR(SUM(_xlfn._xlws.FILTER(Pivot_KPI_KPICP,
(PIvot_KPI_ThangCP = $BQ33)*
(Pivot_KPI_KenhCP = "(blank)")
)),0),
IFERROR(SUM(_xlfn._xlws.FILTER(Pivot_KPI_KPICP,
(PIvot_KPI_ThangCP = $BQ33)*
(Pivot_KPI_KenhCP = "(blank)")*
(Pivot_KPI_NhanVienCP=$AD$3)
)),0))</f>
        <v>5400000000</v>
      </c>
      <c r="BW33" s="160">
        <f t="shared" ca="1" si="5"/>
        <v>0.90046296296296291</v>
      </c>
      <c r="BX33" s="138">
        <f t="shared" ca="1" si="6"/>
        <v>0</v>
      </c>
      <c r="BY33" s="138" t="str">
        <f ca="1">IFERROR(TEXT(BX33,LOOKUP(BX33,Pivot!$B$6:$B$12,Pivot!$C$6:$C$12)),"")</f>
        <v/>
      </c>
      <c r="BZ33" s="138">
        <f t="shared" ca="1" si="7"/>
        <v>0</v>
      </c>
      <c r="CA33" s="138" t="str">
        <f ca="1">IFERROR(TEXT(BZ33,LOOKUP(BZ33,Pivot!$B$6:$B$12,Pivot!$C$6:$C$12)),"")</f>
        <v/>
      </c>
    </row>
    <row r="34" spans="1:79" ht="16.5" x14ac:dyDescent="0.3">
      <c r="A34" s="134"/>
    </row>
    <row r="35" spans="1:79" ht="16.5" x14ac:dyDescent="0.3">
      <c r="A35" s="134"/>
    </row>
    <row r="36" spans="1:79" ht="16.5" x14ac:dyDescent="0.3">
      <c r="A36" s="134"/>
    </row>
    <row r="37" spans="1:79" ht="16.5" x14ac:dyDescent="0.3">
      <c r="A37" s="134"/>
    </row>
    <row r="38" spans="1:79" ht="16.5" x14ac:dyDescent="0.3">
      <c r="A38" s="134"/>
    </row>
    <row r="39" spans="1:79" ht="16.5" x14ac:dyDescent="0.3">
      <c r="A39" s="134"/>
    </row>
    <row r="40" spans="1:79" ht="16.5" x14ac:dyDescent="0.3">
      <c r="A40" s="134"/>
    </row>
    <row r="41" spans="1:79" ht="16.5" x14ac:dyDescent="0.3">
      <c r="A41" s="134"/>
    </row>
    <row r="42" spans="1:79" ht="16.5" x14ac:dyDescent="0.3">
      <c r="A42" s="134"/>
    </row>
    <row r="43" spans="1:79" ht="16.5" x14ac:dyDescent="0.3">
      <c r="A43" s="134"/>
    </row>
    <row r="44" spans="1:79" ht="16.5" x14ac:dyDescent="0.3">
      <c r="A44" s="134"/>
    </row>
    <row r="45" spans="1:79" ht="16.5" x14ac:dyDescent="0.3">
      <c r="A45" s="134"/>
    </row>
    <row r="46" spans="1:79" ht="16.5" x14ac:dyDescent="0.3">
      <c r="A46" s="134"/>
    </row>
  </sheetData>
  <sheetProtection algorithmName="SHA-512" hashValue="q9q2ucxJ4IlqGV6b8kAVNZ74VFvx3OkpGoqglFgfVNGgQk+bgrN4szjKNpDGmTpvZ0IscMBiFwdigFp2mj3dQg==" saltValue="DTLNP6z2mgF4RHcA2Mu9Wg==" spinCount="100000" sheet="1" scenarios="1" formatCells="0" formatColumns="0" formatRows="0" insertColumns="0" insertRows="0" deleteColumns="0" deleteRows="0" sort="0" autoFilter="0" pivotTables="0"/>
  <mergeCells count="4">
    <mergeCell ref="Z3:AB3"/>
    <mergeCell ref="AD3:AF3"/>
    <mergeCell ref="Z2:AB2"/>
    <mergeCell ref="AD2:AF2"/>
  </mergeCells>
  <dataValidations disablePrompts="1" count="2">
    <dataValidation type="list" allowBlank="1" showInputMessage="1" showErrorMessage="1" sqref="Z3:AB3" xr:uid="{1801D6DA-8A8B-4B5C-86CB-9125C5D2E45B}">
      <formula1>MaKenh</formula1>
    </dataValidation>
    <dataValidation type="list" allowBlank="1" showInputMessage="1" showErrorMessage="1" sqref="AD3:AF3" xr:uid="{D2EB85C1-50ED-4E63-B39C-DBA04941EA6D}">
      <formula1>MaNhanVien</formula1>
    </dataValidation>
  </dataValidations>
  <pageMargins left="0.7" right="0.7" top="0.75" bottom="0.75" header="0.3" footer="0.3"/>
  <drawing r:id="rId1"/>
  <tableParts count="4">
    <tablePart r:id="rId2"/>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E8D0-D953-490D-8B9E-D3432AB9F718}">
  <sheetPr codeName="Sheet9">
    <tabColor theme="9" tint="0.39997558519241921"/>
  </sheetPr>
  <dimension ref="Z3:CI28"/>
  <sheetViews>
    <sheetView showGridLines="0" zoomScaleNormal="100" workbookViewId="0">
      <selection activeCell="AG42" sqref="AG42"/>
    </sheetView>
  </sheetViews>
  <sheetFormatPr defaultRowHeight="18" customHeight="1" x14ac:dyDescent="0.3"/>
  <cols>
    <col min="1" max="37" width="9" style="130"/>
    <col min="38" max="38" width="9" style="132"/>
    <col min="39" max="39" width="12.5" style="132" customWidth="1"/>
    <col min="40" max="58" width="9" style="132"/>
    <col min="59" max="59" width="9" style="138" customWidth="1"/>
    <col min="60" max="63" width="9" style="138"/>
    <col min="64" max="64" width="9.375" style="138" bestFit="1" customWidth="1"/>
    <col min="65" max="74" width="9" style="138"/>
    <col min="75" max="75" width="11.5" style="138" bestFit="1" customWidth="1"/>
    <col min="76" max="76" width="10.875" style="138" bestFit="1" customWidth="1"/>
    <col min="77" max="77" width="9" style="138"/>
    <col min="78" max="78" width="10.375" style="138" bestFit="1" customWidth="1"/>
    <col min="79" max="81" width="9" style="138"/>
    <col min="82" max="82" width="8.875" style="138" bestFit="1" customWidth="1"/>
    <col min="83" max="84" width="9" style="138"/>
    <col min="85" max="87" width="9" style="132"/>
    <col min="88" max="16384" width="9" style="130"/>
  </cols>
  <sheetData>
    <row r="3" spans="26:66" ht="18" customHeight="1" x14ac:dyDescent="0.3">
      <c r="Z3" s="563" t="s">
        <v>938</v>
      </c>
      <c r="AA3" s="563"/>
      <c r="AB3" s="563"/>
    </row>
    <row r="4" spans="26:66" ht="18" customHeight="1" x14ac:dyDescent="0.3">
      <c r="BI4" s="138" t="s">
        <v>236</v>
      </c>
      <c r="BL4" s="138" t="s">
        <v>47</v>
      </c>
    </row>
    <row r="5" spans="26:66" ht="18" customHeight="1" x14ac:dyDescent="0.3">
      <c r="AM5" s="132" t="s">
        <v>237</v>
      </c>
      <c r="AN5" s="132" t="s">
        <v>238</v>
      </c>
      <c r="AO5" s="132" t="s">
        <v>239</v>
      </c>
      <c r="AP5" s="132" t="s">
        <v>240</v>
      </c>
      <c r="AQ5" s="132" t="s">
        <v>187</v>
      </c>
      <c r="AR5" s="132" t="s">
        <v>241</v>
      </c>
      <c r="AS5" s="132" t="s">
        <v>242</v>
      </c>
      <c r="AT5" s="132" t="s">
        <v>243</v>
      </c>
      <c r="AU5" s="132" t="s">
        <v>244</v>
      </c>
      <c r="AV5" s="132" t="s">
        <v>245</v>
      </c>
      <c r="AY5" s="132" t="s">
        <v>42</v>
      </c>
      <c r="AZ5" s="132" t="s">
        <v>21</v>
      </c>
      <c r="BA5" s="132" t="s">
        <v>179</v>
      </c>
      <c r="BD5" s="132" t="s">
        <v>47</v>
      </c>
      <c r="BE5" s="132" t="s">
        <v>21</v>
      </c>
      <c r="BF5" s="132" t="s">
        <v>179</v>
      </c>
      <c r="BH5" s="138" t="s">
        <v>1</v>
      </c>
      <c r="BI5" s="138" t="s">
        <v>246</v>
      </c>
      <c r="BJ5" s="138" t="s">
        <v>247</v>
      </c>
      <c r="BK5" s="138" t="s">
        <v>157</v>
      </c>
      <c r="BL5" s="138" t="s">
        <v>246</v>
      </c>
      <c r="BM5" s="138" t="s">
        <v>247</v>
      </c>
      <c r="BN5" s="138" t="s">
        <v>157</v>
      </c>
    </row>
    <row r="6" spans="26:66" ht="18" customHeight="1" x14ac:dyDescent="0.3">
      <c r="AL6" s="132" t="str" cm="1">
        <f t="array" ref="AL6">_xlfn.UNIQUE(Table_ChuongTrinh[Mã Chương trình])</f>
        <v>A</v>
      </c>
      <c r="AM6" s="132" t="s">
        <v>938</v>
      </c>
      <c r="AN6" s="132" t="e">
        <f>VLOOKUP(Dashboard_Ctr_Ctr[[#This Row],[Chương trình]],_xlfn.ANCHORARRAY($BH$25):_xlfn.ANCHORARRAY($BL$25),5,0)</f>
        <v>#N/A</v>
      </c>
      <c r="AO6" s="132" t="e">
        <f ca="1">VLOOKUP(Dashboard_Ctr_Ctr[[#This Row],[Chương trình]],_xlfn.ANCHORARRAY($BH$25):_xlfn.ANCHORARRAY($BX$25),17,0)</f>
        <v>#N/A</v>
      </c>
      <c r="AP6" s="132" t="e">
        <f ca="1">VLOOKUP(Dashboard_Ctr_Ctr[[#This Row],[Chương trình]],_xlfn.ANCHORARRAY($BH$25):_xlfn.ANCHORARRAY($BZ$25),19,0)</f>
        <v>#N/A</v>
      </c>
      <c r="AQ6" s="132" t="e">
        <f ca="1">VLOOKUP(Dashboard_Ctr_Ctr[[#This Row],[Chương trình]],_xlfn.ANCHORARRAY($BH$25):_xlfn.ANCHORARRAY($BI$25),2,0)</f>
        <v>#N/A</v>
      </c>
      <c r="AR6" s="132" t="e">
        <f ca="1">VLOOKUP(Dashboard_Ctr_Ctr[[#This Row],[Chương trình]],_xlfn.ANCHORARRAY($BH$25):_xlfn.ANCHORARRAY($BW$25),16,0)</f>
        <v>#N/A</v>
      </c>
      <c r="AS6" s="132" t="e">
        <f>VLOOKUP(Dashboard_Ctr_Ctr[[#This Row],[Chương trình]],_xlfn.ANCHORARRAY($BH$25):_xlfn.ANCHORARRAY($CA$25),20,0)</f>
        <v>#N/A</v>
      </c>
      <c r="AT6" s="132" t="e">
        <f>VLOOKUP(Dashboard_Ctr_Ctr[[#This Row],[Chương trình]],_xlfn.ANCHORARRAY($BH$25):_xlfn.ANCHORARRAY($CB$25),21,0)</f>
        <v>#N/A</v>
      </c>
      <c r="AU6" s="132" t="e">
        <f>VLOOKUP(Dashboard_Ctr_Ctr[[#This Row],[Chương trình]],_xlfn.ANCHORARRAY($BH$25):_xlfn.ANCHORARRAY($CC$25),22,0)</f>
        <v>#N/A</v>
      </c>
      <c r="AV6" s="132" t="e">
        <f>VLOOKUP(Dashboard_Ctr_Ctr[[#This Row],[Chương trình]],_xlfn.ANCHORARRAY($BH$25):_xlfn.ANCHORARRAY($CD$25),23,0)</f>
        <v>#N/A</v>
      </c>
      <c r="AX6" s="132" t="str" cm="1">
        <f t="array" ref="AX6:AX8">_xlfn.UNIQUE(Table_KhachHang[Mã KH])</f>
        <v>KH3</v>
      </c>
      <c r="AY6" s="132" t="s">
        <v>939</v>
      </c>
      <c r="AZ6" s="132" cm="1">
        <f t="array" aca="1" ref="AZ6" ca="1">IFERROR(
SUM(_xlfn._xlws.FILTER(Pivot_Ctr_DthuDon,
(Pivot_Ctr_CtrDon=$Z$3)*
(Pivot_Ctr_Khach=Dashboard_Ctr_Khach[[#This Row],[Khách]])
)),0)
+IFERROR(
SUM(_xlfn._xlws.FILTER(Pivot_Ctr_DthuSKU,
(Pivot_Ctr_CtrSKU=$Z$3)*
(Pivot_Ctr_Khach=Dashboard_Ctr_Khach[[#This Row],[Khách]])
)),0)</f>
        <v>0</v>
      </c>
      <c r="BA6" s="343" t="e">
        <f ca="1">Dashboard_Ctr_Khach[[#This Row],[Giá trị]]/SUM(Dashboard_Ctr_Khach[Giá trị])</f>
        <v>#DIV/0!</v>
      </c>
      <c r="BC6" s="132" t="str" cm="1">
        <f t="array" ref="BC6:BC8">_xlfn.UNIQUE(Table_SKU[Mã SKU])</f>
        <v>TP2</v>
      </c>
      <c r="BD6" s="132" t="s">
        <v>52</v>
      </c>
      <c r="BE6" s="132" cm="1">
        <f t="array" aca="1" ref="BE6" ca="1">IFERROR(
SUM(_xlfn._xlws.FILTER(Pivot_Ctr_DthuSKU,
(Pivot_Ctr_CtrDon=$Z$3)*
(Pivot_Ctr_SKU=Dashboard_Ctr_SKU[[#This Row],[SKU]])
)),0)
+IFERROR(
SUM(_xlfn._xlws.FILTER(Pivot_Ctr_DthuSKU,
(Pivot_Ctr_CtrSKU=$Z$3)*
(Pivot_Ctr_SKU=Dashboard_Ctr_SKU[[#This Row],[SKU]])
)),0)</f>
        <v>0</v>
      </c>
      <c r="BF6" s="343" t="e">
        <f ca="1">Dashboard_Ctr_SKU[[#This Row],[Giá trị]]/SUM(Dashboard_Ctr_SKU[Giá trị])</f>
        <v>#DIV/0!</v>
      </c>
      <c r="BH6" s="138">
        <v>1</v>
      </c>
      <c r="BI6" s="138" cm="1">
        <f t="array" ref="BI6">IFERROR(SUM(_xlfn._xlws.FILTER(Table_DonBan[Doanh thu ròng],
(Table_DonBan[Ngày lập] &gt;= Pivot!$AS$2)*
(Table_DonBan[Ngày lập] &lt;= Pivot!$AS$3)*
(MONTH(Table_DonBan[Ngày lập]) = $BH6)
)),0)</f>
        <v>0</v>
      </c>
      <c r="BJ6" s="138" cm="1">
        <f t="array" ref="BJ6">IFERROR(SUM(_xlfn._xlws.FILTER(Table_DonBan[Doanh thu ròng],
(Table_DonBan[Giá trị CK] &gt; 0)*
(Table_DonBan[Ngày lập] &gt;= Pivot!$AS$2)*
(Table_DonBan[Ngày lập] &lt;= Pivot!$AS$3)*
(MONTH(Table_DonBan[Ngày lập]) = $BH6)
)),0)</f>
        <v>0</v>
      </c>
      <c r="BK6" s="144" t="e">
        <f>IF(BJ6/BI6=0,"",BJ6/BI6)</f>
        <v>#DIV/0!</v>
      </c>
      <c r="BL6" s="138" cm="1">
        <f t="array" ref="BL6">IFERROR(SUM(_xlfn._xlws.FILTER(Table_Main[Giá trị bán trước VAT],
(Table_Main[Ngày lên đơn] &gt;= Pivot!$AS$2)*
(Table_Main[Ngày lên đơn] &lt;= Pivot!$AS$3)*
(Table_Main[Tháng lên đơn] = $BH6)
)),0)</f>
        <v>0</v>
      </c>
      <c r="BM6" s="138" cm="1">
        <f t="array" ref="BM6">IFERROR(SUM(_xlfn._xlws.FILTER(Table_Main[Giá trị bán trước VAT],
(Table_Main[Giá trị CK] &gt;0)*
(Table_Main[Ngày lên đơn] &gt;= Pivot!$AS$2)*
(Table_Main[Ngày lên đơn] &lt;= Pivot!$AS$3)*
(Table_Main[Tháng lên đơn] = $BH6)
)),0)</f>
        <v>0</v>
      </c>
      <c r="BN6" s="144" t="e">
        <f>IF(BM6/BL6=0,"",BM6/BL6)</f>
        <v>#DIV/0!</v>
      </c>
    </row>
    <row r="7" spans="26:66" ht="18" customHeight="1" x14ac:dyDescent="0.3">
      <c r="AM7" s="132" t="s">
        <v>1003</v>
      </c>
      <c r="AN7" s="132" t="e">
        <f>VLOOKUP(Dashboard_Ctr_Ctr[[#This Row],[Chương trình]],_xlfn.ANCHORARRAY($BH$25):_xlfn.ANCHORARRAY($BL$25),5,0)</f>
        <v>#N/A</v>
      </c>
      <c r="AO7" s="132" t="e">
        <f ca="1">VLOOKUP(Dashboard_Ctr_Ctr[[#This Row],[Chương trình]],_xlfn.ANCHORARRAY($BH$25):_xlfn.ANCHORARRAY($BX$25),17,0)</f>
        <v>#N/A</v>
      </c>
      <c r="AP7" s="132" t="e">
        <f ca="1">VLOOKUP(Dashboard_Ctr_Ctr[[#This Row],[Chương trình]],_xlfn.ANCHORARRAY($BH$25):_xlfn.ANCHORARRAY($BZ$25),19,0)</f>
        <v>#N/A</v>
      </c>
      <c r="AQ7" s="132" t="e">
        <f ca="1">VLOOKUP(Dashboard_Ctr_Ctr[[#This Row],[Chương trình]],_xlfn.ANCHORARRAY($BH$25):_xlfn.ANCHORARRAY($BI$25),2,0)</f>
        <v>#N/A</v>
      </c>
      <c r="AR7" s="132" t="e">
        <f ca="1">VLOOKUP(Dashboard_Ctr_Ctr[[#This Row],[Chương trình]],_xlfn.ANCHORARRAY($BH$25):_xlfn.ANCHORARRAY($BW$25),16,0)</f>
        <v>#N/A</v>
      </c>
      <c r="AS7" s="132" t="e">
        <f>VLOOKUP(Dashboard_Ctr_Ctr[[#This Row],[Chương trình]],_xlfn.ANCHORARRAY($BH$25):_xlfn.ANCHORARRAY($CA$25),20,0)</f>
        <v>#N/A</v>
      </c>
      <c r="AT7" s="132" t="e">
        <f>VLOOKUP(Dashboard_Ctr_Ctr[[#This Row],[Chương trình]],_xlfn.ANCHORARRAY($BH$25):_xlfn.ANCHORARRAY($CB$25),21,0)</f>
        <v>#N/A</v>
      </c>
      <c r="AU7" s="132" t="e">
        <f>VLOOKUP(Dashboard_Ctr_Ctr[[#This Row],[Chương trình]],_xlfn.ANCHORARRAY($BH$25):_xlfn.ANCHORARRAY($CC$25),22,0)</f>
        <v>#N/A</v>
      </c>
      <c r="AV7" s="132" t="e">
        <f>VLOOKUP(Dashboard_Ctr_Ctr[[#This Row],[Chương trình]],_xlfn.ANCHORARRAY($BH$25):_xlfn.ANCHORARRAY($CD$25),23,0)</f>
        <v>#N/A</v>
      </c>
      <c r="AX7" s="132" t="str">
        <v>KH2</v>
      </c>
      <c r="AY7" s="132" t="s">
        <v>940</v>
      </c>
      <c r="AZ7" s="132" cm="1">
        <f t="array" aca="1" ref="AZ7" ca="1">IFERROR(
SUM(_xlfn._xlws.FILTER(Pivot_Ctr_DthuDon,
(Pivot_Ctr_CtrDon=$Z$3)*
(Pivot_Ctr_Khach=Dashboard_Ctr_Khach[[#This Row],[Khách]])
)),0)
+IFERROR(
SUM(_xlfn._xlws.FILTER(Pivot_Ctr_DthuSKU,
(Pivot_Ctr_CtrSKU=$Z$3)*
(Pivot_Ctr_Khach=Dashboard_Ctr_Khach[[#This Row],[Khách]])
)),0)</f>
        <v>0</v>
      </c>
      <c r="BA7" s="132" t="e">
        <f ca="1">Dashboard_Ctr_Khach[[#This Row],[Giá trị]]/SUM(Dashboard_Ctr_Khach[Giá trị])</f>
        <v>#DIV/0!</v>
      </c>
      <c r="BC7" s="132" t="str">
        <v>TP1</v>
      </c>
      <c r="BD7" s="132" t="s">
        <v>59</v>
      </c>
      <c r="BE7" s="132" cm="1">
        <f t="array" aca="1" ref="BE7" ca="1">IFERROR(
SUM(_xlfn._xlws.FILTER(Pivot_Ctr_DthuSKU,
(Pivot_Ctr_CtrDon=$Z$3)*
(Pivot_Ctr_SKU=Dashboard_Ctr_SKU[[#This Row],[SKU]])
)),0)
+IFERROR(
SUM(_xlfn._xlws.FILTER(Pivot_Ctr_DthuSKU,
(Pivot_Ctr_CtrSKU=$Z$3)*
(Pivot_Ctr_SKU=Dashboard_Ctr_SKU[[#This Row],[SKU]])
)),0)</f>
        <v>0</v>
      </c>
      <c r="BF7" s="132" t="e">
        <f ca="1">Dashboard_Ctr_SKU[[#This Row],[Giá trị]]/SUM(Dashboard_Ctr_SKU[Giá trị])</f>
        <v>#DIV/0!</v>
      </c>
      <c r="BH7" s="138">
        <v>2</v>
      </c>
      <c r="BI7" s="138" cm="1">
        <f t="array" ref="BI7">IFERROR(SUM(_xlfn._xlws.FILTER(Table_DonBan[Doanh thu ròng],
(Table_DonBan[Ngày lập] &gt;= Pivot!$AS$2)*
(Table_DonBan[Ngày lập] &lt;= Pivot!$AS$3)*
(MONTH(Table_DonBan[Ngày lập]) = $BH7)
)),0)</f>
        <v>0</v>
      </c>
      <c r="BJ7" s="138" cm="1">
        <f t="array" ref="BJ7">IFERROR(SUM(_xlfn._xlws.FILTER(Table_DonBan[Doanh thu ròng],
(Table_DonBan[Giá trị CK] &gt; 0)*
(Table_DonBan[Ngày lập] &gt;= Pivot!$AS$2)*
(Table_DonBan[Ngày lập] &lt;= Pivot!$AS$3)*
(MONTH(Table_DonBan[Ngày lập]) = $BH7)
)),0)</f>
        <v>0</v>
      </c>
      <c r="BK7" s="144" t="e">
        <f t="shared" ref="BK7:BK17" si="0">IF(BJ7/BI7=0,"",BJ7/BI7)</f>
        <v>#DIV/0!</v>
      </c>
      <c r="BL7" s="138" cm="1">
        <f t="array" ref="BL7">IFERROR(SUM(_xlfn._xlws.FILTER(Table_Main[Giá trị bán trước VAT],
(Table_Main[Ngày lên đơn] &gt;= Pivot!$AS$2)*
(Table_Main[Ngày lên đơn] &lt;= Pivot!$AS$3)*
(Table_Main[Tháng lên đơn] = $BH7)
)),0)</f>
        <v>0</v>
      </c>
      <c r="BM7" s="138" cm="1">
        <f t="array" ref="BM7">IFERROR(SUM(_xlfn._xlws.FILTER(Table_Main[Giá trị bán trước VAT],
(Table_Main[Giá trị CK] &gt;0)*
(Table_Main[Ngày lên đơn] &gt;= Pivot!$AS$2)*
(Table_Main[Ngày lên đơn] &lt;= Pivot!$AS$3)*
(Table_Main[Tháng lên đơn] = $BH7)
)),0)</f>
        <v>0</v>
      </c>
      <c r="BN7" s="144" t="e">
        <f t="shared" ref="BN7:BN17" si="1">IF(BM7/BL7=0,"",BM7/BL7)</f>
        <v>#DIV/0!</v>
      </c>
    </row>
    <row r="8" spans="26:66" ht="18" customHeight="1" x14ac:dyDescent="0.3">
      <c r="AM8" s="132" t="s">
        <v>995</v>
      </c>
      <c r="AN8" s="132" t="e">
        <f>VLOOKUP(Dashboard_Ctr_Ctr[[#This Row],[Chương trình]],_xlfn.ANCHORARRAY($BH$25):_xlfn.ANCHORARRAY($BL$25),5,0)</f>
        <v>#N/A</v>
      </c>
      <c r="AO8" s="132" t="e">
        <f ca="1">VLOOKUP(Dashboard_Ctr_Ctr[[#This Row],[Chương trình]],_xlfn.ANCHORARRAY($BH$25):_xlfn.ANCHORARRAY($BX$25),17,0)</f>
        <v>#N/A</v>
      </c>
      <c r="AP8" s="132" t="e">
        <f ca="1">VLOOKUP(Dashboard_Ctr_Ctr[[#This Row],[Chương trình]],_xlfn.ANCHORARRAY($BH$25):_xlfn.ANCHORARRAY($BZ$25),19,0)</f>
        <v>#N/A</v>
      </c>
      <c r="AQ8" s="132" t="e">
        <f ca="1">VLOOKUP(Dashboard_Ctr_Ctr[[#This Row],[Chương trình]],_xlfn.ANCHORARRAY($BH$25):_xlfn.ANCHORARRAY($BI$25),2,0)</f>
        <v>#N/A</v>
      </c>
      <c r="AR8" s="132" t="e">
        <f ca="1">VLOOKUP(Dashboard_Ctr_Ctr[[#This Row],[Chương trình]],_xlfn.ANCHORARRAY($BH$25):_xlfn.ANCHORARRAY($BW$25),16,0)</f>
        <v>#N/A</v>
      </c>
      <c r="AS8" s="132" t="e">
        <f>VLOOKUP(Dashboard_Ctr_Ctr[[#This Row],[Chương trình]],_xlfn.ANCHORARRAY($BH$25):_xlfn.ANCHORARRAY($CA$25),20,0)</f>
        <v>#N/A</v>
      </c>
      <c r="AT8" s="132" t="e">
        <f>VLOOKUP(Dashboard_Ctr_Ctr[[#This Row],[Chương trình]],_xlfn.ANCHORARRAY($BH$25):_xlfn.ANCHORARRAY($CB$25),21,0)</f>
        <v>#N/A</v>
      </c>
      <c r="AU8" s="132" t="e">
        <f>VLOOKUP(Dashboard_Ctr_Ctr[[#This Row],[Chương trình]],_xlfn.ANCHORARRAY($BH$25):_xlfn.ANCHORARRAY($CC$25),22,0)</f>
        <v>#N/A</v>
      </c>
      <c r="AV8" s="132" t="e">
        <f>VLOOKUP(Dashboard_Ctr_Ctr[[#This Row],[Chương trình]],_xlfn.ANCHORARRAY($BH$25):_xlfn.ANCHORARRAY($CD$25),23,0)</f>
        <v>#N/A</v>
      </c>
      <c r="AX8" s="132" t="str">
        <v>KH1</v>
      </c>
      <c r="AY8" s="132" t="s">
        <v>941</v>
      </c>
      <c r="AZ8" s="132" cm="1">
        <f t="array" aca="1" ref="AZ8" ca="1">IFERROR(
SUM(_xlfn._xlws.FILTER(Pivot_Ctr_DthuDon,
(Pivot_Ctr_CtrDon=$Z$3)*
(Pivot_Ctr_Khach=Dashboard_Ctr_Khach[[#This Row],[Khách]])
)),0)
+IFERROR(
SUM(_xlfn._xlws.FILTER(Pivot_Ctr_DthuSKU,
(Pivot_Ctr_CtrSKU=$Z$3)*
(Pivot_Ctr_Khach=Dashboard_Ctr_Khach[[#This Row],[Khách]])
)),0)</f>
        <v>0</v>
      </c>
      <c r="BA8" s="132" t="e">
        <f ca="1">Dashboard_Ctr_Khach[[#This Row],[Giá trị]]/SUM(Dashboard_Ctr_Khach[Giá trị])</f>
        <v>#DIV/0!</v>
      </c>
      <c r="BC8" s="132" t="str">
        <v>HH1</v>
      </c>
      <c r="BD8" s="132" t="s">
        <v>63</v>
      </c>
      <c r="BE8" s="132" cm="1">
        <f t="array" aca="1" ref="BE8" ca="1">IFERROR(
SUM(_xlfn._xlws.FILTER(Pivot_Ctr_DthuSKU,
(Pivot_Ctr_CtrDon=$Z$3)*
(Pivot_Ctr_SKU=Dashboard_Ctr_SKU[[#This Row],[SKU]])
)),0)
+IFERROR(
SUM(_xlfn._xlws.FILTER(Pivot_Ctr_DthuSKU,
(Pivot_Ctr_CtrSKU=$Z$3)*
(Pivot_Ctr_SKU=Dashboard_Ctr_SKU[[#This Row],[SKU]])
)),0)</f>
        <v>0</v>
      </c>
      <c r="BF8" s="132" t="e">
        <f ca="1">Dashboard_Ctr_SKU[[#This Row],[Giá trị]]/SUM(Dashboard_Ctr_SKU[Giá trị])</f>
        <v>#DIV/0!</v>
      </c>
      <c r="BH8" s="138">
        <v>3</v>
      </c>
      <c r="BI8" s="138" cm="1">
        <f t="array" ref="BI8">IFERROR(SUM(_xlfn._xlws.FILTER(Table_DonBan[Doanh thu ròng],
(Table_DonBan[Ngày lập] &gt;= Pivot!$AS$2)*
(Table_DonBan[Ngày lập] &lt;= Pivot!$AS$3)*
(MONTH(Table_DonBan[Ngày lập]) = $BH8)
)),0)</f>
        <v>0</v>
      </c>
      <c r="BJ8" s="138" cm="1">
        <f t="array" ref="BJ8">IFERROR(SUM(_xlfn._xlws.FILTER(Table_DonBan[Doanh thu ròng],
(Table_DonBan[Giá trị CK] &gt; 0)*
(Table_DonBan[Ngày lập] &gt;= Pivot!$AS$2)*
(Table_DonBan[Ngày lập] &lt;= Pivot!$AS$3)*
(MONTH(Table_DonBan[Ngày lập]) = $BH8)
)),0)</f>
        <v>0</v>
      </c>
      <c r="BK8" s="144" t="e">
        <f t="shared" si="0"/>
        <v>#DIV/0!</v>
      </c>
      <c r="BL8" s="138" cm="1">
        <f t="array" ref="BL8">IFERROR(SUM(_xlfn._xlws.FILTER(Table_Main[Giá trị bán trước VAT],
(Table_Main[Ngày lên đơn] &gt;= Pivot!$AS$2)*
(Table_Main[Ngày lên đơn] &lt;= Pivot!$AS$3)*
(Table_Main[Tháng lên đơn] = $BH8)
)),0)</f>
        <v>0</v>
      </c>
      <c r="BM8" s="138" cm="1">
        <f t="array" ref="BM8">IFERROR(SUM(_xlfn._xlws.FILTER(Table_Main[Giá trị bán trước VAT],
(Table_Main[Giá trị CK] &gt;0)*
(Table_Main[Ngày lên đơn] &gt;= Pivot!$AS$2)*
(Table_Main[Ngày lên đơn] &lt;= Pivot!$AS$3)*
(Table_Main[Tháng lên đơn] = $BH8)
)),0)</f>
        <v>0</v>
      </c>
      <c r="BN8" s="144" t="e">
        <f t="shared" si="1"/>
        <v>#DIV/0!</v>
      </c>
    </row>
    <row r="9" spans="26:66" ht="18" customHeight="1" x14ac:dyDescent="0.3">
      <c r="AM9" s="132" t="s">
        <v>1004</v>
      </c>
      <c r="AN9" s="132" t="e">
        <f>VLOOKUP(Dashboard_Ctr_Ctr[[#This Row],[Chương trình]],_xlfn.ANCHORARRAY($BH$25):_xlfn.ANCHORARRAY($BL$25),5,0)</f>
        <v>#N/A</v>
      </c>
      <c r="AO9" s="132" t="e">
        <f ca="1">VLOOKUP(Dashboard_Ctr_Ctr[[#This Row],[Chương trình]],_xlfn.ANCHORARRAY($BH$25):_xlfn.ANCHORARRAY($BX$25),17,0)</f>
        <v>#N/A</v>
      </c>
      <c r="AP9" s="132" t="e">
        <f ca="1">VLOOKUP(Dashboard_Ctr_Ctr[[#This Row],[Chương trình]],_xlfn.ANCHORARRAY($BH$25):_xlfn.ANCHORARRAY($BZ$25),19,0)</f>
        <v>#N/A</v>
      </c>
      <c r="AQ9" s="132" t="e">
        <f ca="1">VLOOKUP(Dashboard_Ctr_Ctr[[#This Row],[Chương trình]],_xlfn.ANCHORARRAY($BH$25):_xlfn.ANCHORARRAY($BI$25),2,0)</f>
        <v>#N/A</v>
      </c>
      <c r="AR9" s="132" t="e">
        <f ca="1">VLOOKUP(Dashboard_Ctr_Ctr[[#This Row],[Chương trình]],_xlfn.ANCHORARRAY($BH$25):_xlfn.ANCHORARRAY($BW$25),16,0)</f>
        <v>#N/A</v>
      </c>
      <c r="AS9" s="132" t="e">
        <f>VLOOKUP(Dashboard_Ctr_Ctr[[#This Row],[Chương trình]],_xlfn.ANCHORARRAY($BH$25):_xlfn.ANCHORARRAY($CA$25),20,0)</f>
        <v>#N/A</v>
      </c>
      <c r="AT9" s="132" t="e">
        <f>VLOOKUP(Dashboard_Ctr_Ctr[[#This Row],[Chương trình]],_xlfn.ANCHORARRAY($BH$25):_xlfn.ANCHORARRAY($CB$25),21,0)</f>
        <v>#N/A</v>
      </c>
      <c r="AU9" s="132" t="e">
        <f>VLOOKUP(Dashboard_Ctr_Ctr[[#This Row],[Chương trình]],_xlfn.ANCHORARRAY($BH$25):_xlfn.ANCHORARRAY($CC$25),22,0)</f>
        <v>#N/A</v>
      </c>
      <c r="AV9" s="132" t="e">
        <f>VLOOKUP(Dashboard_Ctr_Ctr[[#This Row],[Chương trình]],_xlfn.ANCHORARRAY($BH$25):_xlfn.ANCHORARRAY($CD$25),23,0)</f>
        <v>#N/A</v>
      </c>
      <c r="AY9" s="132" t="s">
        <v>942</v>
      </c>
      <c r="AZ9" s="132" cm="1">
        <f t="array" aca="1" ref="AZ9" ca="1">IFERROR(
SUM(_xlfn._xlws.FILTER(Pivot_Ctr_DthuDon,
(Pivot_Ctr_CtrDon=$Z$3)*
(Pivot_Ctr_Khach=Dashboard_Ctr_Khach[[#This Row],[Khách]])
)),0)
+IFERROR(
SUM(_xlfn._xlws.FILTER(Pivot_Ctr_DthuSKU,
(Pivot_Ctr_CtrSKU=$Z$3)*
(Pivot_Ctr_Khach=Dashboard_Ctr_Khach[[#This Row],[Khách]])
)),0)</f>
        <v>0</v>
      </c>
      <c r="BA9" s="132" t="e">
        <f ca="1">Dashboard_Ctr_Khach[[#This Row],[Giá trị]]/SUM(Dashboard_Ctr_Khach[Giá trị])</f>
        <v>#DIV/0!</v>
      </c>
      <c r="BH9" s="138">
        <v>4</v>
      </c>
      <c r="BI9" s="138" cm="1">
        <f t="array" ref="BI9">IFERROR(SUM(_xlfn._xlws.FILTER(Table_DonBan[Doanh thu ròng],
(Table_DonBan[Ngày lập] &gt;= Pivot!$AS$2)*
(Table_DonBan[Ngày lập] &lt;= Pivot!$AS$3)*
(MONTH(Table_DonBan[Ngày lập]) = $BH9)
)),0)</f>
        <v>0</v>
      </c>
      <c r="BJ9" s="138" cm="1">
        <f t="array" ref="BJ9">IFERROR(SUM(_xlfn._xlws.FILTER(Table_DonBan[Doanh thu ròng],
(Table_DonBan[Giá trị CK] &gt; 0)*
(Table_DonBan[Ngày lập] &gt;= Pivot!$AS$2)*
(Table_DonBan[Ngày lập] &lt;= Pivot!$AS$3)*
(MONTH(Table_DonBan[Ngày lập]) = $BH9)
)),0)</f>
        <v>0</v>
      </c>
      <c r="BK9" s="144" t="e">
        <f t="shared" si="0"/>
        <v>#DIV/0!</v>
      </c>
      <c r="BL9" s="138" cm="1">
        <f t="array" ref="BL9">IFERROR(SUM(_xlfn._xlws.FILTER(Table_Main[Giá trị bán trước VAT],
(Table_Main[Ngày lên đơn] &gt;= Pivot!$AS$2)*
(Table_Main[Ngày lên đơn] &lt;= Pivot!$AS$3)*
(Table_Main[Tháng lên đơn] = $BH9)
)),0)</f>
        <v>0</v>
      </c>
      <c r="BM9" s="138" cm="1">
        <f t="array" ref="BM9">IFERROR(SUM(_xlfn._xlws.FILTER(Table_Main[Giá trị bán trước VAT],
(Table_Main[Giá trị CK] &gt;0)*
(Table_Main[Ngày lên đơn] &gt;= Pivot!$AS$2)*
(Table_Main[Ngày lên đơn] &lt;= Pivot!$AS$3)*
(Table_Main[Tháng lên đơn] = $BH9)
)),0)</f>
        <v>0</v>
      </c>
      <c r="BN9" s="144" t="e">
        <f t="shared" si="1"/>
        <v>#DIV/0!</v>
      </c>
    </row>
    <row r="10" spans="26:66" ht="18" customHeight="1" x14ac:dyDescent="0.3">
      <c r="AY10" s="132" t="s">
        <v>943</v>
      </c>
      <c r="AZ10" s="132" cm="1">
        <f t="array" aca="1" ref="AZ10" ca="1">IFERROR(
SUM(_xlfn._xlws.FILTER(Pivot_Ctr_DthuDon,
(Pivot_Ctr_CtrDon=$Z$3)*
(Pivot_Ctr_Khach=Dashboard_Ctr_Khach[[#This Row],[Khách]])
)),0)
+IFERROR(
SUM(_xlfn._xlws.FILTER(Pivot_Ctr_DthuSKU,
(Pivot_Ctr_CtrSKU=$Z$3)*
(Pivot_Ctr_Khach=Dashboard_Ctr_Khach[[#This Row],[Khách]])
)),0)</f>
        <v>0</v>
      </c>
      <c r="BA10" s="132" t="e">
        <f ca="1">Dashboard_Ctr_Khach[[#This Row],[Giá trị]]/SUM(Dashboard_Ctr_Khach[Giá trị])</f>
        <v>#DIV/0!</v>
      </c>
      <c r="BH10" s="138">
        <v>5</v>
      </c>
      <c r="BI10" s="138" cm="1">
        <f t="array" ref="BI10">IFERROR(SUM(_xlfn._xlws.FILTER(Table_DonBan[Doanh thu ròng],
(Table_DonBan[Ngày lập] &gt;= Pivot!$AS$2)*
(Table_DonBan[Ngày lập] &lt;= Pivot!$AS$3)*
(MONTH(Table_DonBan[Ngày lập]) = $BH10)
)),0)</f>
        <v>0</v>
      </c>
      <c r="BJ10" s="138" cm="1">
        <f t="array" ref="BJ10">IFERROR(SUM(_xlfn._xlws.FILTER(Table_DonBan[Doanh thu ròng],
(Table_DonBan[Giá trị CK] &gt; 0)*
(Table_DonBan[Ngày lập] &gt;= Pivot!$AS$2)*
(Table_DonBan[Ngày lập] &lt;= Pivot!$AS$3)*
(MONTH(Table_DonBan[Ngày lập]) = $BH10)
)),0)</f>
        <v>0</v>
      </c>
      <c r="BK10" s="144" t="e">
        <f t="shared" si="0"/>
        <v>#DIV/0!</v>
      </c>
      <c r="BL10" s="138" cm="1">
        <f t="array" ref="BL10">IFERROR(SUM(_xlfn._xlws.FILTER(Table_Main[Giá trị bán trước VAT],
(Table_Main[Ngày lên đơn] &gt;= Pivot!$AS$2)*
(Table_Main[Ngày lên đơn] &lt;= Pivot!$AS$3)*
(Table_Main[Tháng lên đơn] = $BH10)
)),0)</f>
        <v>0</v>
      </c>
      <c r="BM10" s="138" cm="1">
        <f t="array" ref="BM10">IFERROR(SUM(_xlfn._xlws.FILTER(Table_Main[Giá trị bán trước VAT],
(Table_Main[Giá trị CK] &gt;0)*
(Table_Main[Ngày lên đơn] &gt;= Pivot!$AS$2)*
(Table_Main[Ngày lên đơn] &lt;= Pivot!$AS$3)*
(Table_Main[Tháng lên đơn] = $BH10)
)),0)</f>
        <v>0</v>
      </c>
      <c r="BN10" s="144" t="e">
        <f t="shared" si="1"/>
        <v>#DIV/0!</v>
      </c>
    </row>
    <row r="11" spans="26:66" ht="18" customHeight="1" x14ac:dyDescent="0.3">
      <c r="AY11" s="132" t="s">
        <v>944</v>
      </c>
      <c r="AZ11" s="132" cm="1">
        <f t="array" aca="1" ref="AZ11" ca="1">IFERROR(
SUM(_xlfn._xlws.FILTER(Pivot_Ctr_DthuDon,
(Pivot_Ctr_CtrDon=$Z$3)*
(Pivot_Ctr_Khach=Dashboard_Ctr_Khach[[#This Row],[Khách]])
)),0)
+IFERROR(
SUM(_xlfn._xlws.FILTER(Pivot_Ctr_DthuSKU,
(Pivot_Ctr_CtrSKU=$Z$3)*
(Pivot_Ctr_Khach=Dashboard_Ctr_Khach[[#This Row],[Khách]])
)),0)</f>
        <v>0</v>
      </c>
      <c r="BA11" s="132" t="e">
        <f ca="1">Dashboard_Ctr_Khach[[#This Row],[Giá trị]]/SUM(Dashboard_Ctr_Khach[Giá trị])</f>
        <v>#DIV/0!</v>
      </c>
      <c r="BH11" s="138">
        <v>6</v>
      </c>
      <c r="BI11" s="138" cm="1">
        <f t="array" ref="BI11">IFERROR(SUM(_xlfn._xlws.FILTER(Table_DonBan[Doanh thu ròng],
(Table_DonBan[Ngày lập] &gt;= Pivot!$AS$2)*
(Table_DonBan[Ngày lập] &lt;= Pivot!$AS$3)*
(MONTH(Table_DonBan[Ngày lập]) = $BH11)
)),0)</f>
        <v>0</v>
      </c>
      <c r="BJ11" s="138" cm="1">
        <f t="array" ref="BJ11">IFERROR(SUM(_xlfn._xlws.FILTER(Table_DonBan[Doanh thu ròng],
(Table_DonBan[Giá trị CK] &gt; 0)*
(Table_DonBan[Ngày lập] &gt;= Pivot!$AS$2)*
(Table_DonBan[Ngày lập] &lt;= Pivot!$AS$3)*
(MONTH(Table_DonBan[Ngày lập]) = $BH11)
)),0)</f>
        <v>0</v>
      </c>
      <c r="BK11" s="144" t="e">
        <f t="shared" si="0"/>
        <v>#DIV/0!</v>
      </c>
      <c r="BL11" s="138" cm="1">
        <f t="array" ref="BL11">IFERROR(SUM(_xlfn._xlws.FILTER(Table_Main[Giá trị bán trước VAT],
(Table_Main[Ngày lên đơn] &gt;= Pivot!$AS$2)*
(Table_Main[Ngày lên đơn] &lt;= Pivot!$AS$3)*
(Table_Main[Tháng lên đơn] = $BH11)
)),0)</f>
        <v>0</v>
      </c>
      <c r="BM11" s="138" cm="1">
        <f t="array" ref="BM11">IFERROR(SUM(_xlfn._xlws.FILTER(Table_Main[Giá trị bán trước VAT],
(Table_Main[Giá trị CK] &gt;0)*
(Table_Main[Ngày lên đơn] &gt;= Pivot!$AS$2)*
(Table_Main[Ngày lên đơn] &lt;= Pivot!$AS$3)*
(Table_Main[Tháng lên đơn] = $BH11)
)),0)</f>
        <v>0</v>
      </c>
      <c r="BN11" s="144" t="e">
        <f t="shared" si="1"/>
        <v>#DIV/0!</v>
      </c>
    </row>
    <row r="12" spans="26:66" ht="18" customHeight="1" x14ac:dyDescent="0.3">
      <c r="AY12" s="132" t="s">
        <v>945</v>
      </c>
      <c r="AZ12" s="132" cm="1">
        <f t="array" aca="1" ref="AZ12" ca="1">IFERROR(
SUM(_xlfn._xlws.FILTER(Pivot_Ctr_DthuDon,
(Pivot_Ctr_CtrDon=$Z$3)*
(Pivot_Ctr_Khach=Dashboard_Ctr_Khach[[#This Row],[Khách]])
)),0)
+IFERROR(
SUM(_xlfn._xlws.FILTER(Pivot_Ctr_DthuSKU,
(Pivot_Ctr_CtrSKU=$Z$3)*
(Pivot_Ctr_Khach=Dashboard_Ctr_Khach[[#This Row],[Khách]])
)),0)</f>
        <v>0</v>
      </c>
      <c r="BA12" s="132" t="e">
        <f ca="1">Dashboard_Ctr_Khach[[#This Row],[Giá trị]]/SUM(Dashboard_Ctr_Khach[Giá trị])</f>
        <v>#DIV/0!</v>
      </c>
      <c r="BH12" s="138">
        <v>7</v>
      </c>
      <c r="BI12" s="138" cm="1">
        <f t="array" ref="BI12">IFERROR(SUM(_xlfn._xlws.FILTER(Table_DonBan[Doanh thu ròng],
(Table_DonBan[Ngày lập] &gt;= Pivot!$AS$2)*
(Table_DonBan[Ngày lập] &lt;= Pivot!$AS$3)*
(MONTH(Table_DonBan[Ngày lập]) = $BH12)
)),0)</f>
        <v>0</v>
      </c>
      <c r="BJ12" s="138" cm="1">
        <f t="array" ref="BJ12">IFERROR(SUM(_xlfn._xlws.FILTER(Table_DonBan[Doanh thu ròng],
(Table_DonBan[Giá trị CK] &gt; 0)*
(Table_DonBan[Ngày lập] &gt;= Pivot!$AS$2)*
(Table_DonBan[Ngày lập] &lt;= Pivot!$AS$3)*
(MONTH(Table_DonBan[Ngày lập]) = $BH12)
)),0)</f>
        <v>0</v>
      </c>
      <c r="BK12" s="144" t="e">
        <f t="shared" si="0"/>
        <v>#DIV/0!</v>
      </c>
      <c r="BL12" s="138" cm="1">
        <f t="array" ref="BL12">IFERROR(SUM(_xlfn._xlws.FILTER(Table_Main[Giá trị bán trước VAT],
(Table_Main[Ngày lên đơn] &gt;= Pivot!$AS$2)*
(Table_Main[Ngày lên đơn] &lt;= Pivot!$AS$3)*
(Table_Main[Tháng lên đơn] = $BH12)
)),0)</f>
        <v>0</v>
      </c>
      <c r="BM12" s="138" cm="1">
        <f t="array" ref="BM12">IFERROR(SUM(_xlfn._xlws.FILTER(Table_Main[Giá trị bán trước VAT],
(Table_Main[Giá trị CK] &gt;0)*
(Table_Main[Ngày lên đơn] &gt;= Pivot!$AS$2)*
(Table_Main[Ngày lên đơn] &lt;= Pivot!$AS$3)*
(Table_Main[Tháng lên đơn] = $BH12)
)),0)</f>
        <v>0</v>
      </c>
      <c r="BN12" s="144" t="e">
        <f t="shared" si="1"/>
        <v>#DIV/0!</v>
      </c>
    </row>
    <row r="13" spans="26:66" ht="18" customHeight="1" x14ac:dyDescent="0.3">
      <c r="BH13" s="138">
        <v>8</v>
      </c>
      <c r="BI13" s="138" cm="1">
        <f t="array" ref="BI13">IFERROR(SUM(_xlfn._xlws.FILTER(Table_DonBan[Doanh thu ròng],
(Table_DonBan[Ngày lập] &gt;= Pivot!$AS$2)*
(Table_DonBan[Ngày lập] &lt;= Pivot!$AS$3)*
(MONTH(Table_DonBan[Ngày lập]) = $BH13)
)),0)</f>
        <v>0</v>
      </c>
      <c r="BJ13" s="138" cm="1">
        <f t="array" ref="BJ13">IFERROR(SUM(_xlfn._xlws.FILTER(Table_DonBan[Doanh thu ròng],
(Table_DonBan[Giá trị CK] &gt; 0)*
(Table_DonBan[Ngày lập] &gt;= Pivot!$AS$2)*
(Table_DonBan[Ngày lập] &lt;= Pivot!$AS$3)*
(MONTH(Table_DonBan[Ngày lập]) = $BH13)
)),0)</f>
        <v>0</v>
      </c>
      <c r="BK13" s="144" t="e">
        <f t="shared" si="0"/>
        <v>#DIV/0!</v>
      </c>
      <c r="BL13" s="138" cm="1">
        <f t="array" ref="BL13">IFERROR(SUM(_xlfn._xlws.FILTER(Table_Main[Giá trị bán trước VAT],
(Table_Main[Ngày lên đơn] &gt;= Pivot!$AS$2)*
(Table_Main[Ngày lên đơn] &lt;= Pivot!$AS$3)*
(Table_Main[Tháng lên đơn] = $BH13)
)),0)</f>
        <v>0</v>
      </c>
      <c r="BM13" s="138" cm="1">
        <f t="array" ref="BM13">IFERROR(SUM(_xlfn._xlws.FILTER(Table_Main[Giá trị bán trước VAT],
(Table_Main[Giá trị CK] &gt;0)*
(Table_Main[Ngày lên đơn] &gt;= Pivot!$AS$2)*
(Table_Main[Ngày lên đơn] &lt;= Pivot!$AS$3)*
(Table_Main[Tháng lên đơn] = $BH13)
)),0)</f>
        <v>0</v>
      </c>
      <c r="BN13" s="144" t="e">
        <f t="shared" si="1"/>
        <v>#DIV/0!</v>
      </c>
    </row>
    <row r="14" spans="26:66" ht="18" customHeight="1" x14ac:dyDescent="0.3">
      <c r="BH14" s="138">
        <v>9</v>
      </c>
      <c r="BI14" s="138" cm="1">
        <f t="array" ref="BI14">IFERROR(SUM(_xlfn._xlws.FILTER(Table_DonBan[Doanh thu ròng],
(Table_DonBan[Ngày lập] &gt;= Pivot!$AS$2)*
(Table_DonBan[Ngày lập] &lt;= Pivot!$AS$3)*
(MONTH(Table_DonBan[Ngày lập]) = $BH14)
)),0)</f>
        <v>0</v>
      </c>
      <c r="BJ14" s="138" cm="1">
        <f t="array" ref="BJ14">IFERROR(SUM(_xlfn._xlws.FILTER(Table_DonBan[Doanh thu ròng],
(Table_DonBan[Giá trị CK] &gt; 0)*
(Table_DonBan[Ngày lập] &gt;= Pivot!$AS$2)*
(Table_DonBan[Ngày lập] &lt;= Pivot!$AS$3)*
(MONTH(Table_DonBan[Ngày lập]) = $BH14)
)),0)</f>
        <v>0</v>
      </c>
      <c r="BK14" s="144" t="e">
        <f t="shared" si="0"/>
        <v>#DIV/0!</v>
      </c>
      <c r="BL14" s="138" cm="1">
        <f t="array" ref="BL14">IFERROR(SUM(_xlfn._xlws.FILTER(Table_Main[Giá trị bán trước VAT],
(Table_Main[Ngày lên đơn] &gt;= Pivot!$AS$2)*
(Table_Main[Ngày lên đơn] &lt;= Pivot!$AS$3)*
(Table_Main[Tháng lên đơn] = $BH14)
)),0)</f>
        <v>0</v>
      </c>
      <c r="BM14" s="138" cm="1">
        <f t="array" ref="BM14">IFERROR(SUM(_xlfn._xlws.FILTER(Table_Main[Giá trị bán trước VAT],
(Table_Main[Giá trị CK] &gt;0)*
(Table_Main[Ngày lên đơn] &gt;= Pivot!$AS$2)*
(Table_Main[Ngày lên đơn] &lt;= Pivot!$AS$3)*
(Table_Main[Tháng lên đơn] = $BH14)
)),0)</f>
        <v>0</v>
      </c>
      <c r="BN14" s="144" t="e">
        <f t="shared" si="1"/>
        <v>#DIV/0!</v>
      </c>
    </row>
    <row r="15" spans="26:66" ht="18" customHeight="1" x14ac:dyDescent="0.3">
      <c r="BH15" s="138">
        <v>10</v>
      </c>
      <c r="BI15" s="138" cm="1">
        <f t="array" ref="BI15">IFERROR(SUM(_xlfn._xlws.FILTER(Table_DonBan[Doanh thu ròng],
(Table_DonBan[Ngày lập] &gt;= Pivot!$AS$2)*
(Table_DonBan[Ngày lập] &lt;= Pivot!$AS$3)*
(MONTH(Table_DonBan[Ngày lập]) = $BH15)
)),0)</f>
        <v>0</v>
      </c>
      <c r="BJ15" s="138" cm="1">
        <f t="array" ref="BJ15">IFERROR(SUM(_xlfn._xlws.FILTER(Table_DonBan[Doanh thu ròng],
(Table_DonBan[Giá trị CK] &gt; 0)*
(Table_DonBan[Ngày lập] &gt;= Pivot!$AS$2)*
(Table_DonBan[Ngày lập] &lt;= Pivot!$AS$3)*
(MONTH(Table_DonBan[Ngày lập]) = $BH15)
)),0)</f>
        <v>0</v>
      </c>
      <c r="BK15" s="144" t="e">
        <f t="shared" si="0"/>
        <v>#DIV/0!</v>
      </c>
      <c r="BL15" s="138" cm="1">
        <f t="array" ref="BL15">IFERROR(SUM(_xlfn._xlws.FILTER(Table_Main[Giá trị bán trước VAT],
(Table_Main[Ngày lên đơn] &gt;= Pivot!$AS$2)*
(Table_Main[Ngày lên đơn] &lt;= Pivot!$AS$3)*
(Table_Main[Tháng lên đơn] = $BH15)
)),0)</f>
        <v>0</v>
      </c>
      <c r="BM15" s="138" cm="1">
        <f t="array" ref="BM15">IFERROR(SUM(_xlfn._xlws.FILTER(Table_Main[Giá trị bán trước VAT],
(Table_Main[Giá trị CK] &gt;0)*
(Table_Main[Ngày lên đơn] &gt;= Pivot!$AS$2)*
(Table_Main[Ngày lên đơn] &lt;= Pivot!$AS$3)*
(Table_Main[Tháng lên đơn] = $BH15)
)),0)</f>
        <v>0</v>
      </c>
      <c r="BN15" s="144" t="e">
        <f t="shared" si="1"/>
        <v>#DIV/0!</v>
      </c>
    </row>
    <row r="16" spans="26:66" ht="18" customHeight="1" x14ac:dyDescent="0.3">
      <c r="BH16" s="138">
        <v>11</v>
      </c>
      <c r="BI16" s="138" cm="1">
        <f t="array" ref="BI16">IFERROR(SUM(_xlfn._xlws.FILTER(Table_DonBan[Doanh thu ròng],
(Table_DonBan[Ngày lập] &gt;= Pivot!$AS$2)*
(Table_DonBan[Ngày lập] &lt;= Pivot!$AS$3)*
(MONTH(Table_DonBan[Ngày lập]) = $BH16)
)),0)</f>
        <v>0</v>
      </c>
      <c r="BJ16" s="138" cm="1">
        <f t="array" ref="BJ16">IFERROR(SUM(_xlfn._xlws.FILTER(Table_DonBan[Doanh thu ròng],
(Table_DonBan[Giá trị CK] &gt; 0)*
(Table_DonBan[Ngày lập] &gt;= Pivot!$AS$2)*
(Table_DonBan[Ngày lập] &lt;= Pivot!$AS$3)*
(MONTH(Table_DonBan[Ngày lập]) = $BH16)
)),0)</f>
        <v>0</v>
      </c>
      <c r="BK16" s="144" t="e">
        <f t="shared" si="0"/>
        <v>#DIV/0!</v>
      </c>
      <c r="BL16" s="138" cm="1">
        <f t="array" ref="BL16">IFERROR(SUM(_xlfn._xlws.FILTER(Table_Main[Giá trị bán trước VAT],
(Table_Main[Ngày lên đơn] &gt;= Pivot!$AS$2)*
(Table_Main[Ngày lên đơn] &lt;= Pivot!$AS$3)*
(Table_Main[Tháng lên đơn] = $BH16)
)),0)</f>
        <v>0</v>
      </c>
      <c r="BM16" s="138" cm="1">
        <f t="array" ref="BM16">IFERROR(SUM(_xlfn._xlws.FILTER(Table_Main[Giá trị bán trước VAT],
(Table_Main[Giá trị CK] &gt;0)*
(Table_Main[Ngày lên đơn] &gt;= Pivot!$AS$2)*
(Table_Main[Ngày lên đơn] &lt;= Pivot!$AS$3)*
(Table_Main[Tháng lên đơn] = $BH16)
)),0)</f>
        <v>0</v>
      </c>
      <c r="BN16" s="144" t="e">
        <f t="shared" si="1"/>
        <v>#DIV/0!</v>
      </c>
    </row>
    <row r="17" spans="60:82" ht="18" customHeight="1" x14ac:dyDescent="0.3">
      <c r="BH17" s="138">
        <v>12</v>
      </c>
      <c r="BI17" s="138" cm="1">
        <f t="array" ref="BI17">IFERROR(SUM(_xlfn._xlws.FILTER(Table_DonBan[Doanh thu ròng],
(Table_DonBan[Ngày lập] &gt;= Pivot!$AS$2)*
(Table_DonBan[Ngày lập] &lt;= Pivot!$AS$3)*
(MONTH(Table_DonBan[Ngày lập]) = $BH17)
)),0)</f>
        <v>0</v>
      </c>
      <c r="BJ17" s="138" cm="1">
        <f t="array" ref="BJ17">IFERROR(SUM(_xlfn._xlws.FILTER(Table_DonBan[Doanh thu ròng],
(Table_DonBan[Giá trị CK] &gt; 0)*
(Table_DonBan[Ngày lập] &gt;= Pivot!$AS$2)*
(Table_DonBan[Ngày lập] &lt;= Pivot!$AS$3)*
(MONTH(Table_DonBan[Ngày lập]) = $BH17)
)),0)</f>
        <v>0</v>
      </c>
      <c r="BK17" s="144" t="e">
        <f t="shared" si="0"/>
        <v>#DIV/0!</v>
      </c>
      <c r="BL17" s="138" cm="1">
        <f t="array" ref="BL17">IFERROR(SUM(_xlfn._xlws.FILTER(Table_Main[Giá trị bán trước VAT],
(Table_Main[Ngày lên đơn] &gt;= Pivot!$AS$2)*
(Table_Main[Ngày lên đơn] &lt;= Pivot!$AS$3)*
(Table_Main[Tháng lên đơn] = $BH17)
)),0)</f>
        <v>0</v>
      </c>
      <c r="BM17" s="138" cm="1">
        <f t="array" ref="BM17">IFERROR(SUM(_xlfn._xlws.FILTER(Table_Main[Giá trị bán trước VAT],
(Table_Main[Giá trị CK] &gt;0)*
(Table_Main[Ngày lên đơn] &gt;= Pivot!$AS$2)*
(Table_Main[Ngày lên đơn] &lt;= Pivot!$AS$3)*
(Table_Main[Tháng lên đơn] = $BH17)
)),0)</f>
        <v>0</v>
      </c>
      <c r="BN17" s="144" t="e">
        <f t="shared" si="1"/>
        <v>#DIV/0!</v>
      </c>
    </row>
    <row r="21" spans="60:82" ht="18" customHeight="1" x14ac:dyDescent="0.3">
      <c r="BH21" s="138" t="e">
        <f>VLOOKUP($Z$3,Table_ChuongTrinh[Mã Chương trình]:Table_ChuongTrinh[Đối tượng CK],2,0)</f>
        <v>#N/A</v>
      </c>
      <c r="BJ21" s="138" t="e">
        <f>IF($BH$21="Sản phẩm",
"Sản phẩm áp dụng",
"Đơn hàng áp dụng")</f>
        <v>#N/A</v>
      </c>
      <c r="BK21" s="138" t="e">
        <f>IF($BH$21="Sản phẩm",
VLOOKUP($Z$3,_xlfn.ANCHORARRAY($BH$25):_xlfn.ANCHORARRAY($BK$25),4,0),
VLOOKUP($Z$3,_xlfn.ANCHORARRAY($BH$25):_xlfn.ANCHORARRAY($BJ$25),3,0))</f>
        <v>#N/A</v>
      </c>
      <c r="BL21" s="138" t="str">
        <f>IFERROR(TEXT(BK21,LOOKUP(BK21,Pivot!$B$6:$B$12,Pivot!$C$6:$C$12)),"")</f>
        <v/>
      </c>
      <c r="CB21" s="164" t="e">
        <f xml:space="preserve">
IF(
IF($BH$21="Sản phẩm",
VLOOKUP($Z$3,_xlfn.ANCHORARRAY($BH$25):_xlfn.ANCHORARRAY(CD25),23,0),
VLOOKUP($Z$3,_xlfn.ANCHORARRAY($BH$25):_xlfn.ANCHORARRAY(CB25),21,0))
&gt;=0,"tăng","giảm")</f>
        <v>#N/A</v>
      </c>
      <c r="CC21" s="164" t="e">
        <f>ABS(IF($BH$21="Sản phẩm",
VLOOKUP($Z$3,_xlfn.ANCHORARRAY($BH$25):_xlfn.ANCHORARRAY(CD25),23,0),
VLOOKUP($Z$3,_xlfn.ANCHORARRAY($BH$25):_xlfn.ANCHORARRAY(CB25),21,0)))</f>
        <v>#N/A</v>
      </c>
      <c r="CD21" s="138" t="e">
        <f>IFERROR(TEXT(CC21,LOOKUP(CC21,Pivot!$B$6:$B$12,Pivot!$C$6:$C$12)),CC21)</f>
        <v>#N/A</v>
      </c>
    </row>
    <row r="22" spans="60:82" ht="18" customHeight="1" x14ac:dyDescent="0.3">
      <c r="BH22" s="138" t="e">
        <f>VLOOKUP($Z$3,Table_ChuongTrinh[Mã Chương trình]:Table_ChuongTrinh[Nội dung Chương trình],3,0)</f>
        <v>#N/A</v>
      </c>
      <c r="BI22" s="138" t="e">
        <f ca="1">VLOOKUP($Z$3,_xlfn.ANCHORARRAY(BH25):_xlfn.ANCHORARRAY(BI25),2,0)</f>
        <v>#N/A</v>
      </c>
      <c r="BM22" s="138" t="e">
        <f>VLOOKUP($Z$3,_xlfn.ANCHORARRAY(BH25):_xlfn.ANCHORARRAY(BM25),6,0)</f>
        <v>#N/A</v>
      </c>
      <c r="BN22" s="165" t="e">
        <f>VLOOKUP($Z$3,_xlfn.ANCHORARRAY(BH25):_xlfn.ANCHORARRAY(BN25),7,0)</f>
        <v>#N/A</v>
      </c>
      <c r="BO22" s="165" t="e">
        <f>VLOOKUP($Z$3,_xlfn.ANCHORARRAY(BH25):_xlfn.ANCHORARRAY(BO25),8,0)</f>
        <v>#N/A</v>
      </c>
      <c r="BW22" s="138" t="e">
        <f ca="1">VLOOKUP($Z$3,_xlfn.ANCHORARRAY(BH25):_xlfn.ANCHORARRAY(BW25),16,0)</f>
        <v>#N/A</v>
      </c>
      <c r="BY22" s="138" t="e">
        <f ca="1">VLOOKUP($Z$3,_xlfn.ANCHORARRAY(BH25):_xlfn.ANCHORARRAY(BY25),18,0)</f>
        <v>#N/A</v>
      </c>
      <c r="BZ22" s="160" t="e">
        <f ca="1">VLOOKUP($Z$3,_xlfn.ANCHORARRAY(BH25):_xlfn.ANCHORARRAY(BZ25),19,0)</f>
        <v>#N/A</v>
      </c>
    </row>
    <row r="23" spans="60:82" ht="18" customHeight="1" x14ac:dyDescent="0.3">
      <c r="BH23" s="138" t="s">
        <v>248</v>
      </c>
      <c r="BI23" s="138" t="s">
        <v>180</v>
      </c>
      <c r="BJ23" s="138" t="s">
        <v>249</v>
      </c>
      <c r="BK23" s="138" t="s">
        <v>250</v>
      </c>
      <c r="BL23" s="138" t="s">
        <v>238</v>
      </c>
      <c r="BM23" s="138" t="s">
        <v>22</v>
      </c>
      <c r="BN23" s="138" t="s">
        <v>251</v>
      </c>
      <c r="BO23" s="138" t="s">
        <v>252</v>
      </c>
      <c r="BP23" s="138" t="s">
        <v>253</v>
      </c>
      <c r="BQ23" s="138" t="s">
        <v>254</v>
      </c>
      <c r="BR23" s="138" t="s">
        <v>255</v>
      </c>
      <c r="BS23" s="138" t="s">
        <v>256</v>
      </c>
      <c r="BT23" s="138" t="s">
        <v>257</v>
      </c>
      <c r="BU23" s="138" t="s">
        <v>134</v>
      </c>
      <c r="BV23" s="138" t="s">
        <v>258</v>
      </c>
      <c r="BW23" s="138" t="s">
        <v>259</v>
      </c>
      <c r="BX23" s="138" t="s">
        <v>260</v>
      </c>
      <c r="BY23" s="138" t="s">
        <v>22</v>
      </c>
      <c r="BZ23" s="138" t="s">
        <v>261</v>
      </c>
      <c r="CA23" s="138" t="s">
        <v>262</v>
      </c>
      <c r="CB23" s="138" t="s">
        <v>263</v>
      </c>
      <c r="CC23" s="138" t="s">
        <v>244</v>
      </c>
      <c r="CD23" s="138" t="s">
        <v>263</v>
      </c>
    </row>
    <row r="24" spans="60:82" ht="18" customHeight="1" x14ac:dyDescent="0.3">
      <c r="BH24" s="138" t="s">
        <v>55</v>
      </c>
      <c r="BI24" s="138" cm="1">
        <f t="array" aca="1" ref="BI24" ca="1">COUNTIFS(
Pivot_Ctr_CtrDon, BH24,
Pivot_Ctr_CtrSKU,BH24,
Pivot_Ctr_DthuDon, "&gt;0",
Pivot_Ctr_TTKhach, 1)</f>
        <v>2</v>
      </c>
      <c r="BJ24" s="138" cm="1">
        <f t="array" aca="1" ref="BJ24" ca="1">COUNTIFS(
Pivot_Ctr_CtrDon, BH24,
Pivot_Ctr_DthuDon, "&gt;0")</f>
        <v>30</v>
      </c>
      <c r="BK24" s="138">
        <f>SUMIFS(Table_Main[Số lượng],
Table_Main[Chương trình],"",
Table_Main[Giá trị bán trước VAT], "&gt;0")</f>
        <v>587</v>
      </c>
      <c r="BL24" s="138" cm="1">
        <f t="array" aca="1" ref="BL24" ca="1">SUMIFS(
Pivot_Ctr_DthuSKU,
Pivot_Ctr_CtrDon, BH24,
Pivot_Ctr_CtrSKU, BH24)</f>
        <v>3859500000</v>
      </c>
      <c r="BM24" s="138" t="str">
        <f ca="1">IFERROR(TEXT(BL24,LOOKUP(BL24,Pivot!$B$6:$B$12,Pivot!$C$6:$C$12)),"")</f>
        <v>3.9tỷ</v>
      </c>
      <c r="BN24" s="165">
        <f>Pivot!$AS$2</f>
        <v>45296</v>
      </c>
      <c r="BO24" s="165">
        <f>Pivot!$AS$3</f>
        <v>45651</v>
      </c>
      <c r="BP24" s="138">
        <f>BO24-BN24+1</f>
        <v>356</v>
      </c>
      <c r="BQ24" s="138">
        <f ca="1">BJ24/BP24</f>
        <v>8.4269662921348312E-2</v>
      </c>
      <c r="BR24" s="138">
        <f>BK24/BP24</f>
        <v>1.648876404494382</v>
      </c>
      <c r="BS24" s="166">
        <f ca="1">BL24/BP24</f>
        <v>10841292.13483146</v>
      </c>
      <c r="BY24" s="138" t="str">
        <f>IFERROR(TEXT(BX24,LOOKUP(BX24,Pivot!$B$6:$B$12,Pivot!$C$6:$C$12)),"")</f>
        <v/>
      </c>
    </row>
    <row r="25" spans="60:82" ht="18" customHeight="1" x14ac:dyDescent="0.3">
      <c r="BH25" s="138" t="str" cm="1">
        <f t="array" ref="BH25">_xlfn.UNIQUE(Table_ChuongTrinh[Mã Chương trình])</f>
        <v>A</v>
      </c>
      <c r="BI25" s="138" cm="1">
        <f t="array" aca="1" ref="BI25" ca="1">COUNTIFS(
Pivot_Ctr_CtrDon,_xlfn.ANCHORARRAY( BH25),
Pivot_Ctr_DthuDon, "&gt;0",
Pivot_Ctr_TTKhach, 1)
+COUNTIFS(
Pivot_Ctr_CtrSKU,_xlfn.ANCHORARRAY( BH25),
Pivot_Ctr_DthuSKU, "&gt;0",
Pivot_Ctr_TTKhach, 1)</f>
        <v>0</v>
      </c>
      <c r="BJ25" s="138" cm="1">
        <f t="array" ref="BJ25">COUNTIFS(
Table_DonBan[Chương trình],_xlfn.ANCHORARRAY( BH25))</f>
        <v>0</v>
      </c>
      <c r="BK25" s="138" cm="1">
        <f t="array" ref="BK25">SUMIFS(Table_Main[Số lượng],
Table_Main[Chương trình],_xlfn.ANCHORARRAY(BH25))</f>
        <v>0</v>
      </c>
      <c r="BL25" s="138" cm="1">
        <f t="array" ref="BL25">SUMIFS(
Table_DonBan[Doanh thu ròng],
Table_DonBan[Chương trình],_xlfn.ANCHORARRAY( BH25))
+SUMIFS(
Table_Main[Giá trị bán trước VAT],
Table_Main[Chương trình],_xlfn.ANCHORARRAY( BH25))</f>
        <v>0</v>
      </c>
      <c r="BM25" s="138" t="str" cm="1">
        <f t="array" ref="BM25">IFERROR(TEXT(_xlfn.ANCHORARRAY(BL25),LOOKUP(_xlfn.ANCHORARRAY(BL25),Pivot!$B$6:$B$12,Pivot!$C$6:$C$12)),"")</f>
        <v/>
      </c>
      <c r="BN25" s="165" cm="1">
        <f t="array" ref="BN25">VLOOKUP(_xlfn.ANCHORARRAY(BH25),Table_ChuongTrinh[Mã Chương trình]:Table_ChuongTrinh[Bắt đầu],4,0)</f>
        <v>0</v>
      </c>
      <c r="BO25" s="165" cm="1">
        <f t="array" ref="BO25">VLOOKUP(_xlfn.ANCHORARRAY(BH25),Table_ChuongTrinh[Mã Chương trình]:Table_ChuongTrinh[Kết thúc],5,0)</f>
        <v>0</v>
      </c>
      <c r="BP25" s="138" cm="1">
        <f t="array" ref="BP25">_xlfn.ANCHORARRAY(BO25)-_xlfn.ANCHORARRAY(BN25)+1</f>
        <v>1</v>
      </c>
      <c r="BQ25" s="138" cm="1">
        <f t="array" ref="BQ25">_xlfn.ANCHORARRAY(BJ25)/_xlfn.ANCHORARRAY(BP25)</f>
        <v>0</v>
      </c>
      <c r="BR25" s="138" cm="1">
        <f t="array" ref="BR25">_xlfn.ANCHORARRAY(BK25)/_xlfn.ANCHORARRAY(BP25)</f>
        <v>0</v>
      </c>
      <c r="BS25" s="166" cm="1">
        <f t="array" ref="BS25">_xlfn.ANCHORARRAY(BL25)/_xlfn.ANCHORARRAY(BP25)</f>
        <v>0</v>
      </c>
      <c r="BT25" s="138" cm="1">
        <f t="array" ref="BT25">SUMIFS(Table_DonBan[Giá trị CK],
Table_DonBan[Chương trình],_xlfn.ANCHORARRAY(BH25))
+ SUMIFS(Table_Main[Giá trị CK],
Table_Main[Chương trình],_xlfn.ANCHORARRAY( BH25))</f>
        <v>0</v>
      </c>
      <c r="BU25" s="138" cm="1">
        <f t="array" ref="BU25">VLOOKUP(_xlfn.ANCHORARRAY(BH25),Table_ChuongTrinh[Mã Chương trình]:Table_ChuongTrinh[Chi phí],10,0)</f>
        <v>0</v>
      </c>
      <c r="BV25" s="161" cm="1">
        <f t="array" ref="BV25">+_xlfn.ANCHORARRAY(BU25)+_xlfn.ANCHORARRAY(BT25)</f>
        <v>0</v>
      </c>
      <c r="BW25" s="138" cm="1">
        <f t="array" aca="1" ref="BW25" ca="1">IFERROR(_xlfn.ANCHORARRAY(BI25)/(_xlfn.ANCHORARRAY(BV25)/1000000),0)</f>
        <v>0</v>
      </c>
      <c r="BX25" s="143" cm="1">
        <f t="array" aca="1" ref="BX25" ca="1">(_xlfn.ANCHORARRAY(BS25)-$BS$24)*_xlfn.ANCHORARRAY(BP25)</f>
        <v>-10841292.13483146</v>
      </c>
      <c r="BY25" s="138" t="str" cm="1">
        <f t="array" aca="1" ref="BY25" ca="1">IFERROR(TEXT(_xlfn.ANCHORARRAY(BX25),LOOKUP(_xlfn.ANCHORARRAY(BX25),Pivot!$B$6:$B$12,Pivot!$C$6:$C$12)),"")</f>
        <v>-10.8tr</v>
      </c>
      <c r="BZ25" s="160" cm="1">
        <f t="array" aca="1" ref="BZ25" ca="1">IFERROR(_xlfn.ANCHORARRAY(BX25)/_xlfn.ANCHORARRAY(BV25),0)</f>
        <v>0</v>
      </c>
      <c r="CA25" s="138" cm="1">
        <f t="array" ref="CA25">IF(_xlfn.ANCHORARRAY(BQ25)=0,0,(_xlfn.ANCHORARRAY(BQ25)-$BQ$24)*_xlfn.ANCHORARRAY(BP25))</f>
        <v>0</v>
      </c>
      <c r="CB25" s="167" cm="1">
        <f t="array" ref="CB25">IFERROR(_xlfn.ANCHORARRAY(CA25)/(_xlfn.ANCHORARRAY(BV25)/1000000),0)</f>
        <v>0</v>
      </c>
      <c r="CC25" s="138" t="str" cm="1">
        <f t="array" ref="CC25">IF(_xlfn.ANCHORARRAY(BR25)=0,"",(_xlfn.ANCHORARRAY(BR25)-$BR$24)*_xlfn.ANCHORARRAY(BP25))</f>
        <v/>
      </c>
      <c r="CD25" s="138" cm="1">
        <f t="array" ref="CD25">IFERROR(_xlfn.ANCHORARRAY(CC25)/(_xlfn.ANCHORARRAY(BV25)/1000000),0)</f>
        <v>0</v>
      </c>
    </row>
    <row r="26" spans="60:82" ht="18" customHeight="1" x14ac:dyDescent="0.3">
      <c r="BS26" s="166"/>
      <c r="BX26" s="166"/>
      <c r="BZ26" s="160"/>
      <c r="CB26" s="166"/>
    </row>
    <row r="27" spans="60:82" ht="18" customHeight="1" x14ac:dyDescent="0.3">
      <c r="BS27" s="166"/>
      <c r="BX27" s="166"/>
      <c r="BZ27" s="160"/>
      <c r="CB27" s="166"/>
    </row>
    <row r="28" spans="60:82" ht="18" customHeight="1" x14ac:dyDescent="0.3">
      <c r="BS28" s="166"/>
      <c r="BX28" s="166"/>
      <c r="BZ28" s="160"/>
      <c r="CB28" s="166"/>
    </row>
  </sheetData>
  <sheetProtection algorithmName="SHA-512" hashValue="V0mgaM4ag3vZXP6VuHSDqDIeSgTpV08HGaWXbWkkkfwSvfwinLWlsPR9VxwY4h3ShgIZ9FTx/o3mZgj8AIRzCg==" saltValue="GuoI5HwHpZXqMHomwrT2Pw==" spinCount="100000" sheet="1" scenarios="1" formatCells="0" formatColumns="0" formatRows="0" insertColumns="0" insertRows="0" deleteColumns="0" deleteRows="0" sort="0" autoFilter="0" pivotTables="0"/>
  <mergeCells count="1">
    <mergeCell ref="Z3:AB3"/>
  </mergeCells>
  <dataValidations count="1">
    <dataValidation type="list" allowBlank="1" showInputMessage="1" showErrorMessage="1" sqref="Z3:AB3" xr:uid="{F3A44728-3D55-45B1-B9F2-30E48DD091D7}">
      <formula1>MaChuongTrinh</formula1>
    </dataValidation>
  </dataValidations>
  <pageMargins left="0.7" right="0.7" top="0.75" bottom="0.75" header="0.3" footer="0.3"/>
  <pageSetup paperSize="9" orientation="portrait" r:id="rId1"/>
  <drawing r:id="rId2"/>
  <tableParts count="3">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39997558519241921"/>
    <outlinePr summaryBelow="0" summaryRight="0"/>
  </sheetPr>
  <dimension ref="A1:Y201"/>
  <sheetViews>
    <sheetView showGridLines="0" topLeftCell="A169" workbookViewId="0">
      <selection activeCell="D204" sqref="D204"/>
    </sheetView>
  </sheetViews>
  <sheetFormatPr defaultRowHeight="18" customHeight="1" outlineLevelRow="2" outlineLevelCol="1" x14ac:dyDescent="0.3"/>
  <cols>
    <col min="1" max="1" width="9.625" style="7" customWidth="1"/>
    <col min="2" max="2" width="29.625" style="7" customWidth="1"/>
    <col min="3" max="3" width="16.125" style="27" bestFit="1" customWidth="1"/>
    <col min="4" max="4" width="13.75" style="7" bestFit="1" customWidth="1"/>
    <col min="5" max="5" width="11.375" style="7" customWidth="1" outlineLevel="1"/>
    <col min="6" max="6" width="10.875" style="7" customWidth="1" outlineLevel="1"/>
    <col min="7" max="7" width="10.75" style="7" customWidth="1" outlineLevel="1"/>
    <col min="8" max="10" width="11" style="7" customWidth="1" outlineLevel="1"/>
    <col min="11" max="11" width="10.875" style="7" customWidth="1" outlineLevel="1"/>
    <col min="12" max="13" width="10.5" style="7" customWidth="1" outlineLevel="1"/>
    <col min="14" max="14" width="10.875" style="7" customWidth="1" outlineLevel="1"/>
    <col min="15" max="15" width="10.625" style="7" customWidth="1" outlineLevel="1"/>
    <col min="16" max="16" width="10.875" style="7" customWidth="1" outlineLevel="1"/>
    <col min="17" max="17" width="9" style="7"/>
    <col min="18" max="18" width="27.375" style="7" bestFit="1" customWidth="1"/>
    <col min="19" max="19" width="10.75" style="7" bestFit="1" customWidth="1"/>
    <col min="20" max="20" width="7.625" style="7" bestFit="1" customWidth="1"/>
    <col min="21" max="21" width="11.875" style="7" customWidth="1"/>
    <col min="22" max="22" width="27.375" style="7" bestFit="1" customWidth="1"/>
    <col min="23" max="23" width="10.75" style="7" bestFit="1" customWidth="1"/>
    <col min="24" max="24" width="7.625" style="7" bestFit="1" customWidth="1"/>
    <col min="25" max="25" width="10.625" style="7" customWidth="1"/>
    <col min="26" max="16384" width="9" style="7"/>
  </cols>
  <sheetData>
    <row r="1" spans="1:24" ht="18" customHeight="1" x14ac:dyDescent="0.3">
      <c r="B1" s="27" t="s">
        <v>264</v>
      </c>
      <c r="C1" s="206"/>
      <c r="D1" s="46">
        <v>1</v>
      </c>
      <c r="E1" s="46">
        <f>+D1+1</f>
        <v>2</v>
      </c>
      <c r="F1" s="46">
        <f t="shared" ref="F1:O1" si="0">+E1+1</f>
        <v>3</v>
      </c>
      <c r="G1" s="46">
        <f t="shared" si="0"/>
        <v>4</v>
      </c>
      <c r="H1" s="46">
        <f t="shared" si="0"/>
        <v>5</v>
      </c>
      <c r="I1" s="46">
        <f t="shared" si="0"/>
        <v>6</v>
      </c>
      <c r="J1" s="46">
        <f t="shared" si="0"/>
        <v>7</v>
      </c>
      <c r="K1" s="46">
        <f t="shared" si="0"/>
        <v>8</v>
      </c>
      <c r="L1" s="46">
        <f t="shared" si="0"/>
        <v>9</v>
      </c>
      <c r="M1" s="46">
        <f t="shared" si="0"/>
        <v>10</v>
      </c>
      <c r="N1" s="46">
        <f t="shared" si="0"/>
        <v>11</v>
      </c>
      <c r="O1" s="46">
        <f t="shared" si="0"/>
        <v>12</v>
      </c>
      <c r="R1" s="7" t="s">
        <v>2</v>
      </c>
      <c r="S1" s="228"/>
      <c r="T1" s="228"/>
      <c r="V1" s="7" t="s">
        <v>1</v>
      </c>
      <c r="W1" s="474"/>
      <c r="X1" s="474"/>
    </row>
    <row r="2" spans="1:24" ht="18" customHeight="1" x14ac:dyDescent="0.3">
      <c r="B2" s="27" t="s">
        <v>266</v>
      </c>
      <c r="C2" s="206"/>
      <c r="D2" s="473">
        <f>DATE(DiemHoaVon_NamKeHoach,COUNTA($D$54:D54),1)</f>
        <v>1</v>
      </c>
      <c r="E2" s="473">
        <f>DATE(DiemHoaVon_NamKeHoach,COUNTA($D$54:E54),1)</f>
        <v>32</v>
      </c>
      <c r="F2" s="473">
        <f>DATE(DiemHoaVon_NamKeHoach,COUNTA($D$54:F54),1)</f>
        <v>61</v>
      </c>
      <c r="G2" s="473">
        <f>DATE(DiemHoaVon_NamKeHoach,COUNTA($D$54:G54),1)</f>
        <v>92</v>
      </c>
      <c r="H2" s="473">
        <f>DATE(DiemHoaVon_NamKeHoach,COUNTA($D$54:H54),1)</f>
        <v>122</v>
      </c>
      <c r="I2" s="473">
        <f>DATE(DiemHoaVon_NamKeHoach,COUNTA($D$54:I54),1)</f>
        <v>153</v>
      </c>
      <c r="J2" s="473">
        <f>DATE(DiemHoaVon_NamKeHoach,COUNTA($D$54:J54),1)</f>
        <v>183</v>
      </c>
      <c r="K2" s="473">
        <f>DATE(DiemHoaVon_NamKeHoach,COUNTA($D$54:K54),1)</f>
        <v>214</v>
      </c>
      <c r="L2" s="473">
        <f>DATE(DiemHoaVon_NamKeHoach,COUNTA($D$54:L54),1)</f>
        <v>245</v>
      </c>
      <c r="M2" s="473">
        <f>DATE(DiemHoaVon_NamKeHoach,COUNTA($D$54:M54),1)</f>
        <v>275</v>
      </c>
      <c r="N2" s="473">
        <f>DATE(DiemHoaVon_NamKeHoach,COUNTA($D$54:N54),1)</f>
        <v>306</v>
      </c>
      <c r="O2" s="473">
        <f>DATE(DiemHoaVon_NamKeHoach,COUNTA($D$54:O54),1)</f>
        <v>336</v>
      </c>
      <c r="R2" s="41" t="s">
        <v>1097</v>
      </c>
      <c r="S2" s="476"/>
    </row>
    <row r="3" spans="1:24" ht="18" customHeight="1" x14ac:dyDescent="0.3">
      <c r="B3" s="27"/>
      <c r="D3" s="473"/>
      <c r="E3" s="473"/>
      <c r="F3" s="473"/>
      <c r="G3" s="473"/>
      <c r="H3" s="473"/>
      <c r="I3" s="473"/>
      <c r="J3" s="473"/>
      <c r="K3" s="473"/>
      <c r="L3" s="473"/>
      <c r="M3" s="473"/>
      <c r="N3" s="473"/>
      <c r="O3" s="473"/>
      <c r="R3" s="41" t="s">
        <v>1096</v>
      </c>
      <c r="S3" s="476"/>
    </row>
    <row r="4" spans="1:24" ht="18" customHeight="1" x14ac:dyDescent="0.3">
      <c r="B4" s="27" t="s">
        <v>265</v>
      </c>
      <c r="C4" s="83"/>
      <c r="D4" s="473"/>
      <c r="E4" s="46"/>
      <c r="F4" s="473"/>
      <c r="G4" s="473"/>
      <c r="H4" s="473"/>
      <c r="I4" s="473"/>
      <c r="J4" s="473"/>
      <c r="K4" s="473"/>
      <c r="L4" s="473"/>
      <c r="M4" s="473"/>
      <c r="N4" s="473"/>
      <c r="O4" s="473"/>
      <c r="P4" s="84"/>
      <c r="R4" s="41" t="s">
        <v>1043</v>
      </c>
      <c r="S4" s="425" t="e">
        <f>NPV(S2,S47:T47)</f>
        <v>#DIV/0!</v>
      </c>
      <c r="T4" s="425" cm="1">
        <f t="array" ref="T4">IF(ISBLANK(T1),0,INDEX($R$1:T4,COUNTA($R$1:$R$4),COUNTA($R$1:T1)-1)/(1+$S$2)^(T1-$S$1))</f>
        <v>0</v>
      </c>
    </row>
    <row r="5" spans="1:24" ht="18" customHeight="1" x14ac:dyDescent="0.3">
      <c r="A5" s="473"/>
      <c r="B5" s="473"/>
      <c r="C5" s="473"/>
      <c r="D5" s="473"/>
      <c r="E5" s="46"/>
      <c r="F5" s="473"/>
      <c r="G5" s="473"/>
      <c r="H5" s="473"/>
      <c r="I5" s="473"/>
      <c r="J5" s="473"/>
      <c r="K5" s="473"/>
      <c r="L5" s="473"/>
      <c r="M5" s="473"/>
      <c r="N5" s="473"/>
      <c r="O5" s="473"/>
      <c r="P5" s="84"/>
      <c r="R5" s="41" t="s">
        <v>1044</v>
      </c>
      <c r="S5" s="506" t="e">
        <f>IRR(S47:T47)</f>
        <v>#VALUE!</v>
      </c>
    </row>
    <row r="6" spans="1:24" s="12" customFormat="1" ht="18" customHeight="1" x14ac:dyDescent="0.3">
      <c r="B6" s="4" t="s">
        <v>884</v>
      </c>
      <c r="C6" s="4" t="s">
        <v>2</v>
      </c>
      <c r="D6" s="16" t="s">
        <v>269</v>
      </c>
      <c r="E6" s="16" t="s">
        <v>270</v>
      </c>
      <c r="F6" s="16" t="s">
        <v>271</v>
      </c>
      <c r="G6" s="16" t="s">
        <v>272</v>
      </c>
      <c r="H6" s="16" t="s">
        <v>273</v>
      </c>
      <c r="I6" s="16" t="s">
        <v>274</v>
      </c>
      <c r="J6" s="16" t="s">
        <v>275</v>
      </c>
      <c r="K6" s="16" t="s">
        <v>276</v>
      </c>
      <c r="L6" s="16" t="s">
        <v>277</v>
      </c>
      <c r="M6" s="16" t="s">
        <v>278</v>
      </c>
      <c r="N6" s="16" t="s">
        <v>279</v>
      </c>
      <c r="O6" s="16" t="s">
        <v>280</v>
      </c>
      <c r="P6" s="4" t="s">
        <v>883</v>
      </c>
      <c r="R6" s="4" t="s">
        <v>884</v>
      </c>
      <c r="S6" s="4" t="s">
        <v>901</v>
      </c>
      <c r="T6" s="4" t="s">
        <v>883</v>
      </c>
      <c r="V6" s="4" t="s">
        <v>884</v>
      </c>
      <c r="W6" s="4" t="s">
        <v>1</v>
      </c>
      <c r="X6" s="4" t="s">
        <v>883</v>
      </c>
    </row>
    <row r="7" spans="1:24" s="12" customFormat="1" ht="18" customHeight="1" x14ac:dyDescent="0.3">
      <c r="B7" s="74" t="s">
        <v>73</v>
      </c>
      <c r="C7" s="105">
        <f>SUM(Table_KeHoach_TuDong[[#This Row],[Tháng 1]:[Tháng 12]])</f>
        <v>0</v>
      </c>
      <c r="D7" s="105">
        <f>Table_KeHoach_SanLuong[[#Totals],[Tháng 1]]</f>
        <v>0</v>
      </c>
      <c r="E7" s="105">
        <f>Table_KeHoach_SanLuong[[#Totals],[Tháng 2]]</f>
        <v>0</v>
      </c>
      <c r="F7" s="105">
        <f>Table_KeHoach_SanLuong[[#Totals],[Tháng 3]]</f>
        <v>0</v>
      </c>
      <c r="G7" s="105">
        <f>Table_KeHoach_SanLuong[[#Totals],[Tháng 4]]</f>
        <v>0</v>
      </c>
      <c r="H7" s="105">
        <f>Table_KeHoach_SanLuong[[#Totals],[Tháng 5]]</f>
        <v>0</v>
      </c>
      <c r="I7" s="105">
        <f>Table_KeHoach_SanLuong[[#Totals],[Tháng 6]]</f>
        <v>0</v>
      </c>
      <c r="J7" s="105">
        <f>Table_KeHoach_SanLuong[[#Totals],[Tháng 7]]</f>
        <v>0</v>
      </c>
      <c r="K7" s="105">
        <f>Table_KeHoach_SanLuong[[#Totals],[Tháng 8]]</f>
        <v>0</v>
      </c>
      <c r="L7" s="105">
        <f>Table_KeHoach_SanLuong[[#Totals],[Tháng 9]]</f>
        <v>0</v>
      </c>
      <c r="M7" s="105">
        <f>Table_KeHoach_SanLuong[[#Totals],[Tháng 10]]</f>
        <v>0</v>
      </c>
      <c r="N7" s="105">
        <f>Table_KeHoach_SanLuong[[#Totals],[Tháng 11]]</f>
        <v>0</v>
      </c>
      <c r="O7" s="105">
        <f>Table_KeHoach_SanLuong[[#Totals],[Tháng 12]]</f>
        <v>0</v>
      </c>
      <c r="P7" s="435"/>
      <c r="R7" s="74" t="s">
        <v>73</v>
      </c>
      <c r="S7" s="105"/>
      <c r="T7" s="105"/>
      <c r="V7" s="74" t="s">
        <v>73</v>
      </c>
      <c r="W7" s="105"/>
      <c r="X7" s="105"/>
    </row>
    <row r="8" spans="1:24" ht="18" customHeight="1" outlineLevel="1" x14ac:dyDescent="0.3">
      <c r="B8" s="87" t="s">
        <v>282</v>
      </c>
      <c r="C8" s="104" t="e">
        <f>(-C23/(C21/C7))/12</f>
        <v>#N/A</v>
      </c>
      <c r="D8" s="104" t="e">
        <f t="shared" ref="D8:O8" si="1">(-D23/(D21/D7))</f>
        <v>#N/A</v>
      </c>
      <c r="E8" s="104" t="e">
        <f t="shared" si="1"/>
        <v>#N/A</v>
      </c>
      <c r="F8" s="104" t="e">
        <f t="shared" si="1"/>
        <v>#N/A</v>
      </c>
      <c r="G8" s="104" t="e">
        <f t="shared" si="1"/>
        <v>#N/A</v>
      </c>
      <c r="H8" s="104" t="e">
        <f t="shared" si="1"/>
        <v>#N/A</v>
      </c>
      <c r="I8" s="104" t="e">
        <f t="shared" si="1"/>
        <v>#N/A</v>
      </c>
      <c r="J8" s="104" t="e">
        <f t="shared" si="1"/>
        <v>#N/A</v>
      </c>
      <c r="K8" s="104" t="e">
        <f t="shared" si="1"/>
        <v>#N/A</v>
      </c>
      <c r="L8" s="104" t="e">
        <f t="shared" si="1"/>
        <v>#N/A</v>
      </c>
      <c r="M8" s="104" t="e">
        <f t="shared" si="1"/>
        <v>#N/A</v>
      </c>
      <c r="N8" s="104" t="e">
        <f t="shared" si="1"/>
        <v>#N/A</v>
      </c>
      <c r="O8" s="104" t="e">
        <f t="shared" si="1"/>
        <v>#N/A</v>
      </c>
      <c r="P8" s="481"/>
      <c r="R8" s="87" t="s">
        <v>282</v>
      </c>
      <c r="S8" s="87"/>
      <c r="T8" s="104"/>
      <c r="V8" s="87" t="s">
        <v>282</v>
      </c>
      <c r="W8" s="104"/>
      <c r="X8" s="104"/>
    </row>
    <row r="9" spans="1:24" s="88" customFormat="1" ht="18" customHeight="1" outlineLevel="1" x14ac:dyDescent="0.3">
      <c r="A9" s="69"/>
      <c r="B9" s="87" t="s">
        <v>283</v>
      </c>
      <c r="C9" s="104" t="e">
        <f>(-C23/(C21/C7))/365</f>
        <v>#N/A</v>
      </c>
      <c r="D9" s="104" t="e">
        <f t="shared" ref="D9:O9" si="2">D8/_xlfn.DAYS(
DATE(YEAR(D$2),MONTH(D$2)+1,1),
DATE(YEAR(D$2),MONTH(D$2),1)
)</f>
        <v>#N/A</v>
      </c>
      <c r="E9" s="104" t="e">
        <f t="shared" si="2"/>
        <v>#N/A</v>
      </c>
      <c r="F9" s="104" t="e">
        <f t="shared" si="2"/>
        <v>#N/A</v>
      </c>
      <c r="G9" s="104" t="e">
        <f t="shared" si="2"/>
        <v>#N/A</v>
      </c>
      <c r="H9" s="104" t="e">
        <f t="shared" si="2"/>
        <v>#N/A</v>
      </c>
      <c r="I9" s="104" t="e">
        <f t="shared" si="2"/>
        <v>#N/A</v>
      </c>
      <c r="J9" s="104" t="e">
        <f t="shared" si="2"/>
        <v>#N/A</v>
      </c>
      <c r="K9" s="104" t="e">
        <f t="shared" si="2"/>
        <v>#N/A</v>
      </c>
      <c r="L9" s="104" t="e">
        <f t="shared" si="2"/>
        <v>#N/A</v>
      </c>
      <c r="M9" s="104" t="e">
        <f t="shared" si="2"/>
        <v>#N/A</v>
      </c>
      <c r="N9" s="104" t="e">
        <f t="shared" si="2"/>
        <v>#N/A</v>
      </c>
      <c r="O9" s="104" t="e">
        <f t="shared" si="2"/>
        <v>#N/A</v>
      </c>
      <c r="P9" s="481"/>
      <c r="R9" s="87" t="s">
        <v>283</v>
      </c>
      <c r="S9" s="87"/>
      <c r="T9" s="104"/>
      <c r="V9" s="87" t="s">
        <v>283</v>
      </c>
      <c r="W9" s="104"/>
      <c r="X9" s="104"/>
    </row>
    <row r="10" spans="1:24" s="88" customFormat="1" ht="18" customHeight="1" outlineLevel="1" x14ac:dyDescent="0.3">
      <c r="A10" s="69"/>
      <c r="B10" s="54" t="s">
        <v>75</v>
      </c>
      <c r="C10" s="101" t="e">
        <f>(C7/365)/C9-1</f>
        <v>#N/A</v>
      </c>
      <c r="D10" s="101" t="e">
        <f t="shared" ref="D10:O10" si="3">(D7/_xlfn.DAYS(
DATE(YEAR(D$2),MONTH(D$2)+1,1),
DATE(YEAR(D$2),MONTH(D$2),1)))/D9-1</f>
        <v>#N/A</v>
      </c>
      <c r="E10" s="101" t="e">
        <f t="shared" si="3"/>
        <v>#N/A</v>
      </c>
      <c r="F10" s="101" t="e">
        <f t="shared" si="3"/>
        <v>#N/A</v>
      </c>
      <c r="G10" s="101" t="e">
        <f t="shared" si="3"/>
        <v>#N/A</v>
      </c>
      <c r="H10" s="101" t="e">
        <f t="shared" si="3"/>
        <v>#N/A</v>
      </c>
      <c r="I10" s="101" t="e">
        <f t="shared" si="3"/>
        <v>#N/A</v>
      </c>
      <c r="J10" s="101" t="e">
        <f t="shared" si="3"/>
        <v>#N/A</v>
      </c>
      <c r="K10" s="101" t="e">
        <f t="shared" si="3"/>
        <v>#N/A</v>
      </c>
      <c r="L10" s="101" t="e">
        <f t="shared" si="3"/>
        <v>#N/A</v>
      </c>
      <c r="M10" s="101" t="e">
        <f t="shared" si="3"/>
        <v>#N/A</v>
      </c>
      <c r="N10" s="101" t="e">
        <f t="shared" si="3"/>
        <v>#N/A</v>
      </c>
      <c r="O10" s="101" t="e">
        <f t="shared" si="3"/>
        <v>#N/A</v>
      </c>
      <c r="P10" s="209"/>
      <c r="R10" s="54" t="s">
        <v>75</v>
      </c>
      <c r="S10" s="54"/>
      <c r="T10" s="101"/>
      <c r="V10" s="54" t="s">
        <v>75</v>
      </c>
      <c r="W10" s="101"/>
      <c r="X10" s="101"/>
    </row>
    <row r="11" spans="1:24" s="88" customFormat="1" ht="18" customHeight="1" outlineLevel="1" x14ac:dyDescent="0.3">
      <c r="A11" s="69"/>
      <c r="B11" s="74" t="s">
        <v>33</v>
      </c>
      <c r="C11" s="103" t="e">
        <f>SUM(Table_KeHoach_TuDong[[#This Row],[Tháng 1]:[Tháng 12]])</f>
        <v>#N/A</v>
      </c>
      <c r="D11" s="103" t="e">
        <f>+Table_KeHoach_DoanhThu[[#Totals],[Tháng 1]]</f>
        <v>#N/A</v>
      </c>
      <c r="E11" s="103" t="e">
        <f>+Table_KeHoach_DoanhThu[[#Totals],[Tháng 2]]</f>
        <v>#N/A</v>
      </c>
      <c r="F11" s="103" t="e">
        <f>+Table_KeHoach_DoanhThu[[#Totals],[Tháng 3]]</f>
        <v>#N/A</v>
      </c>
      <c r="G11" s="103" t="e">
        <f>+Table_KeHoach_DoanhThu[[#Totals],[Tháng 4]]</f>
        <v>#N/A</v>
      </c>
      <c r="H11" s="103" t="e">
        <f>+Table_KeHoach_DoanhThu[[#Totals],[Tháng 5]]</f>
        <v>#N/A</v>
      </c>
      <c r="I11" s="103" t="e">
        <f>+Table_KeHoach_DoanhThu[[#Totals],[Tháng 6]]</f>
        <v>#N/A</v>
      </c>
      <c r="J11" s="103" t="e">
        <f>+Table_KeHoach_DoanhThu[[#Totals],[Tháng 7]]</f>
        <v>#N/A</v>
      </c>
      <c r="K11" s="103" t="e">
        <f>+Table_KeHoach_DoanhThu[[#Totals],[Tháng 8]]</f>
        <v>#N/A</v>
      </c>
      <c r="L11" s="103" t="e">
        <f>+Table_KeHoach_DoanhThu[[#Totals],[Tháng 9]]</f>
        <v>#N/A</v>
      </c>
      <c r="M11" s="103" t="e">
        <f>+Table_KeHoach_DoanhThu[[#Totals],[Tháng 10]]</f>
        <v>#N/A</v>
      </c>
      <c r="N11" s="103" t="e">
        <f>+Table_KeHoach_DoanhThu[[#Totals],[Tháng 11]]</f>
        <v>#N/A</v>
      </c>
      <c r="O11" s="103" t="e">
        <f>+Table_KeHoach_DoanhThu[[#Totals],[Tháng 12]]</f>
        <v>#N/A</v>
      </c>
      <c r="P11" s="435"/>
      <c r="R11" s="74" t="s">
        <v>33</v>
      </c>
      <c r="S11" s="74"/>
      <c r="T11" s="330"/>
      <c r="V11" s="74" t="s">
        <v>33</v>
      </c>
      <c r="W11" s="103"/>
      <c r="X11" s="103"/>
    </row>
    <row r="12" spans="1:24" ht="18" customHeight="1" outlineLevel="1" x14ac:dyDescent="0.3">
      <c r="B12" s="99" t="s">
        <v>284</v>
      </c>
      <c r="C12" s="109">
        <f t="shared" ref="C12:O12" si="4">IFERROR((C11+C13)/C11,0)</f>
        <v>0</v>
      </c>
      <c r="D12" s="109">
        <f t="shared" si="4"/>
        <v>0</v>
      </c>
      <c r="E12" s="109">
        <f t="shared" si="4"/>
        <v>0</v>
      </c>
      <c r="F12" s="109">
        <f t="shared" si="4"/>
        <v>0</v>
      </c>
      <c r="G12" s="109">
        <f t="shared" si="4"/>
        <v>0</v>
      </c>
      <c r="H12" s="109">
        <f t="shared" si="4"/>
        <v>0</v>
      </c>
      <c r="I12" s="109">
        <f t="shared" si="4"/>
        <v>0</v>
      </c>
      <c r="J12" s="109">
        <f t="shared" si="4"/>
        <v>0</v>
      </c>
      <c r="K12" s="109">
        <f t="shared" si="4"/>
        <v>0</v>
      </c>
      <c r="L12" s="109">
        <f t="shared" si="4"/>
        <v>0</v>
      </c>
      <c r="M12" s="109">
        <f t="shared" si="4"/>
        <v>0</v>
      </c>
      <c r="N12" s="109">
        <f t="shared" si="4"/>
        <v>0</v>
      </c>
      <c r="O12" s="109">
        <f t="shared" si="4"/>
        <v>0</v>
      </c>
      <c r="P12" s="207"/>
      <c r="R12" s="99" t="s">
        <v>284</v>
      </c>
      <c r="S12" s="99"/>
      <c r="T12" s="109"/>
      <c r="V12" s="99" t="s">
        <v>284</v>
      </c>
      <c r="W12" s="109"/>
      <c r="X12" s="109"/>
    </row>
    <row r="13" spans="1:24" s="100" customFormat="1" ht="18" customHeight="1" outlineLevel="1" x14ac:dyDescent="0.3">
      <c r="B13" s="54" t="s">
        <v>77</v>
      </c>
      <c r="C13" s="102" t="e">
        <f>SUM(Table_KeHoach_TuDong[[#This Row],[Tháng 1]:[Tháng 12]])</f>
        <v>#N/A</v>
      </c>
      <c r="D13" s="102" t="e">
        <f t="shared" ref="D13:O13" si="5">SUM(D14:D20)</f>
        <v>#N/A</v>
      </c>
      <c r="E13" s="102" t="e">
        <f t="shared" si="5"/>
        <v>#N/A</v>
      </c>
      <c r="F13" s="102" t="e">
        <f t="shared" si="5"/>
        <v>#N/A</v>
      </c>
      <c r="G13" s="102" t="e">
        <f t="shared" si="5"/>
        <v>#N/A</v>
      </c>
      <c r="H13" s="102" t="e">
        <f t="shared" si="5"/>
        <v>#N/A</v>
      </c>
      <c r="I13" s="102" t="e">
        <f t="shared" si="5"/>
        <v>#N/A</v>
      </c>
      <c r="J13" s="102" t="e">
        <f t="shared" si="5"/>
        <v>#N/A</v>
      </c>
      <c r="K13" s="102" t="e">
        <f t="shared" si="5"/>
        <v>#N/A</v>
      </c>
      <c r="L13" s="102" t="e">
        <f t="shared" si="5"/>
        <v>#N/A</v>
      </c>
      <c r="M13" s="102" t="e">
        <f t="shared" si="5"/>
        <v>#N/A</v>
      </c>
      <c r="N13" s="102" t="e">
        <f t="shared" si="5"/>
        <v>#N/A</v>
      </c>
      <c r="O13" s="102" t="e">
        <f t="shared" si="5"/>
        <v>#N/A</v>
      </c>
      <c r="P13" s="207"/>
      <c r="R13" s="54" t="s">
        <v>77</v>
      </c>
      <c r="S13" s="54"/>
      <c r="T13" s="325"/>
      <c r="V13" s="54" t="s">
        <v>77</v>
      </c>
      <c r="W13" s="102"/>
      <c r="X13" s="102"/>
    </row>
    <row r="14" spans="1:24" ht="18" customHeight="1" outlineLevel="2" x14ac:dyDescent="0.3">
      <c r="B14" s="73" t="s">
        <v>285</v>
      </c>
      <c r="C14" s="107">
        <f>SUM(Table_KeHoach_TuDong[[#This Row],[Tháng 1]:[Tháng 12]])</f>
        <v>0</v>
      </c>
      <c r="D14" s="107">
        <f>D70</f>
        <v>0</v>
      </c>
      <c r="E14" s="107">
        <f t="shared" ref="E14:O14" si="6">E70</f>
        <v>0</v>
      </c>
      <c r="F14" s="107">
        <f t="shared" si="6"/>
        <v>0</v>
      </c>
      <c r="G14" s="107">
        <f t="shared" si="6"/>
        <v>0</v>
      </c>
      <c r="H14" s="107">
        <f t="shared" si="6"/>
        <v>0</v>
      </c>
      <c r="I14" s="107">
        <f t="shared" si="6"/>
        <v>0</v>
      </c>
      <c r="J14" s="107">
        <f t="shared" si="6"/>
        <v>0</v>
      </c>
      <c r="K14" s="107">
        <f t="shared" si="6"/>
        <v>0</v>
      </c>
      <c r="L14" s="107">
        <f t="shared" si="6"/>
        <v>0</v>
      </c>
      <c r="M14" s="107">
        <f t="shared" si="6"/>
        <v>0</v>
      </c>
      <c r="N14" s="107">
        <f t="shared" si="6"/>
        <v>0</v>
      </c>
      <c r="O14" s="107">
        <f t="shared" si="6"/>
        <v>0</v>
      </c>
      <c r="P14" s="208"/>
      <c r="R14" s="73" t="s">
        <v>285</v>
      </c>
      <c r="S14" s="73"/>
      <c r="T14" s="331"/>
      <c r="V14" s="73" t="s">
        <v>285</v>
      </c>
      <c r="W14" s="107"/>
      <c r="X14" s="107"/>
    </row>
    <row r="15" spans="1:24" s="41" customFormat="1" ht="18" customHeight="1" outlineLevel="2" x14ac:dyDescent="0.3">
      <c r="B15" s="73" t="s">
        <v>286</v>
      </c>
      <c r="C15" s="107">
        <f>SUM(Table_KeHoach_TuDong[[#This Row],[Tháng 1]:[Tháng 12]])</f>
        <v>0</v>
      </c>
      <c r="D15" s="107">
        <f>Table_KeHoach_ChiPhiSKU[[#Totals],[Tháng 1]]+Table_KeHoach_ChiPhiVatTuSX[[#Totals],[Tháng 1]]</f>
        <v>0</v>
      </c>
      <c r="E15" s="107">
        <f>Table_KeHoach_ChiPhiSKU[[#Totals],[Tháng 2]]+Table_KeHoach_ChiPhiVatTuSX[[#Totals],[Tháng 2]]</f>
        <v>0</v>
      </c>
      <c r="F15" s="107">
        <f>Table_KeHoach_ChiPhiSKU[[#Totals],[Tháng 3]]+Table_KeHoach_ChiPhiVatTuSX[[#Totals],[Tháng 3]]</f>
        <v>0</v>
      </c>
      <c r="G15" s="107">
        <f>Table_KeHoach_ChiPhiSKU[[#Totals],[Tháng 4]]+Table_KeHoach_ChiPhiVatTuSX[[#Totals],[Tháng 4]]</f>
        <v>0</v>
      </c>
      <c r="H15" s="107">
        <f>Table_KeHoach_ChiPhiSKU[[#Totals],[Tháng 5]]+Table_KeHoach_ChiPhiVatTuSX[[#Totals],[Tháng 5]]</f>
        <v>0</v>
      </c>
      <c r="I15" s="107">
        <f>Table_KeHoach_ChiPhiSKU[[#Totals],[Tháng 6]]+Table_KeHoach_ChiPhiVatTuSX[[#Totals],[Tháng 6]]</f>
        <v>0</v>
      </c>
      <c r="J15" s="107">
        <f>Table_KeHoach_ChiPhiSKU[[#Totals],[Tháng 7]]+Table_KeHoach_ChiPhiVatTuSX[[#Totals],[Tháng 7]]</f>
        <v>0</v>
      </c>
      <c r="K15" s="107">
        <f>Table_KeHoach_ChiPhiSKU[[#Totals],[Tháng 8]]+Table_KeHoach_ChiPhiVatTuSX[[#Totals],[Tháng 8]]</f>
        <v>0</v>
      </c>
      <c r="L15" s="107">
        <f>Table_KeHoach_ChiPhiSKU[[#Totals],[Tháng 9]]+Table_KeHoach_ChiPhiVatTuSX[[#Totals],[Tháng 9]]</f>
        <v>0</v>
      </c>
      <c r="M15" s="107">
        <f>Table_KeHoach_ChiPhiSKU[[#Totals],[Tháng 10]]+Table_KeHoach_ChiPhiVatTuSX[[#Totals],[Tháng 10]]</f>
        <v>0</v>
      </c>
      <c r="N15" s="107">
        <f>Table_KeHoach_ChiPhiSKU[[#Totals],[Tháng 11]]+Table_KeHoach_ChiPhiVatTuSX[[#Totals],[Tháng 11]]</f>
        <v>0</v>
      </c>
      <c r="O15" s="107">
        <f>Table_KeHoach_ChiPhiSKU[[#Totals],[Tháng 12]]+Table_KeHoach_ChiPhiVatTuSX[[#Totals],[Tháng 12]]</f>
        <v>0</v>
      </c>
      <c r="P15" s="207"/>
      <c r="R15" s="73" t="s">
        <v>286</v>
      </c>
      <c r="S15" s="73"/>
      <c r="T15" s="331"/>
      <c r="V15" s="73" t="s">
        <v>286</v>
      </c>
      <c r="W15" s="107"/>
      <c r="X15" s="107"/>
    </row>
    <row r="16" spans="1:24" ht="18" customHeight="1" outlineLevel="2" x14ac:dyDescent="0.3">
      <c r="B16" s="73" t="s">
        <v>287</v>
      </c>
      <c r="C16" s="107">
        <f>SUM(Table_KeHoach_TuDong[[#This Row],[Tháng 1]:[Tháng 12]])</f>
        <v>0</v>
      </c>
      <c r="D16" s="108">
        <f>Table_KeHoach_ChiPhiTienIchSX[[#Totals],[Tháng 1]]</f>
        <v>0</v>
      </c>
      <c r="E16" s="108">
        <f>Table_KeHoach_ChiPhiTienIchSX[[#Totals],[Tháng 2]]</f>
        <v>0</v>
      </c>
      <c r="F16" s="108">
        <f>Table_KeHoach_ChiPhiTienIchSX[[#Totals],[Tháng 3]]</f>
        <v>0</v>
      </c>
      <c r="G16" s="108">
        <f>Table_KeHoach_ChiPhiTienIchSX[[#Totals],[Tháng 4]]</f>
        <v>0</v>
      </c>
      <c r="H16" s="108">
        <f>Table_KeHoach_ChiPhiTienIchSX[[#Totals],[Tháng 5]]</f>
        <v>0</v>
      </c>
      <c r="I16" s="108">
        <f>Table_KeHoach_ChiPhiTienIchSX[[#Totals],[Tháng 6]]</f>
        <v>0</v>
      </c>
      <c r="J16" s="108">
        <f>Table_KeHoach_ChiPhiTienIchSX[[#Totals],[Tháng 7]]</f>
        <v>0</v>
      </c>
      <c r="K16" s="108">
        <f>Table_KeHoach_ChiPhiTienIchSX[[#Totals],[Tháng 8]]</f>
        <v>0</v>
      </c>
      <c r="L16" s="108">
        <f>Table_KeHoach_ChiPhiTienIchSX[[#Totals],[Tháng 9]]</f>
        <v>0</v>
      </c>
      <c r="M16" s="108">
        <f>Table_KeHoach_ChiPhiTienIchSX[[#Totals],[Tháng 10]]</f>
        <v>0</v>
      </c>
      <c r="N16" s="108">
        <f>Table_KeHoach_ChiPhiTienIchSX[[#Totals],[Tháng 11]]</f>
        <v>0</v>
      </c>
      <c r="O16" s="108">
        <f>Table_KeHoach_ChiPhiTienIchSX[[#Totals],[Tháng 12]]</f>
        <v>0</v>
      </c>
      <c r="P16" s="207"/>
      <c r="R16" s="73" t="s">
        <v>287</v>
      </c>
      <c r="S16" s="73"/>
      <c r="T16" s="331"/>
      <c r="V16" s="73" t="s">
        <v>287</v>
      </c>
      <c r="W16" s="108"/>
      <c r="X16" s="108"/>
    </row>
    <row r="17" spans="2:24" ht="18" customHeight="1" outlineLevel="2" x14ac:dyDescent="0.3">
      <c r="B17" s="73" t="s">
        <v>288</v>
      </c>
      <c r="C17" s="107" t="e">
        <f>SUM(Table_KeHoach_TuDong[[#This Row],[Tháng 1]:[Tháng 12]])</f>
        <v>#N/A</v>
      </c>
      <c r="D17" s="107" t="e">
        <f>Table_KeHoach_ChiPhiHoaHong[[#Totals],[Tháng 1]]</f>
        <v>#N/A</v>
      </c>
      <c r="E17" s="107" t="e">
        <f>Table_KeHoach_ChiPhiHoaHong[[#Totals],[Tháng 2]]</f>
        <v>#N/A</v>
      </c>
      <c r="F17" s="107" t="e">
        <f>Table_KeHoach_ChiPhiHoaHong[[#Totals],[Tháng 3]]</f>
        <v>#N/A</v>
      </c>
      <c r="G17" s="107" t="e">
        <f>Table_KeHoach_ChiPhiHoaHong[[#Totals],[Tháng 4]]</f>
        <v>#N/A</v>
      </c>
      <c r="H17" s="107" t="e">
        <f>Table_KeHoach_ChiPhiHoaHong[[#Totals],[Tháng 5]]</f>
        <v>#N/A</v>
      </c>
      <c r="I17" s="107" t="e">
        <f>Table_KeHoach_ChiPhiHoaHong[[#Totals],[Tháng 6]]</f>
        <v>#N/A</v>
      </c>
      <c r="J17" s="107" t="e">
        <f>Table_KeHoach_ChiPhiHoaHong[[#Totals],[Tháng 7]]</f>
        <v>#N/A</v>
      </c>
      <c r="K17" s="107" t="e">
        <f>Table_KeHoach_ChiPhiHoaHong[[#Totals],[Tháng 8]]</f>
        <v>#N/A</v>
      </c>
      <c r="L17" s="107" t="e">
        <f>Table_KeHoach_ChiPhiHoaHong[[#Totals],[Tháng 9]]</f>
        <v>#N/A</v>
      </c>
      <c r="M17" s="107" t="e">
        <f>Table_KeHoach_ChiPhiHoaHong[[#Totals],[Tháng 10]]</f>
        <v>#N/A</v>
      </c>
      <c r="N17" s="107" t="e">
        <f>Table_KeHoach_ChiPhiHoaHong[[#Totals],[Tháng 11]]</f>
        <v>#N/A</v>
      </c>
      <c r="O17" s="107" t="e">
        <f>Table_KeHoach_ChiPhiHoaHong[[#Totals],[Tháng 12]]</f>
        <v>#N/A</v>
      </c>
      <c r="P17" s="208"/>
      <c r="R17" s="73" t="s">
        <v>288</v>
      </c>
      <c r="S17" s="73"/>
      <c r="T17" s="331"/>
      <c r="V17" s="73" t="s">
        <v>288</v>
      </c>
      <c r="W17" s="107"/>
      <c r="X17" s="107"/>
    </row>
    <row r="18" spans="2:24" s="41" customFormat="1" ht="18" customHeight="1" outlineLevel="2" x14ac:dyDescent="0.3">
      <c r="B18" s="73" t="s">
        <v>289</v>
      </c>
      <c r="C18" s="107">
        <f>SUM(Table_KeHoach_TuDong[[#This Row],[Tháng 1]:[Tháng 12]])</f>
        <v>0</v>
      </c>
      <c r="D18" s="108">
        <f>Table_KeHoach_ThuongNhanSu[[#Totals],[Tháng 1]]</f>
        <v>0</v>
      </c>
      <c r="E18" s="108">
        <f>Table_KeHoach_ThuongNhanSu[[#Totals],[Tháng 2]]</f>
        <v>0</v>
      </c>
      <c r="F18" s="108">
        <f>Table_KeHoach_ThuongNhanSu[[#Totals],[Tháng 3]]</f>
        <v>0</v>
      </c>
      <c r="G18" s="108">
        <f>Table_KeHoach_ThuongNhanSu[[#Totals],[Tháng 4]]</f>
        <v>0</v>
      </c>
      <c r="H18" s="108">
        <f>Table_KeHoach_ThuongNhanSu[[#Totals],[Tháng 5]]</f>
        <v>0</v>
      </c>
      <c r="I18" s="108">
        <f>Table_KeHoach_ThuongNhanSu[[#Totals],[Tháng 6]]</f>
        <v>0</v>
      </c>
      <c r="J18" s="108">
        <f>Table_KeHoach_ThuongNhanSu[[#Totals],[Tháng 7]]</f>
        <v>0</v>
      </c>
      <c r="K18" s="108">
        <f>Table_KeHoach_ThuongNhanSu[[#Totals],[Tháng 8]]</f>
        <v>0</v>
      </c>
      <c r="L18" s="108">
        <f>Table_KeHoach_ThuongNhanSu[[#Totals],[Tháng 9]]</f>
        <v>0</v>
      </c>
      <c r="M18" s="108">
        <f>Table_KeHoach_ThuongNhanSu[[#Totals],[Tháng 10]]</f>
        <v>0</v>
      </c>
      <c r="N18" s="108">
        <f>Table_KeHoach_ThuongNhanSu[[#Totals],[Tháng 11]]</f>
        <v>0</v>
      </c>
      <c r="O18" s="108">
        <f>Table_KeHoach_ThuongNhanSu[[#Totals],[Tháng 12]]</f>
        <v>0</v>
      </c>
      <c r="P18" s="207"/>
      <c r="R18" s="73" t="s">
        <v>289</v>
      </c>
      <c r="S18" s="73"/>
      <c r="T18" s="331"/>
      <c r="V18" s="73" t="s">
        <v>289</v>
      </c>
      <c r="W18" s="108"/>
      <c r="X18" s="108"/>
    </row>
    <row r="19" spans="2:24" ht="18" customHeight="1" outlineLevel="2" x14ac:dyDescent="0.3">
      <c r="B19" s="73" t="s">
        <v>290</v>
      </c>
      <c r="C19" s="107" t="e">
        <f>SUM(Table_KeHoach_TuDong[[#This Row],[Tháng 1]:[Tháng 12]])</f>
        <v>#N/A</v>
      </c>
      <c r="D19" s="108" t="e">
        <f>Table_KeHoach_ChiPhiThanhToan[[#Totals],[Tháng 1]]</f>
        <v>#N/A</v>
      </c>
      <c r="E19" s="108" t="e">
        <f>Table_KeHoach_ChiPhiThanhToan[[#Totals],[Tháng 2]]</f>
        <v>#N/A</v>
      </c>
      <c r="F19" s="108" t="e">
        <f>Table_KeHoach_ChiPhiThanhToan[[#Totals],[Tháng 3]]</f>
        <v>#N/A</v>
      </c>
      <c r="G19" s="108" t="e">
        <f>Table_KeHoach_ChiPhiThanhToan[[#Totals],[Tháng 4]]</f>
        <v>#N/A</v>
      </c>
      <c r="H19" s="108" t="e">
        <f>Table_KeHoach_ChiPhiThanhToan[[#Totals],[Tháng 5]]</f>
        <v>#N/A</v>
      </c>
      <c r="I19" s="108" t="e">
        <f>Table_KeHoach_ChiPhiThanhToan[[#Totals],[Tháng 6]]</f>
        <v>#N/A</v>
      </c>
      <c r="J19" s="108" t="e">
        <f>Table_KeHoach_ChiPhiThanhToan[[#Totals],[Tháng 7]]</f>
        <v>#N/A</v>
      </c>
      <c r="K19" s="108" t="e">
        <f>Table_KeHoach_ChiPhiThanhToan[[#Totals],[Tháng 8]]</f>
        <v>#N/A</v>
      </c>
      <c r="L19" s="108" t="e">
        <f>Table_KeHoach_ChiPhiThanhToan[[#Totals],[Tháng 9]]</f>
        <v>#N/A</v>
      </c>
      <c r="M19" s="108" t="e">
        <f>Table_KeHoach_ChiPhiThanhToan[[#Totals],[Tháng 10]]</f>
        <v>#N/A</v>
      </c>
      <c r="N19" s="108" t="e">
        <f>Table_KeHoach_ChiPhiThanhToan[[#Totals],[Tháng 11]]</f>
        <v>#N/A</v>
      </c>
      <c r="O19" s="108" t="e">
        <f>Table_KeHoach_ChiPhiThanhToan[[#Totals],[Tháng 12]]</f>
        <v>#N/A</v>
      </c>
      <c r="P19" s="207"/>
      <c r="R19" s="73" t="s">
        <v>290</v>
      </c>
      <c r="S19" s="73"/>
      <c r="T19" s="331"/>
      <c r="V19" s="73" t="s">
        <v>290</v>
      </c>
      <c r="W19" s="108"/>
      <c r="X19" s="108"/>
    </row>
    <row r="20" spans="2:24" ht="18" customHeight="1" outlineLevel="2" x14ac:dyDescent="0.3">
      <c r="B20" s="73" t="s">
        <v>291</v>
      </c>
      <c r="C20" s="107" t="e">
        <f>SUM(Table_KeHoach_TuDong[[#This Row],[Tháng 1]:[Tháng 12]])</f>
        <v>#N/A</v>
      </c>
      <c r="D20" s="107" t="e">
        <f>D122</f>
        <v>#N/A</v>
      </c>
      <c r="E20" s="107" t="e">
        <f t="shared" ref="E20:O20" si="7">E122</f>
        <v>#N/A</v>
      </c>
      <c r="F20" s="107" t="e">
        <f t="shared" si="7"/>
        <v>#N/A</v>
      </c>
      <c r="G20" s="107" t="e">
        <f t="shared" si="7"/>
        <v>#N/A</v>
      </c>
      <c r="H20" s="107" t="e">
        <f t="shared" si="7"/>
        <v>#N/A</v>
      </c>
      <c r="I20" s="107" t="e">
        <f t="shared" si="7"/>
        <v>#N/A</v>
      </c>
      <c r="J20" s="107" t="e">
        <f t="shared" si="7"/>
        <v>#N/A</v>
      </c>
      <c r="K20" s="107" t="e">
        <f t="shared" si="7"/>
        <v>#N/A</v>
      </c>
      <c r="L20" s="107" t="e">
        <f t="shared" si="7"/>
        <v>#N/A</v>
      </c>
      <c r="M20" s="107" t="e">
        <f t="shared" si="7"/>
        <v>#N/A</v>
      </c>
      <c r="N20" s="107" t="e">
        <f t="shared" si="7"/>
        <v>#N/A</v>
      </c>
      <c r="O20" s="107" t="e">
        <f t="shared" si="7"/>
        <v>#N/A</v>
      </c>
      <c r="P20" s="207"/>
      <c r="R20" s="73" t="s">
        <v>291</v>
      </c>
      <c r="S20" s="73"/>
      <c r="T20" s="331"/>
      <c r="V20" s="73" t="s">
        <v>291</v>
      </c>
      <c r="W20" s="107"/>
      <c r="X20" s="107"/>
    </row>
    <row r="21" spans="2:24" ht="18" customHeight="1" outlineLevel="1" x14ac:dyDescent="0.3">
      <c r="B21" s="74" t="s">
        <v>85</v>
      </c>
      <c r="C21" s="103" t="e">
        <f>SUM(Table_KeHoach_TuDong[[#This Row],[Tháng 1]:[Tháng 12]])</f>
        <v>#N/A</v>
      </c>
      <c r="D21" s="103" t="e">
        <f t="shared" ref="D21:O21" si="8">+D11+D13</f>
        <v>#N/A</v>
      </c>
      <c r="E21" s="103" t="e">
        <f t="shared" si="8"/>
        <v>#N/A</v>
      </c>
      <c r="F21" s="103" t="e">
        <f t="shared" si="8"/>
        <v>#N/A</v>
      </c>
      <c r="G21" s="103" t="e">
        <f t="shared" si="8"/>
        <v>#N/A</v>
      </c>
      <c r="H21" s="103" t="e">
        <f t="shared" si="8"/>
        <v>#N/A</v>
      </c>
      <c r="I21" s="103" t="e">
        <f t="shared" si="8"/>
        <v>#N/A</v>
      </c>
      <c r="J21" s="103" t="e">
        <f t="shared" si="8"/>
        <v>#N/A</v>
      </c>
      <c r="K21" s="103" t="e">
        <f t="shared" si="8"/>
        <v>#N/A</v>
      </c>
      <c r="L21" s="103" t="e">
        <f t="shared" si="8"/>
        <v>#N/A</v>
      </c>
      <c r="M21" s="103" t="e">
        <f t="shared" si="8"/>
        <v>#N/A</v>
      </c>
      <c r="N21" s="103" t="e">
        <f t="shared" si="8"/>
        <v>#N/A</v>
      </c>
      <c r="O21" s="103" t="e">
        <f t="shared" si="8"/>
        <v>#N/A</v>
      </c>
      <c r="P21" s="207"/>
      <c r="R21" s="74" t="s">
        <v>85</v>
      </c>
      <c r="S21" s="74"/>
      <c r="T21" s="330"/>
      <c r="V21" s="74" t="s">
        <v>85</v>
      </c>
      <c r="W21" s="103"/>
      <c r="X21" s="103"/>
    </row>
    <row r="22" spans="2:24" s="53" customFormat="1" ht="18" customHeight="1" outlineLevel="1" x14ac:dyDescent="0.3">
      <c r="B22" s="99" t="s">
        <v>292</v>
      </c>
      <c r="C22" s="109">
        <f t="shared" ref="C22:O22" si="9">IFERROR(C23/(C23+C13),0)</f>
        <v>0</v>
      </c>
      <c r="D22" s="109">
        <f t="shared" si="9"/>
        <v>0</v>
      </c>
      <c r="E22" s="109">
        <f t="shared" si="9"/>
        <v>0</v>
      </c>
      <c r="F22" s="109">
        <f t="shared" si="9"/>
        <v>0</v>
      </c>
      <c r="G22" s="109">
        <f t="shared" si="9"/>
        <v>0</v>
      </c>
      <c r="H22" s="109">
        <f t="shared" si="9"/>
        <v>0</v>
      </c>
      <c r="I22" s="109">
        <f t="shared" si="9"/>
        <v>0</v>
      </c>
      <c r="J22" s="109">
        <f t="shared" si="9"/>
        <v>0</v>
      </c>
      <c r="K22" s="109">
        <f t="shared" si="9"/>
        <v>0</v>
      </c>
      <c r="L22" s="109">
        <f t="shared" si="9"/>
        <v>0</v>
      </c>
      <c r="M22" s="109">
        <f t="shared" si="9"/>
        <v>0</v>
      </c>
      <c r="N22" s="109">
        <f t="shared" si="9"/>
        <v>0</v>
      </c>
      <c r="O22" s="109">
        <f t="shared" si="9"/>
        <v>0</v>
      </c>
      <c r="P22" s="207"/>
      <c r="R22" s="99" t="s">
        <v>292</v>
      </c>
      <c r="S22" s="99"/>
      <c r="T22" s="109"/>
      <c r="V22" s="99" t="s">
        <v>292</v>
      </c>
      <c r="W22" s="109"/>
      <c r="X22" s="109"/>
    </row>
    <row r="23" spans="2:24" s="53" customFormat="1" ht="18" customHeight="1" outlineLevel="1" x14ac:dyDescent="0.3">
      <c r="B23" s="54" t="s">
        <v>87</v>
      </c>
      <c r="C23" s="102" t="e">
        <f>SUM(Table_KeHoach_TuDong[[#This Row],[Tháng 1]:[Tháng 12]])</f>
        <v>#N/A</v>
      </c>
      <c r="D23" s="102" t="e">
        <f t="shared" ref="D23:O23" si="10">+SUM(D24:D32)</f>
        <v>#N/A</v>
      </c>
      <c r="E23" s="102" t="e">
        <f t="shared" si="10"/>
        <v>#N/A</v>
      </c>
      <c r="F23" s="102" t="e">
        <f t="shared" si="10"/>
        <v>#N/A</v>
      </c>
      <c r="G23" s="102" t="e">
        <f t="shared" si="10"/>
        <v>#N/A</v>
      </c>
      <c r="H23" s="102" t="e">
        <f t="shared" si="10"/>
        <v>#N/A</v>
      </c>
      <c r="I23" s="102" t="e">
        <f t="shared" si="10"/>
        <v>#N/A</v>
      </c>
      <c r="J23" s="102" t="e">
        <f t="shared" si="10"/>
        <v>#N/A</v>
      </c>
      <c r="K23" s="102" t="e">
        <f t="shared" si="10"/>
        <v>#N/A</v>
      </c>
      <c r="L23" s="102" t="e">
        <f t="shared" si="10"/>
        <v>#N/A</v>
      </c>
      <c r="M23" s="102" t="e">
        <f t="shared" si="10"/>
        <v>#N/A</v>
      </c>
      <c r="N23" s="102" t="e">
        <f t="shared" si="10"/>
        <v>#N/A</v>
      </c>
      <c r="O23" s="102" t="e">
        <f t="shared" si="10"/>
        <v>#N/A</v>
      </c>
      <c r="P23" s="207"/>
      <c r="R23" s="54" t="s">
        <v>87</v>
      </c>
      <c r="S23" s="54"/>
      <c r="T23" s="325"/>
      <c r="V23" s="54" t="s">
        <v>87</v>
      </c>
      <c r="W23" s="102"/>
      <c r="X23" s="102"/>
    </row>
    <row r="24" spans="2:24" s="100" customFormat="1" ht="18" customHeight="1" outlineLevel="2" x14ac:dyDescent="0.3">
      <c r="B24" s="73" t="s">
        <v>293</v>
      </c>
      <c r="C24" s="107" t="e">
        <f>SUM(Table_KeHoach_TuDong[[#This Row],[Tháng 1]:[Tháng 12]])</f>
        <v>#N/A</v>
      </c>
      <c r="D24" s="107" t="e">
        <f>Table_KeHoach_LuongGross[[#Totals],[Tháng 1]]</f>
        <v>#N/A</v>
      </c>
      <c r="E24" s="107" t="e">
        <f>Table_KeHoach_LuongGross[[#Totals],[Tháng 2]]</f>
        <v>#N/A</v>
      </c>
      <c r="F24" s="107" t="e">
        <f>Table_KeHoach_LuongGross[[#Totals],[Tháng 3]]</f>
        <v>#N/A</v>
      </c>
      <c r="G24" s="107" t="e">
        <f>Table_KeHoach_LuongGross[[#Totals],[Tháng 4]]</f>
        <v>#N/A</v>
      </c>
      <c r="H24" s="107" t="e">
        <f>Table_KeHoach_LuongGross[[#Totals],[Tháng 5]]</f>
        <v>#N/A</v>
      </c>
      <c r="I24" s="107" t="e">
        <f>Table_KeHoach_LuongGross[[#Totals],[Tháng 6]]</f>
        <v>#N/A</v>
      </c>
      <c r="J24" s="107" t="e">
        <f>Table_KeHoach_LuongGross[[#Totals],[Tháng 7]]</f>
        <v>#N/A</v>
      </c>
      <c r="K24" s="107" t="e">
        <f>Table_KeHoach_LuongGross[[#Totals],[Tháng 8]]</f>
        <v>#N/A</v>
      </c>
      <c r="L24" s="107" t="e">
        <f>Table_KeHoach_LuongGross[[#Totals],[Tháng 9]]</f>
        <v>#N/A</v>
      </c>
      <c r="M24" s="107" t="e">
        <f>Table_KeHoach_LuongGross[[#Totals],[Tháng 10]]</f>
        <v>#N/A</v>
      </c>
      <c r="N24" s="107" t="e">
        <f>Table_KeHoach_LuongGross[[#Totals],[Tháng 11]]</f>
        <v>#N/A</v>
      </c>
      <c r="O24" s="107" t="e">
        <f>Table_KeHoach_LuongGross[[#Totals],[Tháng 12]]</f>
        <v>#N/A</v>
      </c>
      <c r="P24" s="207"/>
      <c r="R24" s="73" t="s">
        <v>293</v>
      </c>
      <c r="S24" s="73"/>
      <c r="T24" s="331"/>
      <c r="V24" s="73" t="s">
        <v>293</v>
      </c>
      <c r="W24" s="107"/>
      <c r="X24" s="107"/>
    </row>
    <row r="25" spans="2:24" s="53" customFormat="1" ht="18" customHeight="1" outlineLevel="2" x14ac:dyDescent="0.3">
      <c r="B25" s="73" t="s">
        <v>294</v>
      </c>
      <c r="C25" s="107">
        <f>SUM(Table_KeHoach_TuDong[[#This Row],[Tháng 1]:[Tháng 12]])</f>
        <v>0</v>
      </c>
      <c r="D25" s="107">
        <f>Table_KeHoach_ChiPhiVatTuVP[[#Totals],[Tháng 1]]</f>
        <v>0</v>
      </c>
      <c r="E25" s="107">
        <f>Table_KeHoach_ChiPhiVatTuVP[[#Totals],[Tháng 2]]</f>
        <v>0</v>
      </c>
      <c r="F25" s="107">
        <f>Table_KeHoach_ChiPhiVatTuVP[[#Totals],[Tháng 3]]</f>
        <v>0</v>
      </c>
      <c r="G25" s="107">
        <f>Table_KeHoach_ChiPhiVatTuVP[[#Totals],[Tháng 4]]</f>
        <v>0</v>
      </c>
      <c r="H25" s="107">
        <f>Table_KeHoach_ChiPhiVatTuVP[[#Totals],[Tháng 5]]</f>
        <v>0</v>
      </c>
      <c r="I25" s="107">
        <f>Table_KeHoach_ChiPhiVatTuVP[[#Totals],[Tháng 6]]</f>
        <v>0</v>
      </c>
      <c r="J25" s="107">
        <f>Table_KeHoach_ChiPhiVatTuVP[[#Totals],[Tháng 7]]</f>
        <v>0</v>
      </c>
      <c r="K25" s="107">
        <f>Table_KeHoach_ChiPhiVatTuVP[[#Totals],[Tháng 8]]</f>
        <v>0</v>
      </c>
      <c r="L25" s="107">
        <f>Table_KeHoach_ChiPhiVatTuVP[[#Totals],[Tháng 9]]</f>
        <v>0</v>
      </c>
      <c r="M25" s="107">
        <f>Table_KeHoach_ChiPhiVatTuVP[[#Totals],[Tháng 10]]</f>
        <v>0</v>
      </c>
      <c r="N25" s="107">
        <f>Table_KeHoach_ChiPhiVatTuVP[[#Totals],[Tháng 11]]</f>
        <v>0</v>
      </c>
      <c r="O25" s="107">
        <f>Table_KeHoach_ChiPhiVatTuVP[[#Totals],[Tháng 12]]</f>
        <v>0</v>
      </c>
      <c r="P25" s="207"/>
      <c r="R25" s="73" t="s">
        <v>294</v>
      </c>
      <c r="S25" s="73"/>
      <c r="T25" s="331"/>
      <c r="V25" s="73" t="s">
        <v>294</v>
      </c>
      <c r="W25" s="107"/>
      <c r="X25" s="107"/>
    </row>
    <row r="26" spans="2:24" ht="18" customHeight="1" outlineLevel="2" x14ac:dyDescent="0.3">
      <c r="B26" s="73" t="s">
        <v>355</v>
      </c>
      <c r="C26" s="107">
        <f>SUM(Table_KeHoach_TuDong[[#This Row],[Tháng 1]:[Tháng 12]])</f>
        <v>0</v>
      </c>
      <c r="D26" s="434">
        <f t="shared" ref="D26:O26" si="11">+D140</f>
        <v>0</v>
      </c>
      <c r="E26" s="434">
        <f t="shared" si="11"/>
        <v>0</v>
      </c>
      <c r="F26" s="434">
        <f t="shared" si="11"/>
        <v>0</v>
      </c>
      <c r="G26" s="434">
        <f t="shared" si="11"/>
        <v>0</v>
      </c>
      <c r="H26" s="434">
        <f t="shared" si="11"/>
        <v>0</v>
      </c>
      <c r="I26" s="434">
        <f t="shared" si="11"/>
        <v>0</v>
      </c>
      <c r="J26" s="434">
        <f t="shared" si="11"/>
        <v>0</v>
      </c>
      <c r="K26" s="434">
        <f t="shared" si="11"/>
        <v>0</v>
      </c>
      <c r="L26" s="434">
        <f t="shared" si="11"/>
        <v>0</v>
      </c>
      <c r="M26" s="434">
        <f t="shared" si="11"/>
        <v>0</v>
      </c>
      <c r="N26" s="434">
        <f t="shared" si="11"/>
        <v>0</v>
      </c>
      <c r="O26" s="434">
        <f t="shared" si="11"/>
        <v>0</v>
      </c>
      <c r="P26" s="435"/>
      <c r="R26" s="73" t="s">
        <v>355</v>
      </c>
      <c r="S26" s="73"/>
      <c r="T26" s="331"/>
      <c r="V26" s="73" t="s">
        <v>355</v>
      </c>
      <c r="W26" s="434"/>
      <c r="X26" s="434"/>
    </row>
    <row r="27" spans="2:24" ht="18" customHeight="1" outlineLevel="2" x14ac:dyDescent="0.3">
      <c r="B27" s="73" t="s">
        <v>295</v>
      </c>
      <c r="C27" s="107">
        <f>SUM(Table_KeHoach_TuDong[[#This Row],[Tháng 1]:[Tháng 12]])</f>
        <v>0</v>
      </c>
      <c r="D27" s="107">
        <f t="shared" ref="D27:O27" si="12">+SUM(D141:D142)</f>
        <v>0</v>
      </c>
      <c r="E27" s="107">
        <f t="shared" si="12"/>
        <v>0</v>
      </c>
      <c r="F27" s="107">
        <f t="shared" si="12"/>
        <v>0</v>
      </c>
      <c r="G27" s="107">
        <f t="shared" si="12"/>
        <v>0</v>
      </c>
      <c r="H27" s="107">
        <f t="shared" si="12"/>
        <v>0</v>
      </c>
      <c r="I27" s="107">
        <f t="shared" si="12"/>
        <v>0</v>
      </c>
      <c r="J27" s="107">
        <f t="shared" si="12"/>
        <v>0</v>
      </c>
      <c r="K27" s="107">
        <f t="shared" si="12"/>
        <v>0</v>
      </c>
      <c r="L27" s="107">
        <f t="shared" si="12"/>
        <v>0</v>
      </c>
      <c r="M27" s="107">
        <f t="shared" si="12"/>
        <v>0</v>
      </c>
      <c r="N27" s="107">
        <f t="shared" si="12"/>
        <v>0</v>
      </c>
      <c r="O27" s="107">
        <f t="shared" si="12"/>
        <v>0</v>
      </c>
      <c r="P27" s="207"/>
      <c r="R27" s="73" t="s">
        <v>295</v>
      </c>
      <c r="S27" s="73"/>
      <c r="T27" s="331"/>
      <c r="V27" s="73" t="s">
        <v>295</v>
      </c>
      <c r="W27" s="107"/>
      <c r="X27" s="107"/>
    </row>
    <row r="28" spans="2:24" ht="18" customHeight="1" outlineLevel="2" x14ac:dyDescent="0.3">
      <c r="B28" s="73" t="s">
        <v>296</v>
      </c>
      <c r="C28" s="107">
        <f>SUM(Table_KeHoach_TuDong[[#This Row],[Tháng 1]:[Tháng 12]])</f>
        <v>0</v>
      </c>
      <c r="D28" s="107">
        <f>Table_KeHoach_ChiPhiKhac[[#Totals],[Tháng 1]]</f>
        <v>0</v>
      </c>
      <c r="E28" s="107">
        <f>Table_KeHoach_ChiPhiKhac[[#Totals],[Tháng 2]]</f>
        <v>0</v>
      </c>
      <c r="F28" s="107">
        <f>Table_KeHoach_ChiPhiKhac[[#Totals],[Tháng 3]]</f>
        <v>0</v>
      </c>
      <c r="G28" s="107">
        <f>Table_KeHoach_ChiPhiKhac[[#Totals],[Tháng 4]]</f>
        <v>0</v>
      </c>
      <c r="H28" s="107">
        <f>Table_KeHoach_ChiPhiKhac[[#Totals],[Tháng 5]]</f>
        <v>0</v>
      </c>
      <c r="I28" s="107">
        <f>Table_KeHoach_ChiPhiKhac[[#Totals],[Tháng 6]]</f>
        <v>0</v>
      </c>
      <c r="J28" s="107">
        <f>Table_KeHoach_ChiPhiKhac[[#Totals],[Tháng 7]]</f>
        <v>0</v>
      </c>
      <c r="K28" s="107">
        <f>Table_KeHoach_ChiPhiKhac[[#Totals],[Tháng 8]]</f>
        <v>0</v>
      </c>
      <c r="L28" s="107">
        <f>Table_KeHoach_ChiPhiKhac[[#Totals],[Tháng 9]]</f>
        <v>0</v>
      </c>
      <c r="M28" s="107">
        <f>Table_KeHoach_ChiPhiKhac[[#Totals],[Tháng 10]]</f>
        <v>0</v>
      </c>
      <c r="N28" s="107">
        <f>Table_KeHoach_ChiPhiKhac[[#Totals],[Tháng 11]]</f>
        <v>0</v>
      </c>
      <c r="O28" s="107">
        <f>Table_KeHoach_ChiPhiKhac[[#Totals],[Tháng 12]]</f>
        <v>0</v>
      </c>
      <c r="P28" s="208"/>
      <c r="R28" s="73" t="s">
        <v>296</v>
      </c>
      <c r="S28" s="73"/>
      <c r="T28" s="331"/>
      <c r="V28" s="73" t="s">
        <v>296</v>
      </c>
      <c r="W28" s="107"/>
      <c r="X28" s="107"/>
    </row>
    <row r="29" spans="2:24" s="41" customFormat="1" ht="18" customHeight="1" outlineLevel="2" x14ac:dyDescent="0.3">
      <c r="B29" s="73" t="s">
        <v>297</v>
      </c>
      <c r="C29" s="107">
        <f>SUM(Table_KeHoach_TuDong[[#This Row],[Tháng 1]:[Tháng 12]])</f>
        <v>0</v>
      </c>
      <c r="D29" s="107">
        <f>+D153</f>
        <v>0</v>
      </c>
      <c r="E29" s="107">
        <f t="shared" ref="E29:O29" si="13">+E153</f>
        <v>0</v>
      </c>
      <c r="F29" s="107">
        <f t="shared" si="13"/>
        <v>0</v>
      </c>
      <c r="G29" s="107">
        <f t="shared" si="13"/>
        <v>0</v>
      </c>
      <c r="H29" s="107">
        <f t="shared" si="13"/>
        <v>0</v>
      </c>
      <c r="I29" s="107">
        <f t="shared" si="13"/>
        <v>0</v>
      </c>
      <c r="J29" s="107">
        <f t="shared" si="13"/>
        <v>0</v>
      </c>
      <c r="K29" s="107">
        <f t="shared" si="13"/>
        <v>0</v>
      </c>
      <c r="L29" s="107">
        <f t="shared" si="13"/>
        <v>0</v>
      </c>
      <c r="M29" s="107">
        <f t="shared" si="13"/>
        <v>0</v>
      </c>
      <c r="N29" s="107">
        <f t="shared" si="13"/>
        <v>0</v>
      </c>
      <c r="O29" s="107">
        <f t="shared" si="13"/>
        <v>0</v>
      </c>
      <c r="P29" s="207"/>
      <c r="R29" s="73" t="s">
        <v>297</v>
      </c>
      <c r="S29" s="73"/>
      <c r="T29" s="331"/>
      <c r="V29" s="73" t="s">
        <v>297</v>
      </c>
      <c r="W29" s="107"/>
      <c r="X29" s="107"/>
    </row>
    <row r="30" spans="2:24" ht="18" customHeight="1" outlineLevel="2" x14ac:dyDescent="0.3">
      <c r="B30" s="73" t="s">
        <v>298</v>
      </c>
      <c r="C30" s="107">
        <f>SUM(Table_KeHoach_TuDong[[#This Row],[Tháng 1]:[Tháng 12]])</f>
        <v>0</v>
      </c>
      <c r="D30" s="107">
        <f>+D154</f>
        <v>0</v>
      </c>
      <c r="E30" s="107">
        <f t="shared" ref="E30:O30" si="14">+E154</f>
        <v>0</v>
      </c>
      <c r="F30" s="107">
        <f t="shared" si="14"/>
        <v>0</v>
      </c>
      <c r="G30" s="107">
        <f t="shared" si="14"/>
        <v>0</v>
      </c>
      <c r="H30" s="107">
        <f t="shared" si="14"/>
        <v>0</v>
      </c>
      <c r="I30" s="107">
        <f t="shared" si="14"/>
        <v>0</v>
      </c>
      <c r="J30" s="107">
        <f t="shared" si="14"/>
        <v>0</v>
      </c>
      <c r="K30" s="107">
        <f t="shared" si="14"/>
        <v>0</v>
      </c>
      <c r="L30" s="107">
        <f t="shared" si="14"/>
        <v>0</v>
      </c>
      <c r="M30" s="107">
        <f t="shared" si="14"/>
        <v>0</v>
      </c>
      <c r="N30" s="107">
        <f t="shared" si="14"/>
        <v>0</v>
      </c>
      <c r="O30" s="107">
        <f t="shared" si="14"/>
        <v>0</v>
      </c>
      <c r="P30" s="207"/>
      <c r="R30" s="73" t="s">
        <v>298</v>
      </c>
      <c r="S30" s="73"/>
      <c r="T30" s="331"/>
      <c r="V30" s="73" t="s">
        <v>298</v>
      </c>
      <c r="W30" s="107"/>
      <c r="X30" s="107"/>
    </row>
    <row r="31" spans="2:24" ht="18" customHeight="1" outlineLevel="2" x14ac:dyDescent="0.3">
      <c r="B31" s="73" t="s">
        <v>300</v>
      </c>
      <c r="C31" s="107" t="e">
        <f>SUM(Table_KeHoach_TuDong[[#This Row],[Tháng 1]:[Tháng 12]])</f>
        <v>#N/A</v>
      </c>
      <c r="D31" s="107" t="e">
        <f>+Table_KeHoach_ThuePhi[[#Totals],[Tháng 1]]</f>
        <v>#N/A</v>
      </c>
      <c r="E31" s="107" t="e">
        <f>+Table_KeHoach_ThuePhi[[#Totals],[Tháng 2]]</f>
        <v>#N/A</v>
      </c>
      <c r="F31" s="107" t="e">
        <f>+Table_KeHoach_ThuePhi[[#Totals],[Tháng 3]]</f>
        <v>#N/A</v>
      </c>
      <c r="G31" s="107" t="e">
        <f>+Table_KeHoach_ThuePhi[[#Totals],[Tháng 4]]</f>
        <v>#N/A</v>
      </c>
      <c r="H31" s="107" t="e">
        <f>+Table_KeHoach_ThuePhi[[#Totals],[Tháng 5]]</f>
        <v>#N/A</v>
      </c>
      <c r="I31" s="107" t="e">
        <f>+Table_KeHoach_ThuePhi[[#Totals],[Tháng 6]]</f>
        <v>#N/A</v>
      </c>
      <c r="J31" s="107" t="e">
        <f>+Table_KeHoach_ThuePhi[[#Totals],[Tháng 7]]</f>
        <v>#N/A</v>
      </c>
      <c r="K31" s="107" t="e">
        <f>+Table_KeHoach_ThuePhi[[#Totals],[Tháng 8]]</f>
        <v>#N/A</v>
      </c>
      <c r="L31" s="107" t="e">
        <f>+Table_KeHoach_ThuePhi[[#Totals],[Tháng 9]]</f>
        <v>#N/A</v>
      </c>
      <c r="M31" s="107" t="e">
        <f>+Table_KeHoach_ThuePhi[[#Totals],[Tháng 10]]</f>
        <v>#N/A</v>
      </c>
      <c r="N31" s="107" t="e">
        <f>+Table_KeHoach_ThuePhi[[#Totals],[Tháng 11]]</f>
        <v>#N/A</v>
      </c>
      <c r="O31" s="107" t="e">
        <f>+Table_KeHoach_ThuePhi[[#Totals],[Tháng 12]]</f>
        <v>#N/A</v>
      </c>
      <c r="P31" s="207"/>
      <c r="R31" s="73" t="s">
        <v>300</v>
      </c>
      <c r="S31" s="73"/>
      <c r="T31" s="331"/>
      <c r="V31" s="73" t="s">
        <v>300</v>
      </c>
      <c r="W31" s="107"/>
      <c r="X31" s="107"/>
    </row>
    <row r="32" spans="2:24" ht="18" customHeight="1" outlineLevel="2" x14ac:dyDescent="0.3">
      <c r="B32" s="73" t="s">
        <v>299</v>
      </c>
      <c r="C32" s="107">
        <f>SUM(Table_KeHoach_TuDong[[#This Row],[Tháng 1]:[Tháng 12]])</f>
        <v>0</v>
      </c>
      <c r="D32" s="107">
        <f>+Table_KeHoach_CPKhac[[#Totals],[Tháng 1]]</f>
        <v>0</v>
      </c>
      <c r="E32" s="107">
        <f>+Table_KeHoach_CPKhac[[#Totals],[Tháng 2]]</f>
        <v>0</v>
      </c>
      <c r="F32" s="107">
        <f>+Table_KeHoach_CPKhac[[#Totals],[Tháng 3]]</f>
        <v>0</v>
      </c>
      <c r="G32" s="107">
        <f>+Table_KeHoach_CPKhac[[#Totals],[Tháng 4]]</f>
        <v>0</v>
      </c>
      <c r="H32" s="107">
        <f>+Table_KeHoach_CPKhac[[#Totals],[Tháng 5]]</f>
        <v>0</v>
      </c>
      <c r="I32" s="107">
        <f>+Table_KeHoach_CPKhac[[#Totals],[Tháng 6]]</f>
        <v>0</v>
      </c>
      <c r="J32" s="107">
        <f>+Table_KeHoach_CPKhac[[#Totals],[Tháng 7]]</f>
        <v>0</v>
      </c>
      <c r="K32" s="107">
        <f>+Table_KeHoach_CPKhac[[#Totals],[Tháng 8]]</f>
        <v>0</v>
      </c>
      <c r="L32" s="107">
        <f>+Table_KeHoach_CPKhac[[#Totals],[Tháng 9]]</f>
        <v>0</v>
      </c>
      <c r="M32" s="107">
        <f>+Table_KeHoach_CPKhac[[#Totals],[Tháng 10]]</f>
        <v>0</v>
      </c>
      <c r="N32" s="107">
        <f>+Table_KeHoach_CPKhac[[#Totals],[Tháng 11]]</f>
        <v>0</v>
      </c>
      <c r="O32" s="107">
        <f>+Table_KeHoach_CPKhac[[#Totals],[Tháng 12]]</f>
        <v>0</v>
      </c>
      <c r="P32" s="207"/>
      <c r="R32" s="73" t="s">
        <v>299</v>
      </c>
      <c r="S32" s="73"/>
      <c r="T32" s="331"/>
      <c r="V32" s="73" t="s">
        <v>299</v>
      </c>
      <c r="W32" s="107"/>
      <c r="X32" s="107"/>
    </row>
    <row r="33" spans="2:24" ht="18" customHeight="1" outlineLevel="1" x14ac:dyDescent="0.3">
      <c r="B33" s="87" t="s">
        <v>301</v>
      </c>
      <c r="C33" s="104" t="e">
        <f t="shared" ref="C33:O33" si="15">+C21+C23</f>
        <v>#N/A</v>
      </c>
      <c r="D33" s="104" t="e">
        <f t="shared" si="15"/>
        <v>#N/A</v>
      </c>
      <c r="E33" s="104" t="e">
        <f t="shared" si="15"/>
        <v>#N/A</v>
      </c>
      <c r="F33" s="104" t="e">
        <f t="shared" si="15"/>
        <v>#N/A</v>
      </c>
      <c r="G33" s="104" t="e">
        <f t="shared" si="15"/>
        <v>#N/A</v>
      </c>
      <c r="H33" s="104" t="e">
        <f t="shared" si="15"/>
        <v>#N/A</v>
      </c>
      <c r="I33" s="104" t="e">
        <f t="shared" si="15"/>
        <v>#N/A</v>
      </c>
      <c r="J33" s="104" t="e">
        <f t="shared" si="15"/>
        <v>#N/A</v>
      </c>
      <c r="K33" s="104" t="e">
        <f t="shared" si="15"/>
        <v>#N/A</v>
      </c>
      <c r="L33" s="104" t="e">
        <f t="shared" si="15"/>
        <v>#N/A</v>
      </c>
      <c r="M33" s="104" t="e">
        <f t="shared" si="15"/>
        <v>#N/A</v>
      </c>
      <c r="N33" s="104" t="e">
        <f t="shared" si="15"/>
        <v>#N/A</v>
      </c>
      <c r="O33" s="104" t="e">
        <f t="shared" si="15"/>
        <v>#N/A</v>
      </c>
      <c r="P33" s="207"/>
      <c r="R33" s="87" t="s">
        <v>301</v>
      </c>
      <c r="S33" s="87"/>
      <c r="T33" s="334"/>
      <c r="V33" s="87" t="s">
        <v>301</v>
      </c>
      <c r="W33" s="104"/>
      <c r="X33" s="104"/>
    </row>
    <row r="34" spans="2:24" s="53" customFormat="1" ht="18" customHeight="1" outlineLevel="1" x14ac:dyDescent="0.3">
      <c r="B34" s="126" t="s">
        <v>99</v>
      </c>
      <c r="C34" s="127" t="e">
        <f>+C35+C37</f>
        <v>#N/A</v>
      </c>
      <c r="D34" s="127" t="e">
        <f t="shared" ref="D34:O34" si="16">+D35+D37</f>
        <v>#N/A</v>
      </c>
      <c r="E34" s="127" t="e">
        <f t="shared" si="16"/>
        <v>#N/A</v>
      </c>
      <c r="F34" s="127" t="e">
        <f t="shared" si="16"/>
        <v>#N/A</v>
      </c>
      <c r="G34" s="127" t="e">
        <f t="shared" si="16"/>
        <v>#N/A</v>
      </c>
      <c r="H34" s="127" t="e">
        <f t="shared" si="16"/>
        <v>#N/A</v>
      </c>
      <c r="I34" s="127" t="e">
        <f t="shared" si="16"/>
        <v>#N/A</v>
      </c>
      <c r="J34" s="127" t="e">
        <f t="shared" si="16"/>
        <v>#N/A</v>
      </c>
      <c r="K34" s="127" t="e">
        <f t="shared" si="16"/>
        <v>#N/A</v>
      </c>
      <c r="L34" s="127" t="e">
        <f t="shared" si="16"/>
        <v>#N/A</v>
      </c>
      <c r="M34" s="127" t="e">
        <f t="shared" si="16"/>
        <v>#N/A</v>
      </c>
      <c r="N34" s="127" t="e">
        <f t="shared" si="16"/>
        <v>#N/A</v>
      </c>
      <c r="O34" s="127" t="e">
        <f t="shared" si="16"/>
        <v>#N/A</v>
      </c>
      <c r="P34" s="207"/>
      <c r="R34" s="126" t="s">
        <v>99</v>
      </c>
      <c r="S34" s="126"/>
      <c r="T34" s="335"/>
      <c r="V34" s="126" t="s">
        <v>99</v>
      </c>
      <c r="W34" s="127"/>
      <c r="X34" s="127"/>
    </row>
    <row r="35" spans="2:24" s="53" customFormat="1" ht="18" customHeight="1" outlineLevel="2" x14ac:dyDescent="0.3">
      <c r="B35" s="54" t="s">
        <v>303</v>
      </c>
      <c r="C35" s="102" t="e">
        <f t="shared" ref="C35:O35" si="17">C11*(1-C36)</f>
        <v>#N/A</v>
      </c>
      <c r="D35" s="102" t="e">
        <f t="shared" si="17"/>
        <v>#N/A</v>
      </c>
      <c r="E35" s="102" t="e">
        <f t="shared" si="17"/>
        <v>#N/A</v>
      </c>
      <c r="F35" s="102" t="e">
        <f t="shared" si="17"/>
        <v>#N/A</v>
      </c>
      <c r="G35" s="102" t="e">
        <f t="shared" si="17"/>
        <v>#N/A</v>
      </c>
      <c r="H35" s="102" t="e">
        <f t="shared" si="17"/>
        <v>#N/A</v>
      </c>
      <c r="I35" s="102" t="e">
        <f t="shared" si="17"/>
        <v>#N/A</v>
      </c>
      <c r="J35" s="102" t="e">
        <f t="shared" si="17"/>
        <v>#N/A</v>
      </c>
      <c r="K35" s="102" t="e">
        <f t="shared" si="17"/>
        <v>#N/A</v>
      </c>
      <c r="L35" s="102" t="e">
        <f t="shared" si="17"/>
        <v>#N/A</v>
      </c>
      <c r="M35" s="102" t="e">
        <f t="shared" si="17"/>
        <v>#N/A</v>
      </c>
      <c r="N35" s="102" t="e">
        <f t="shared" si="17"/>
        <v>#N/A</v>
      </c>
      <c r="O35" s="102" t="e">
        <f t="shared" si="17"/>
        <v>#N/A</v>
      </c>
      <c r="P35" s="207"/>
      <c r="R35" s="54" t="s">
        <v>303</v>
      </c>
      <c r="S35" s="54"/>
      <c r="T35" s="331"/>
      <c r="V35" s="54" t="s">
        <v>303</v>
      </c>
      <c r="W35" s="102"/>
      <c r="X35" s="102"/>
    </row>
    <row r="36" spans="2:24" s="53" customFormat="1" ht="18" customHeight="1" outlineLevel="2" x14ac:dyDescent="0.3">
      <c r="B36" s="99" t="s">
        <v>102</v>
      </c>
      <c r="C36" s="123"/>
      <c r="D36" s="123" cm="1">
        <f t="array" ref="D36">Table_KeHoach_TyLeNo[Tháng 1]</f>
        <v>0</v>
      </c>
      <c r="E36" s="123" cm="1">
        <f t="array" ref="E36">Table_KeHoach_TyLeNo[Tháng 1]</f>
        <v>0</v>
      </c>
      <c r="F36" s="123" cm="1">
        <f t="array" ref="F36">Table_KeHoach_TyLeNo[Tháng 1]</f>
        <v>0</v>
      </c>
      <c r="G36" s="123" cm="1">
        <f t="array" ref="G36">Table_KeHoach_TyLeNo[Tháng 1]</f>
        <v>0</v>
      </c>
      <c r="H36" s="123" cm="1">
        <f t="array" ref="H36">Table_KeHoach_TyLeNo[Tháng 1]</f>
        <v>0</v>
      </c>
      <c r="I36" s="123" cm="1">
        <f t="array" ref="I36">Table_KeHoach_TyLeNo[Tháng 1]</f>
        <v>0</v>
      </c>
      <c r="J36" s="123" cm="1">
        <f t="array" ref="J36">Table_KeHoach_TyLeNo[Tháng 1]</f>
        <v>0</v>
      </c>
      <c r="K36" s="123" cm="1">
        <f t="array" ref="K36">Table_KeHoach_TyLeNo[Tháng 1]</f>
        <v>0</v>
      </c>
      <c r="L36" s="123" cm="1">
        <f t="array" ref="L36">Table_KeHoach_TyLeNo[Tháng 1]</f>
        <v>0</v>
      </c>
      <c r="M36" s="123" cm="1">
        <f t="array" ref="M36">Table_KeHoach_TyLeNo[Tháng 1]</f>
        <v>0</v>
      </c>
      <c r="N36" s="123" cm="1">
        <f t="array" ref="N36">Table_KeHoach_TyLeNo[Tháng 1]</f>
        <v>0</v>
      </c>
      <c r="O36" s="123" cm="1">
        <f t="array" ref="O36">Table_KeHoach_TyLeNo[Tháng 1]</f>
        <v>0</v>
      </c>
      <c r="P36" s="207"/>
      <c r="R36" s="99" t="s">
        <v>102</v>
      </c>
      <c r="S36" s="99"/>
      <c r="T36" s="123"/>
      <c r="V36" s="99" t="s">
        <v>102</v>
      </c>
      <c r="W36" s="123"/>
      <c r="X36" s="123"/>
    </row>
    <row r="37" spans="2:24" s="53" customFormat="1" ht="18" customHeight="1" outlineLevel="2" x14ac:dyDescent="0.3">
      <c r="B37" s="124" t="s">
        <v>305</v>
      </c>
      <c r="C37" s="102" t="e">
        <f t="shared" ref="C37:O37" si="18">+C13+C23-C29</f>
        <v>#N/A</v>
      </c>
      <c r="D37" s="102" t="e">
        <f t="shared" si="18"/>
        <v>#N/A</v>
      </c>
      <c r="E37" s="102" t="e">
        <f t="shared" si="18"/>
        <v>#N/A</v>
      </c>
      <c r="F37" s="102" t="e">
        <f t="shared" si="18"/>
        <v>#N/A</v>
      </c>
      <c r="G37" s="102" t="e">
        <f t="shared" si="18"/>
        <v>#N/A</v>
      </c>
      <c r="H37" s="102" t="e">
        <f t="shared" si="18"/>
        <v>#N/A</v>
      </c>
      <c r="I37" s="102" t="e">
        <f t="shared" si="18"/>
        <v>#N/A</v>
      </c>
      <c r="J37" s="102" t="e">
        <f t="shared" si="18"/>
        <v>#N/A</v>
      </c>
      <c r="K37" s="102" t="e">
        <f t="shared" si="18"/>
        <v>#N/A</v>
      </c>
      <c r="L37" s="102" t="e">
        <f t="shared" si="18"/>
        <v>#N/A</v>
      </c>
      <c r="M37" s="102" t="e">
        <f t="shared" si="18"/>
        <v>#N/A</v>
      </c>
      <c r="N37" s="102" t="e">
        <f t="shared" si="18"/>
        <v>#N/A</v>
      </c>
      <c r="O37" s="102" t="e">
        <f t="shared" si="18"/>
        <v>#N/A</v>
      </c>
      <c r="P37" s="435"/>
      <c r="R37" s="124" t="s">
        <v>305</v>
      </c>
      <c r="S37" s="124"/>
      <c r="T37" s="331"/>
      <c r="V37" s="124" t="s">
        <v>305</v>
      </c>
      <c r="W37" s="102"/>
      <c r="X37" s="102"/>
    </row>
    <row r="38" spans="2:24" s="53" customFormat="1" ht="18" customHeight="1" outlineLevel="1" x14ac:dyDescent="0.3">
      <c r="B38" s="74" t="s">
        <v>310</v>
      </c>
      <c r="C38" s="103">
        <f t="shared" ref="C38:O38" si="19">+SUM(C39:C41)</f>
        <v>0</v>
      </c>
      <c r="D38" s="103">
        <f t="shared" si="19"/>
        <v>0</v>
      </c>
      <c r="E38" s="103">
        <f t="shared" si="19"/>
        <v>0</v>
      </c>
      <c r="F38" s="103">
        <f t="shared" si="19"/>
        <v>0</v>
      </c>
      <c r="G38" s="103">
        <f t="shared" si="19"/>
        <v>0</v>
      </c>
      <c r="H38" s="103">
        <f t="shared" si="19"/>
        <v>0</v>
      </c>
      <c r="I38" s="103">
        <f t="shared" si="19"/>
        <v>0</v>
      </c>
      <c r="J38" s="103">
        <f t="shared" si="19"/>
        <v>0</v>
      </c>
      <c r="K38" s="103">
        <f t="shared" si="19"/>
        <v>0</v>
      </c>
      <c r="L38" s="103">
        <f t="shared" si="19"/>
        <v>0</v>
      </c>
      <c r="M38" s="103">
        <f t="shared" si="19"/>
        <v>0</v>
      </c>
      <c r="N38" s="103">
        <f t="shared" si="19"/>
        <v>0</v>
      </c>
      <c r="O38" s="103">
        <f t="shared" si="19"/>
        <v>0</v>
      </c>
      <c r="P38" s="435"/>
      <c r="R38" s="74" t="s">
        <v>310</v>
      </c>
      <c r="S38" s="74"/>
      <c r="T38" s="328"/>
      <c r="V38" s="74" t="s">
        <v>310</v>
      </c>
      <c r="W38" s="103"/>
      <c r="X38" s="103"/>
    </row>
    <row r="39" spans="2:24" s="53" customFormat="1" ht="18" customHeight="1" outlineLevel="2" x14ac:dyDescent="0.3">
      <c r="B39" s="73" t="s">
        <v>311</v>
      </c>
      <c r="C39" s="107">
        <f>SUM(Table_KeHoach_TuDong[[#This Row],[Tháng 1]:[Tháng 12]])</f>
        <v>0</v>
      </c>
      <c r="D39" s="107">
        <f>+D154+D155</f>
        <v>0</v>
      </c>
      <c r="E39" s="107">
        <f t="shared" ref="E39:O39" si="20">+E154+E155</f>
        <v>0</v>
      </c>
      <c r="F39" s="107">
        <f t="shared" si="20"/>
        <v>0</v>
      </c>
      <c r="G39" s="107">
        <f t="shared" si="20"/>
        <v>0</v>
      </c>
      <c r="H39" s="107">
        <f t="shared" si="20"/>
        <v>0</v>
      </c>
      <c r="I39" s="107">
        <f t="shared" si="20"/>
        <v>0</v>
      </c>
      <c r="J39" s="107">
        <f t="shared" si="20"/>
        <v>0</v>
      </c>
      <c r="K39" s="107">
        <f t="shared" si="20"/>
        <v>0</v>
      </c>
      <c r="L39" s="107">
        <f t="shared" si="20"/>
        <v>0</v>
      </c>
      <c r="M39" s="107">
        <f t="shared" si="20"/>
        <v>0</v>
      </c>
      <c r="N39" s="107">
        <f t="shared" si="20"/>
        <v>0</v>
      </c>
      <c r="O39" s="107">
        <f t="shared" si="20"/>
        <v>0</v>
      </c>
      <c r="P39" s="435"/>
      <c r="R39" s="73" t="s">
        <v>311</v>
      </c>
      <c r="S39" s="73"/>
      <c r="T39" s="331"/>
      <c r="V39" s="73" t="s">
        <v>311</v>
      </c>
      <c r="W39" s="107"/>
      <c r="X39" s="107"/>
    </row>
    <row r="40" spans="2:24" s="53" customFormat="1" ht="18" customHeight="1" outlineLevel="2" x14ac:dyDescent="0.3">
      <c r="B40" s="73" t="s">
        <v>312</v>
      </c>
      <c r="C40" s="107">
        <f>SUM(Table_KeHoach_TuDong[[#This Row],[Tháng 1]:[Tháng 12]])</f>
        <v>0</v>
      </c>
      <c r="D40" s="107">
        <f>+Table_KeHoach_TSCD[[#Totals],[Tháng 1]]</f>
        <v>0</v>
      </c>
      <c r="E40" s="107">
        <f>+Table_KeHoach_TSCD[[#Totals],[Tháng 2]]</f>
        <v>0</v>
      </c>
      <c r="F40" s="107">
        <f>+Table_KeHoach_TSCD[[#Totals],[Tháng 3]]</f>
        <v>0</v>
      </c>
      <c r="G40" s="107">
        <f>+Table_KeHoach_TSCD[[#Totals],[Tháng 4]]</f>
        <v>0</v>
      </c>
      <c r="H40" s="107">
        <f>+Table_KeHoach_TSCD[[#Totals],[Tháng 5]]</f>
        <v>0</v>
      </c>
      <c r="I40" s="107">
        <f>+Table_KeHoach_TSCD[[#Totals],[Tháng 6]]</f>
        <v>0</v>
      </c>
      <c r="J40" s="107">
        <f>+Table_KeHoach_TSCD[[#Totals],[Tháng 7]]</f>
        <v>0</v>
      </c>
      <c r="K40" s="107">
        <f>+Table_KeHoach_TSCD[[#Totals],[Tháng 8]]</f>
        <v>0</v>
      </c>
      <c r="L40" s="107">
        <f>+Table_KeHoach_TSCD[[#Totals],[Tháng 9]]</f>
        <v>0</v>
      </c>
      <c r="M40" s="107">
        <f>+Table_KeHoach_TSCD[[#Totals],[Tháng 10]]</f>
        <v>0</v>
      </c>
      <c r="N40" s="107">
        <f>+Table_KeHoach_TSCD[[#Totals],[Tháng 11]]</f>
        <v>0</v>
      </c>
      <c r="O40" s="107">
        <f>+Table_KeHoach_TSCD[[#Totals],[Tháng 12]]</f>
        <v>0</v>
      </c>
      <c r="P40" s="435"/>
      <c r="R40" s="73" t="s">
        <v>312</v>
      </c>
      <c r="S40" s="73"/>
      <c r="T40" s="331"/>
      <c r="V40" s="73" t="s">
        <v>312</v>
      </c>
      <c r="W40" s="107"/>
      <c r="X40" s="107"/>
    </row>
    <row r="41" spans="2:24" s="53" customFormat="1" ht="18" customHeight="1" outlineLevel="2" x14ac:dyDescent="0.3">
      <c r="B41" s="73" t="s">
        <v>313</v>
      </c>
      <c r="C41" s="107">
        <f>SUM(Table_KeHoach_TuDong[[#This Row],[Tháng 1]:[Tháng 12]])</f>
        <v>0</v>
      </c>
      <c r="D41" s="107">
        <f>+Table_KeHoach_DTTC[[#Totals],[Column1]]</f>
        <v>0</v>
      </c>
      <c r="E41" s="107">
        <f>+Table_KeHoach_DTTC[[#Totals],[Tháng 1]]</f>
        <v>0</v>
      </c>
      <c r="F41" s="107">
        <f>+Table_KeHoach_DTTC[[#Totals],[Tháng 2]]</f>
        <v>0</v>
      </c>
      <c r="G41" s="107">
        <f>+Table_KeHoach_DTTC[[#Totals],[Tháng 3]]</f>
        <v>0</v>
      </c>
      <c r="H41" s="107">
        <f>+Table_KeHoach_DTTC[[#Totals],[Tháng 4]]</f>
        <v>0</v>
      </c>
      <c r="I41" s="107">
        <f>+Table_KeHoach_DTTC[[#Totals],[Tháng 5]]</f>
        <v>0</v>
      </c>
      <c r="J41" s="107">
        <f>+Table_KeHoach_DTTC[[#Totals],[Tháng 6]]</f>
        <v>0</v>
      </c>
      <c r="K41" s="107">
        <f>+Table_KeHoach_DTTC[[#Totals],[Tháng 7]]</f>
        <v>0</v>
      </c>
      <c r="L41" s="107">
        <f>+Table_KeHoach_DTTC[[#Totals],[Tháng 8]]</f>
        <v>0</v>
      </c>
      <c r="M41" s="107">
        <f>+Table_KeHoach_DTTC[[#Totals],[Tháng 9]]</f>
        <v>0</v>
      </c>
      <c r="N41" s="107">
        <f>+Table_KeHoach_DTTC[[#Totals],[Tháng 10]]</f>
        <v>0</v>
      </c>
      <c r="O41" s="107">
        <f>+Table_KeHoach_DTTC[[#Totals],[Tháng 11]]</f>
        <v>0</v>
      </c>
      <c r="P41" s="435"/>
      <c r="R41" s="73" t="s">
        <v>313</v>
      </c>
      <c r="S41" s="73"/>
      <c r="T41" s="331"/>
      <c r="V41" s="73" t="s">
        <v>313</v>
      </c>
      <c r="W41" s="107"/>
      <c r="X41" s="107"/>
    </row>
    <row r="42" spans="2:24" s="53" customFormat="1" ht="18" customHeight="1" outlineLevel="1" x14ac:dyDescent="0.3">
      <c r="B42" s="87" t="s">
        <v>314</v>
      </c>
      <c r="C42" s="104" t="e">
        <f t="shared" ref="C42:O42" si="21">+C34+C39</f>
        <v>#N/A</v>
      </c>
      <c r="D42" s="104" t="e">
        <f t="shared" si="21"/>
        <v>#N/A</v>
      </c>
      <c r="E42" s="104" t="e">
        <f t="shared" si="21"/>
        <v>#N/A</v>
      </c>
      <c r="F42" s="104" t="e">
        <f t="shared" si="21"/>
        <v>#N/A</v>
      </c>
      <c r="G42" s="104" t="e">
        <f t="shared" si="21"/>
        <v>#N/A</v>
      </c>
      <c r="H42" s="104" t="e">
        <f t="shared" si="21"/>
        <v>#N/A</v>
      </c>
      <c r="I42" s="104" t="e">
        <f t="shared" si="21"/>
        <v>#N/A</v>
      </c>
      <c r="J42" s="104" t="e">
        <f t="shared" si="21"/>
        <v>#N/A</v>
      </c>
      <c r="K42" s="104" t="e">
        <f t="shared" si="21"/>
        <v>#N/A</v>
      </c>
      <c r="L42" s="104" t="e">
        <f t="shared" si="21"/>
        <v>#N/A</v>
      </c>
      <c r="M42" s="104" t="e">
        <f t="shared" si="21"/>
        <v>#N/A</v>
      </c>
      <c r="N42" s="104" t="e">
        <f t="shared" si="21"/>
        <v>#N/A</v>
      </c>
      <c r="O42" s="104" t="e">
        <f t="shared" si="21"/>
        <v>#N/A</v>
      </c>
      <c r="P42" s="435"/>
      <c r="R42" s="87" t="s">
        <v>314</v>
      </c>
      <c r="S42" s="87"/>
      <c r="T42" s="334"/>
      <c r="V42" s="87" t="s">
        <v>314</v>
      </c>
      <c r="W42" s="104"/>
      <c r="X42" s="104"/>
    </row>
    <row r="43" spans="2:24" s="53" customFormat="1" ht="18" customHeight="1" outlineLevel="2" x14ac:dyDescent="0.3">
      <c r="B43" s="73" t="s">
        <v>316</v>
      </c>
      <c r="C43" s="102">
        <f>SUM(Table_KeHoach_TuDong[[#This Row],[Tháng 1]:[Tháng 12]])</f>
        <v>0</v>
      </c>
      <c r="D43" s="107">
        <f>+Table_KeHoach_LaiDTTC[[#Totals],[Tháng 1]]</f>
        <v>0</v>
      </c>
      <c r="E43" s="107">
        <f>+Table_KeHoach_LaiDTTC[[#Totals],[Tháng 2]]</f>
        <v>0</v>
      </c>
      <c r="F43" s="107">
        <f>+Table_KeHoach_LaiDTTC[[#Totals],[Tháng 3]]</f>
        <v>0</v>
      </c>
      <c r="G43" s="107">
        <f>+Table_KeHoach_LaiDTTC[[#Totals],[Tháng 4]]</f>
        <v>0</v>
      </c>
      <c r="H43" s="107">
        <f>+Table_KeHoach_LaiDTTC[[#Totals],[Tháng 5]]</f>
        <v>0</v>
      </c>
      <c r="I43" s="107">
        <f>+Table_KeHoach_LaiDTTC[[#Totals],[Tháng 6]]</f>
        <v>0</v>
      </c>
      <c r="J43" s="107">
        <f>+Table_KeHoach_LaiDTTC[[#Totals],[Tháng 7]]</f>
        <v>0</v>
      </c>
      <c r="K43" s="107">
        <f>+Table_KeHoach_LaiDTTC[[#Totals],[Tháng 8]]</f>
        <v>0</v>
      </c>
      <c r="L43" s="107">
        <f>+Table_KeHoach_LaiDTTC[[#Totals],[Tháng 9]]</f>
        <v>0</v>
      </c>
      <c r="M43" s="107">
        <f>+Table_KeHoach_LaiDTTC[[#Totals],[Tháng 10]]</f>
        <v>0</v>
      </c>
      <c r="N43" s="107">
        <f>+Table_KeHoach_LaiDTTC[[#Totals],[Tháng 11]]</f>
        <v>0</v>
      </c>
      <c r="O43" s="107">
        <f>+Table_KeHoach_LaiDTTC[[#Totals],[Tháng 12]]</f>
        <v>0</v>
      </c>
      <c r="P43" s="435"/>
      <c r="R43" s="73" t="s">
        <v>316</v>
      </c>
      <c r="S43" s="73"/>
      <c r="T43" s="331"/>
      <c r="V43" s="73" t="s">
        <v>316</v>
      </c>
      <c r="W43" s="107"/>
      <c r="X43" s="107"/>
    </row>
    <row r="44" spans="2:24" s="53" customFormat="1" ht="18" customHeight="1" outlineLevel="2" x14ac:dyDescent="0.3">
      <c r="B44" s="73" t="s">
        <v>117</v>
      </c>
      <c r="C44" s="102">
        <f>SUM(Table_KeHoach_TuDong[[#This Row],[Tháng 1]:[Tháng 12]])</f>
        <v>0</v>
      </c>
      <c r="D44" s="107">
        <f>+Table_KeHoach_VonVay[[#Totals],[Tháng 1]]</f>
        <v>0</v>
      </c>
      <c r="E44" s="107">
        <f>+Table_KeHoach_VonVay[[#Totals],[Tháng 2]]</f>
        <v>0</v>
      </c>
      <c r="F44" s="107">
        <f>+Table_KeHoach_VonVay[[#Totals],[Tháng 3]]</f>
        <v>0</v>
      </c>
      <c r="G44" s="107">
        <f>+Table_KeHoach_VonVay[[#Totals],[Tháng 4]]</f>
        <v>0</v>
      </c>
      <c r="H44" s="107">
        <f>+Table_KeHoach_VonVay[[#Totals],[Tháng 5]]</f>
        <v>0</v>
      </c>
      <c r="I44" s="107">
        <f>+Table_KeHoach_VonVay[[#Totals],[Tháng 6]]</f>
        <v>0</v>
      </c>
      <c r="J44" s="107">
        <f>+Table_KeHoach_VonVay[[#Totals],[Tháng 7]]</f>
        <v>0</v>
      </c>
      <c r="K44" s="107">
        <f>+Table_KeHoach_VonVay[[#Totals],[Tháng 8]]</f>
        <v>0</v>
      </c>
      <c r="L44" s="107">
        <f>+Table_KeHoach_VonVay[[#Totals],[Tháng 9]]</f>
        <v>0</v>
      </c>
      <c r="M44" s="107">
        <f>+Table_KeHoach_VonVay[[#Totals],[Tháng 10]]</f>
        <v>0</v>
      </c>
      <c r="N44" s="107">
        <f>+Table_KeHoach_VonVay[[#Totals],[Tháng 11]]</f>
        <v>0</v>
      </c>
      <c r="O44" s="107">
        <f>+Table_KeHoach_VonVay[[#Totals],[Tháng 12]]</f>
        <v>0</v>
      </c>
      <c r="P44" s="435"/>
      <c r="R44" s="73" t="s">
        <v>117</v>
      </c>
      <c r="S44" s="73"/>
      <c r="T44" s="331"/>
      <c r="V44" s="73" t="s">
        <v>117</v>
      </c>
      <c r="W44" s="107"/>
      <c r="X44" s="107"/>
    </row>
    <row r="45" spans="2:24" s="53" customFormat="1" ht="18" customHeight="1" outlineLevel="2" x14ac:dyDescent="0.3">
      <c r="B45" s="73" t="s">
        <v>317</v>
      </c>
      <c r="C45" s="102">
        <f>SUM(Table_KeHoach_TuDong[[#This Row],[Tháng 1]:[Tháng 12]])</f>
        <v>0</v>
      </c>
      <c r="D45" s="107">
        <f>+Table_KeHoach_VonGop[[#Totals],[Tháng 1]]</f>
        <v>0</v>
      </c>
      <c r="E45" s="107">
        <f>+Table_KeHoach_VonGop[[#Totals],[Tháng 2]]</f>
        <v>0</v>
      </c>
      <c r="F45" s="107">
        <f>+Table_KeHoach_VonGop[[#Totals],[Tháng 3]]</f>
        <v>0</v>
      </c>
      <c r="G45" s="107">
        <f>+Table_KeHoach_VonGop[[#Totals],[Tháng 4]]</f>
        <v>0</v>
      </c>
      <c r="H45" s="107">
        <f>+Table_KeHoach_VonGop[[#Totals],[Tháng 5]]</f>
        <v>0</v>
      </c>
      <c r="I45" s="107">
        <f>+Table_KeHoach_VonGop[[#Totals],[Tháng 6]]</f>
        <v>0</v>
      </c>
      <c r="J45" s="107">
        <f>+Table_KeHoach_VonGop[[#Totals],[Tháng 7]]</f>
        <v>0</v>
      </c>
      <c r="K45" s="107">
        <f>+Table_KeHoach_VonGop[[#Totals],[Tháng 8]]</f>
        <v>0</v>
      </c>
      <c r="L45" s="107">
        <f>+Table_KeHoach_VonGop[[#Totals],[Tháng 9]]</f>
        <v>0</v>
      </c>
      <c r="M45" s="107">
        <f>+Table_KeHoach_VonGop[[#Totals],[Tháng 10]]</f>
        <v>0</v>
      </c>
      <c r="N45" s="107">
        <f>+Table_KeHoach_VonGop[[#Totals],[Tháng 11]]</f>
        <v>0</v>
      </c>
      <c r="O45" s="107">
        <f>+Table_KeHoach_VonGop[[#Totals],[Tháng 12]]</f>
        <v>0</v>
      </c>
      <c r="P45" s="435"/>
      <c r="R45" s="73" t="s">
        <v>317</v>
      </c>
      <c r="S45" s="73"/>
      <c r="T45" s="331"/>
      <c r="V45" s="73" t="s">
        <v>317</v>
      </c>
      <c r="W45" s="107"/>
      <c r="X45" s="107"/>
    </row>
    <row r="46" spans="2:24" ht="18" customHeight="1" outlineLevel="2" x14ac:dyDescent="0.3">
      <c r="B46" s="73" t="s">
        <v>121</v>
      </c>
      <c r="C46" s="107">
        <f>SUM(Table_KeHoach_TuDong[[#This Row],[Tháng 1]:[Tháng 12]])</f>
        <v>0</v>
      </c>
      <c r="D46" s="107"/>
      <c r="E46" s="107"/>
      <c r="F46" s="107"/>
      <c r="G46" s="107"/>
      <c r="H46" s="107"/>
      <c r="I46" s="107"/>
      <c r="J46" s="107"/>
      <c r="K46" s="107"/>
      <c r="L46" s="107"/>
      <c r="M46" s="107"/>
      <c r="N46" s="107"/>
      <c r="O46" s="107"/>
      <c r="P46" s="435"/>
      <c r="R46" s="73" t="s">
        <v>121</v>
      </c>
      <c r="S46" s="73"/>
      <c r="T46" s="331"/>
      <c r="V46" s="73" t="s">
        <v>121</v>
      </c>
      <c r="W46" s="105"/>
      <c r="X46" s="105"/>
    </row>
    <row r="47" spans="2:24" s="53" customFormat="1" ht="18" customHeight="1" outlineLevel="1" x14ac:dyDescent="0.3">
      <c r="B47" s="87" t="s">
        <v>320</v>
      </c>
      <c r="C47" s="104" t="e" cm="1">
        <f t="array" ref="C47">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+C42+SUM(C43:C45)+SUM(C40:C41)+C46</f>
        <v>#N/A</v>
      </c>
      <c r="D47" s="104" t="e" cm="1">
        <f t="array" ref="D47" xml:space="preserve">
Sheet_BaoCaoTaiChinh!$D$78
+ IFERROR(SUM(_xlfn._xlws.FILTER( Table_ThuChiKD[Giá trị sau phí],
(Table_ThuChiKD[Loại GD] = "THU") *
(Table_ThuChiKD[Ngày GD] &lt; C$4)
)),0)
- IFERROR(SUM(_xlfn._xlws.FILTER( Table_ThuChiKD[Giá trị sau phí],
(Table_ThuChiKD[Loại GD] = "CHI") *
(Table_ThuChiKD[Ngày GD] &lt; C$4)
)),0)
+ IFERROR(SUM(_xlfn._xlws.FILTER( Table_ThuChiTC[Giá trị GD],
(Table_ThuChiTC[Loại GD]= "THU") *
(Table_ThuChiKD[Ngày GD] &lt; C$4)
)),0)
- IFERROR(SUM(_xlfn._xlws.FILTER( Table_ThuChiTC[Giá trị GD],
(Table_ThuChiTC[Loại GD]= "CHI") *
(Table_ThuChiKD[Ngày GD] &lt; C$4)
)),0)
+SUM($D$42:D42)+SUM($D$43:D45)+SUM($D$40:D41)+SUM($D$46:D46)</f>
        <v>#N/A</v>
      </c>
      <c r="E47" s="104" t="e" cm="1">
        <f t="array" ref="E47" xml:space="preserve">
Sheet_BaoCaoTaiChinh!$D$78
+ IFERROR(SUM(_xlfn._xlws.FILTER( Table_ThuChiKD[Giá trị sau phí],
(Table_ThuChiKD[Loại GD] = "THU") *
(Table_ThuChiKD[Ngày GD] &lt; D$4)
)),0)
- IFERROR(SUM(_xlfn._xlws.FILTER( Table_ThuChiKD[Giá trị sau phí],
(Table_ThuChiKD[Loại GD] = "CHI") *
(Table_ThuChiKD[Ngày GD] &lt; D$4)
)),0)
+ IFERROR(SUM(_xlfn._xlws.FILTER( Table_ThuChiTC[Giá trị GD],
(Table_ThuChiTC[Loại GD]= "THU") *
(Table_ThuChiKD[Ngày GD] &lt; D$4)
)),0)
- IFERROR(SUM(_xlfn._xlws.FILTER( Table_ThuChiTC[Giá trị GD],
(Table_ThuChiTC[Loại GD]= "CHI") *
(Table_ThuChiKD[Ngày GD] &lt; D$4)
)),0)
+SUM($D$42:E42)+SUM($D$43:E45)+SUM($D$40:E41)+SUM($D$46:E46)</f>
        <v>#N/A</v>
      </c>
      <c r="F47" s="104" t="e" cm="1">
        <f t="array" ref="F47" xml:space="preserve">
Sheet_BaoCaoTaiChinh!$D$78
+ IFERROR(SUM(_xlfn._xlws.FILTER( Table_ThuChiKD[Giá trị sau phí],
(Table_ThuChiKD[Loại GD] = "THU") *
(Table_ThuChiKD[Ngày GD] &lt; E$4)
)),0)
- IFERROR(SUM(_xlfn._xlws.FILTER( Table_ThuChiKD[Giá trị sau phí],
(Table_ThuChiKD[Loại GD] = "CHI") *
(Table_ThuChiKD[Ngày GD] &lt; E$4)
)),0)
+ IFERROR(SUM(_xlfn._xlws.FILTER( Table_ThuChiTC[Giá trị GD],
(Table_ThuChiTC[Loại GD]= "THU") *
(Table_ThuChiKD[Ngày GD] &lt; E$4)
)),0)
- IFERROR(SUM(_xlfn._xlws.FILTER( Table_ThuChiTC[Giá trị GD],
(Table_ThuChiTC[Loại GD]= "CHI") *
(Table_ThuChiKD[Ngày GD] &lt; E$4)
)),0)
+SUM($D$42:F42)+SUM($D$43:F45)+SUM($D$40:F41)+SUM($D$46:F46)</f>
        <v>#N/A</v>
      </c>
      <c r="G47" s="104" t="e" cm="1">
        <f t="array" ref="G47" xml:space="preserve">
Sheet_BaoCaoTaiChinh!$D$78
+ IFERROR(SUM(_xlfn._xlws.FILTER( Table_ThuChiKD[Giá trị sau phí],
(Table_ThuChiKD[Loại GD] = "THU") *
(Table_ThuChiKD[Ngày GD] &lt; F$4)
)),0)
- IFERROR(SUM(_xlfn._xlws.FILTER( Table_ThuChiKD[Giá trị sau phí],
(Table_ThuChiKD[Loại GD] = "CHI") *
(Table_ThuChiKD[Ngày GD] &lt; F$4)
)),0)
+ IFERROR(SUM(_xlfn._xlws.FILTER( Table_ThuChiTC[Giá trị GD],
(Table_ThuChiTC[Loại GD]= "THU") *
(Table_ThuChiKD[Ngày GD] &lt; F$4)
)),0)
- IFERROR(SUM(_xlfn._xlws.FILTER( Table_ThuChiTC[Giá trị GD],
(Table_ThuChiTC[Loại GD]= "CHI") *
(Table_ThuChiKD[Ngày GD] &lt; F$4)
)),0)
+SUM($D$42:G42)+SUM($D$43:G45)+SUM($D$40:G41)+SUM($D$46:G46)</f>
        <v>#N/A</v>
      </c>
      <c r="H47" s="104" t="e" cm="1">
        <f t="array" ref="H47" xml:space="preserve">
Sheet_BaoCaoTaiChinh!$D$78
+ IFERROR(SUM(_xlfn._xlws.FILTER( Table_ThuChiKD[Giá trị sau phí],
(Table_ThuChiKD[Loại GD] = "THU") *
(Table_ThuChiKD[Ngày GD] &lt; G$4)
)),0)
- IFERROR(SUM(_xlfn._xlws.FILTER( Table_ThuChiKD[Giá trị sau phí],
(Table_ThuChiKD[Loại GD] = "CHI") *
(Table_ThuChiKD[Ngày GD] &lt; G$4)
)),0)
+ IFERROR(SUM(_xlfn._xlws.FILTER( Table_ThuChiTC[Giá trị GD],
(Table_ThuChiTC[Loại GD]= "THU") *
(Table_ThuChiKD[Ngày GD] &lt; G$4)
)),0)
- IFERROR(SUM(_xlfn._xlws.FILTER( Table_ThuChiTC[Giá trị GD],
(Table_ThuChiTC[Loại GD]= "CHI") *
(Table_ThuChiKD[Ngày GD] &lt; G$4)
)),0)
+SUM($D$42:H42)+SUM($D$43:H45)+SUM($D$40:H41)+SUM($D$46:H46)</f>
        <v>#N/A</v>
      </c>
      <c r="I47" s="104" t="e" cm="1">
        <f t="array" ref="I47" xml:space="preserve">
Sheet_BaoCaoTaiChinh!$D$78
+ IFERROR(SUM(_xlfn._xlws.FILTER( Table_ThuChiKD[Giá trị sau phí],
(Table_ThuChiKD[Loại GD] = "THU") *
(Table_ThuChiKD[Ngày GD] &lt; H$4)
)),0)
- IFERROR(SUM(_xlfn._xlws.FILTER( Table_ThuChiKD[Giá trị sau phí],
(Table_ThuChiKD[Loại GD] = "CHI") *
(Table_ThuChiKD[Ngày GD] &lt; H$4)
)),0)
+ IFERROR(SUM(_xlfn._xlws.FILTER( Table_ThuChiTC[Giá trị GD],
(Table_ThuChiTC[Loại GD]= "THU") *
(Table_ThuChiKD[Ngày GD] &lt; H$4)
)),0)
- IFERROR(SUM(_xlfn._xlws.FILTER( Table_ThuChiTC[Giá trị GD],
(Table_ThuChiTC[Loại GD]= "CHI") *
(Table_ThuChiKD[Ngày GD] &lt; H$4)
)),0)
+SUM($D$42:I42)+SUM($D$43:I45)+SUM($D$40:I41)+SUM($D$46:I46)</f>
        <v>#N/A</v>
      </c>
      <c r="J47" s="104" t="e" cm="1">
        <f t="array" ref="J47" xml:space="preserve">
Sheet_BaoCaoTaiChinh!$D$78
+ IFERROR(SUM(_xlfn._xlws.FILTER( Table_ThuChiKD[Giá trị sau phí],
(Table_ThuChiKD[Loại GD] = "THU") *
(Table_ThuChiKD[Ngày GD] &lt; I$4)
)),0)
- IFERROR(SUM(_xlfn._xlws.FILTER( Table_ThuChiKD[Giá trị sau phí],
(Table_ThuChiKD[Loại GD] = "CHI") *
(Table_ThuChiKD[Ngày GD] &lt; I$4)
)),0)
+ IFERROR(SUM(_xlfn._xlws.FILTER( Table_ThuChiTC[Giá trị GD],
(Table_ThuChiTC[Loại GD]= "THU") *
(Table_ThuChiKD[Ngày GD] &lt; I$4)
)),0)
- IFERROR(SUM(_xlfn._xlws.FILTER( Table_ThuChiTC[Giá trị GD],
(Table_ThuChiTC[Loại GD]= "CHI") *
(Table_ThuChiKD[Ngày GD] &lt; I$4)
)),0)
+SUM($D$42:J42)+SUM($D$43:J45)+SUM($D$40:J41)+SUM($D$46:J46)</f>
        <v>#N/A</v>
      </c>
      <c r="K47" s="104" t="e" cm="1">
        <f t="array" ref="K47" xml:space="preserve">
Sheet_BaoCaoTaiChinh!$D$78
+ IFERROR(SUM(_xlfn._xlws.FILTER( Table_ThuChiKD[Giá trị sau phí],
(Table_ThuChiKD[Loại GD] = "THU") *
(Table_ThuChiKD[Ngày GD] &lt; J$4)
)),0)
- IFERROR(SUM(_xlfn._xlws.FILTER( Table_ThuChiKD[Giá trị sau phí],
(Table_ThuChiKD[Loại GD] = "CHI") *
(Table_ThuChiKD[Ngày GD] &lt; J$4)
)),0)
+ IFERROR(SUM(_xlfn._xlws.FILTER( Table_ThuChiTC[Giá trị GD],
(Table_ThuChiTC[Loại GD]= "THU") *
(Table_ThuChiKD[Ngày GD] &lt; J$4)
)),0)
- IFERROR(SUM(_xlfn._xlws.FILTER( Table_ThuChiTC[Giá trị GD],
(Table_ThuChiTC[Loại GD]= "CHI") *
(Table_ThuChiKD[Ngày GD] &lt; J$4)
)),0)
+SUM($D$42:K42)+SUM($D$43:K45)+SUM($D$40:K41)+SUM($D$46:K46)</f>
        <v>#N/A</v>
      </c>
      <c r="L47" s="104" t="e" cm="1">
        <f t="array" ref="L47" xml:space="preserve">
Sheet_BaoCaoTaiChinh!$D$78
+ IFERROR(SUM(_xlfn._xlws.FILTER( Table_ThuChiKD[Giá trị sau phí],
(Table_ThuChiKD[Loại GD] = "THU") *
(Table_ThuChiKD[Ngày GD] &lt; K$4)
)),0)
- IFERROR(SUM(_xlfn._xlws.FILTER( Table_ThuChiKD[Giá trị sau phí],
(Table_ThuChiKD[Loại GD] = "CHI") *
(Table_ThuChiKD[Ngày GD] &lt; K$4)
)),0)
+ IFERROR(SUM(_xlfn._xlws.FILTER( Table_ThuChiTC[Giá trị GD],
(Table_ThuChiTC[Loại GD]= "THU") *
(Table_ThuChiKD[Ngày GD] &lt; K$4)
)),0)
- IFERROR(SUM(_xlfn._xlws.FILTER( Table_ThuChiTC[Giá trị GD],
(Table_ThuChiTC[Loại GD]= "CHI") *
(Table_ThuChiKD[Ngày GD] &lt; K$4)
)),0)
+SUM($D$42:L42)+SUM($D$43:L45)+SUM($D$40:L41)+SUM($D$46:L46)</f>
        <v>#N/A</v>
      </c>
      <c r="M47" s="104" t="e" cm="1">
        <f t="array" ref="M47" xml:space="preserve">
Sheet_BaoCaoTaiChinh!$D$78
+ IFERROR(SUM(_xlfn._xlws.FILTER( Table_ThuChiKD[Giá trị sau phí],
(Table_ThuChiKD[Loại GD] = "THU") *
(Table_ThuChiKD[Ngày GD] &lt; L$4)
)),0)
- IFERROR(SUM(_xlfn._xlws.FILTER( Table_ThuChiKD[Giá trị sau phí],
(Table_ThuChiKD[Loại GD] = "CHI") *
(Table_ThuChiKD[Ngày GD] &lt; L$4)
)),0)
+ IFERROR(SUM(_xlfn._xlws.FILTER( Table_ThuChiTC[Giá trị GD],
(Table_ThuChiTC[Loại GD]= "THU") *
(Table_ThuChiKD[Ngày GD] &lt; L$4)
)),0)
- IFERROR(SUM(_xlfn._xlws.FILTER( Table_ThuChiTC[Giá trị GD],
(Table_ThuChiTC[Loại GD]= "CHI") *
(Table_ThuChiKD[Ngày GD] &lt; L$4)
)),0)
+SUM($D$42:M42)+SUM($D$43:M45)+SUM($D$40:M41)+SUM($D$46:M46)</f>
        <v>#N/A</v>
      </c>
      <c r="N47" s="104" t="e" cm="1">
        <f t="array" ref="N47" xml:space="preserve">
Sheet_BaoCaoTaiChinh!$D$78
+ IFERROR(SUM(_xlfn._xlws.FILTER( Table_ThuChiKD[Giá trị sau phí],
(Table_ThuChiKD[Loại GD] = "THU") *
(Table_ThuChiKD[Ngày GD] &lt; M$4)
)),0)
- IFERROR(SUM(_xlfn._xlws.FILTER( Table_ThuChiKD[Giá trị sau phí],
(Table_ThuChiKD[Loại GD] = "CHI") *
(Table_ThuChiKD[Ngày GD] &lt; M$4)
)),0)
+ IFERROR(SUM(_xlfn._xlws.FILTER( Table_ThuChiTC[Giá trị GD],
(Table_ThuChiTC[Loại GD]= "THU") *
(Table_ThuChiKD[Ngày GD] &lt; M$4)
)),0)
- IFERROR(SUM(_xlfn._xlws.FILTER( Table_ThuChiTC[Giá trị GD],
(Table_ThuChiTC[Loại GD]= "CHI") *
(Table_ThuChiKD[Ngày GD] &lt; M$4)
)),0)
+SUM($D$42:N42)+SUM($D$43:N45)+SUM($D$40:N41)+SUM($D$46:N46)</f>
        <v>#N/A</v>
      </c>
      <c r="O47" s="104" t="e" cm="1">
        <f t="array" ref="O47" xml:space="preserve">
Sheet_BaoCaoTaiChinh!$D$78
+ IFERROR(SUM(_xlfn._xlws.FILTER( Table_ThuChiKD[Giá trị sau phí],
(Table_ThuChiKD[Loại GD] = "THU") *
(Table_ThuChiKD[Ngày GD] &lt; N$4)
)),0)
- IFERROR(SUM(_xlfn._xlws.FILTER( Table_ThuChiKD[Giá trị sau phí],
(Table_ThuChiKD[Loại GD] = "CHI") *
(Table_ThuChiKD[Ngày GD] &lt; N$4)
)),0)
+ IFERROR(SUM(_xlfn._xlws.FILTER( Table_ThuChiTC[Giá trị GD],
(Table_ThuChiTC[Loại GD]= "THU") *
(Table_ThuChiKD[Ngày GD] &lt; N$4)
)),0)
- IFERROR(SUM(_xlfn._xlws.FILTER( Table_ThuChiTC[Giá trị GD],
(Table_ThuChiTC[Loại GD]= "CHI") *
(Table_ThuChiKD[Ngày GD] &lt; N$4)
)),0)
+SUM($D$42:O42)+SUM($D$43:O45)+SUM($D$40:O41)+SUM($D$46:O46)</f>
        <v>#N/A</v>
      </c>
      <c r="P47" s="435"/>
      <c r="R47" s="87" t="s">
        <v>1042</v>
      </c>
      <c r="S47" s="475"/>
      <c r="T47" s="334" t="e" cm="1">
        <f t="array" ref="T47">INDEX(Table_KeHoach_Nam[#All],42,
COUNTA(Table_KeHoach_Nam[#Headers])-1)/S3</f>
        <v>#DIV/0!</v>
      </c>
      <c r="V47" s="87" t="s">
        <v>320</v>
      </c>
      <c r="W47" s="104"/>
      <c r="X47" s="104"/>
    </row>
    <row r="48" spans="2:24" s="53" customFormat="1" ht="18" customHeight="1" x14ac:dyDescent="0.3">
      <c r="B48" s="87"/>
      <c r="C48" s="104"/>
      <c r="D48" s="104"/>
      <c r="E48" s="104"/>
      <c r="F48" s="104"/>
      <c r="G48" s="104"/>
      <c r="H48" s="104"/>
      <c r="I48" s="104"/>
      <c r="J48" s="104"/>
      <c r="K48" s="104"/>
      <c r="L48" s="104"/>
      <c r="M48" s="104"/>
      <c r="N48" s="104"/>
      <c r="O48" s="104"/>
      <c r="P48" s="207"/>
      <c r="R48" s="87"/>
      <c r="S48" s="475"/>
      <c r="T48" s="334"/>
      <c r="V48" s="87"/>
      <c r="W48" s="87"/>
      <c r="X48" s="334"/>
    </row>
    <row r="49" spans="2:25" s="53" customFormat="1" ht="18" customHeight="1" x14ac:dyDescent="0.3">
      <c r="B49" s="54" t="s">
        <v>1047</v>
      </c>
      <c r="C49" s="477"/>
      <c r="D49" s="478"/>
      <c r="E49" s="478"/>
      <c r="F49" s="478"/>
      <c r="G49" s="478"/>
      <c r="H49" s="478"/>
      <c r="I49" s="478"/>
      <c r="J49" s="478"/>
      <c r="K49" s="478"/>
      <c r="L49" s="478"/>
      <c r="M49" s="478"/>
      <c r="N49" s="478"/>
      <c r="O49" s="478"/>
      <c r="P49" s="478"/>
      <c r="T49" s="7"/>
      <c r="X49" s="7"/>
    </row>
    <row r="50" spans="2:25" s="53" customFormat="1" ht="18" customHeight="1" x14ac:dyDescent="0.3">
      <c r="B50" s="12" t="s">
        <v>321</v>
      </c>
      <c r="C50" s="482" t="s">
        <v>323</v>
      </c>
      <c r="D50" s="482" t="s">
        <v>269</v>
      </c>
      <c r="E50" s="482" t="s">
        <v>270</v>
      </c>
      <c r="F50" s="482" t="s">
        <v>271</v>
      </c>
      <c r="G50" s="482" t="s">
        <v>272</v>
      </c>
      <c r="H50" s="482" t="s">
        <v>273</v>
      </c>
      <c r="I50" s="482" t="s">
        <v>274</v>
      </c>
      <c r="J50" s="482" t="s">
        <v>275</v>
      </c>
      <c r="K50" s="482" t="s">
        <v>276</v>
      </c>
      <c r="L50" s="482" t="s">
        <v>277</v>
      </c>
      <c r="M50" s="482" t="s">
        <v>278</v>
      </c>
      <c r="N50" s="482" t="s">
        <v>279</v>
      </c>
      <c r="O50" s="482" t="s">
        <v>280</v>
      </c>
      <c r="P50" s="483" t="s">
        <v>883</v>
      </c>
    </row>
    <row r="51" spans="2:25" s="53" customFormat="1" ht="18" customHeight="1" x14ac:dyDescent="0.3">
      <c r="B51" s="7"/>
      <c r="C51" s="71" t="e" cm="1">
        <f t="array" ref="C5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f>
        <v>#DIV/0!</v>
      </c>
      <c r="D51" s="71" t="e" cm="1">
        <f t="array" ref="D5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E51" s="71" t="e" cm="1">
        <f t="array" ref="E5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F51" s="71" t="e" cm="1">
        <f t="array" ref="F5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G51" s="71" t="e" cm="1">
        <f t="array" ref="G5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H51" s="71" t="e" cm="1">
        <f t="array" ref="H5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I51" s="71" t="e" cm="1">
        <f t="array" ref="I5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J51" s="71" t="e" cm="1">
        <f t="array" ref="J5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K51" s="71" t="e" cm="1">
        <f t="array" ref="K5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L51" s="71" t="e" cm="1">
        <f t="array" ref="L5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M51" s="71" t="e" cm="1">
        <f t="array" ref="M5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N51" s="71" t="e" cm="1">
        <f t="array" ref="N5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O51" s="71" t="e" cm="1">
        <f t="array" ref="O5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P51" s="71"/>
      <c r="R51" s="12"/>
      <c r="S51" s="12"/>
      <c r="T51" s="12"/>
      <c r="V51" s="12"/>
      <c r="W51" s="12"/>
      <c r="X51" s="12"/>
    </row>
    <row r="52" spans="2:25" s="53" customFormat="1" ht="18" customHeight="1" x14ac:dyDescent="0.3">
      <c r="B52" s="7"/>
      <c r="C52" s="27"/>
      <c r="D52" s="7"/>
      <c r="E52" s="7"/>
      <c r="F52" s="7"/>
      <c r="G52" s="7"/>
      <c r="H52" s="7"/>
      <c r="I52" s="7"/>
      <c r="J52" s="7"/>
      <c r="K52" s="7"/>
      <c r="L52" s="7"/>
      <c r="M52" s="7"/>
      <c r="N52" s="7"/>
      <c r="O52" s="7"/>
      <c r="P52" s="7"/>
      <c r="R52" s="12"/>
      <c r="S52" s="12"/>
      <c r="T52" s="12"/>
      <c r="V52" s="12"/>
      <c r="W52" s="12"/>
      <c r="X52" s="12"/>
    </row>
    <row r="53" spans="2:25" s="53" customFormat="1" ht="18" customHeight="1" x14ac:dyDescent="0.3">
      <c r="B53" s="54" t="s">
        <v>1048</v>
      </c>
      <c r="C53" s="27"/>
      <c r="D53" s="7"/>
      <c r="E53" s="7"/>
      <c r="F53" s="7"/>
      <c r="G53" s="7"/>
      <c r="H53" s="7"/>
      <c r="I53" s="7"/>
      <c r="J53" s="7"/>
      <c r="K53" s="7"/>
      <c r="L53" s="7"/>
      <c r="M53" s="7"/>
      <c r="N53" s="7"/>
      <c r="O53" s="7"/>
      <c r="P53" s="7"/>
      <c r="Q53" s="7"/>
      <c r="R53" s="7"/>
      <c r="S53" s="7"/>
      <c r="T53" s="12"/>
      <c r="U53" s="7"/>
      <c r="V53" s="7"/>
      <c r="X53" s="12"/>
    </row>
    <row r="54" spans="2:25" ht="18" customHeight="1" x14ac:dyDescent="0.3">
      <c r="B54" s="12" t="s">
        <v>324</v>
      </c>
      <c r="C54" s="484" t="s">
        <v>268</v>
      </c>
      <c r="D54" s="484" t="s">
        <v>269</v>
      </c>
      <c r="E54" s="484" t="s">
        <v>270</v>
      </c>
      <c r="F54" s="484" t="s">
        <v>271</v>
      </c>
      <c r="G54" s="484" t="s">
        <v>272</v>
      </c>
      <c r="H54" s="484" t="s">
        <v>273</v>
      </c>
      <c r="I54" s="484" t="s">
        <v>274</v>
      </c>
      <c r="J54" s="484" t="s">
        <v>275</v>
      </c>
      <c r="K54" s="484" t="s">
        <v>276</v>
      </c>
      <c r="L54" s="484" t="s">
        <v>277</v>
      </c>
      <c r="M54" s="484" t="s">
        <v>278</v>
      </c>
      <c r="N54" s="484" t="s">
        <v>279</v>
      </c>
      <c r="O54" s="484" t="s">
        <v>280</v>
      </c>
      <c r="P54" s="485" t="s">
        <v>883</v>
      </c>
      <c r="R54" s="12"/>
      <c r="S54" s="12"/>
      <c r="T54" s="12"/>
      <c r="V54" s="12"/>
      <c r="W54" s="12"/>
      <c r="X54" s="12"/>
    </row>
    <row r="55" spans="2:25" s="53" customFormat="1" ht="18" customHeight="1" x14ac:dyDescent="0.3">
      <c r="B55" s="7"/>
      <c r="C55" s="15" t="e" cm="1">
        <f t="array" ref="C55"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f>
        <v>#DIV/0!</v>
      </c>
      <c r="D55" s="15"/>
      <c r="E55" s="15"/>
      <c r="F55" s="15"/>
      <c r="G55" s="15"/>
      <c r="H55" s="15"/>
      <c r="I55" s="15"/>
      <c r="J55" s="15"/>
      <c r="K55" s="15"/>
      <c r="L55" s="15"/>
      <c r="M55" s="15"/>
      <c r="N55" s="15"/>
      <c r="O55" s="15"/>
      <c r="P55" s="15"/>
      <c r="R55" s="7"/>
      <c r="S55" s="7"/>
      <c r="T55" s="7"/>
      <c r="V55" s="7"/>
      <c r="W55" s="7"/>
      <c r="X55" s="7"/>
    </row>
    <row r="56" spans="2:25" s="53" customFormat="1" ht="18" customHeight="1" x14ac:dyDescent="0.3">
      <c r="B56" s="28" t="s">
        <v>69</v>
      </c>
      <c r="C56" s="18" t="e">
        <f>SUM(Table_KeHoach_SanLuong[Tham chiếu])</f>
        <v>#DIV/0!</v>
      </c>
      <c r="D56" s="18">
        <f>SUM(Table_KeHoach_SanLuong[Tháng 1])</f>
        <v>0</v>
      </c>
      <c r="E56" s="18">
        <f>SUM(Table_KeHoach_SanLuong[Tháng 2])</f>
        <v>0</v>
      </c>
      <c r="F56" s="18">
        <f>SUM(Table_KeHoach_SanLuong[Tháng 3])</f>
        <v>0</v>
      </c>
      <c r="G56" s="18">
        <f>SUM(Table_KeHoach_SanLuong[Tháng 4])</f>
        <v>0</v>
      </c>
      <c r="H56" s="18">
        <f>SUM(Table_KeHoach_SanLuong[Tháng 5])</f>
        <v>0</v>
      </c>
      <c r="I56" s="18">
        <f>SUM(Table_KeHoach_SanLuong[Tháng 6])</f>
        <v>0</v>
      </c>
      <c r="J56" s="18">
        <f>SUM(Table_KeHoach_SanLuong[Tháng 7])</f>
        <v>0</v>
      </c>
      <c r="K56" s="18">
        <f>SUM(Table_KeHoach_SanLuong[Tháng 8])</f>
        <v>0</v>
      </c>
      <c r="L56" s="18">
        <f>SUM(Table_KeHoach_SanLuong[Tháng 9])</f>
        <v>0</v>
      </c>
      <c r="M56" s="18">
        <f>SUM(Table_KeHoach_SanLuong[Tháng 10])</f>
        <v>0</v>
      </c>
      <c r="N56" s="18">
        <f>SUM(Table_KeHoach_SanLuong[Tháng 11])</f>
        <v>0</v>
      </c>
      <c r="O56" s="18">
        <f>SUM(Table_KeHoach_SanLuong[Tháng 12])</f>
        <v>0</v>
      </c>
      <c r="P56" s="18"/>
      <c r="R56" s="7"/>
      <c r="S56" s="7"/>
      <c r="T56" s="7"/>
      <c r="V56" s="7"/>
      <c r="W56" s="7"/>
      <c r="X56" s="7"/>
    </row>
    <row r="57" spans="2:25" s="53" customFormat="1" ht="18" customHeight="1" x14ac:dyDescent="0.3">
      <c r="B57" s="7"/>
      <c r="C57" s="27"/>
      <c r="D57" s="7"/>
      <c r="E57" s="7"/>
      <c r="F57" s="7"/>
      <c r="G57" s="7"/>
      <c r="H57" s="7"/>
      <c r="I57" s="7"/>
      <c r="J57" s="7"/>
      <c r="K57" s="7"/>
      <c r="L57" s="7"/>
      <c r="M57" s="7"/>
      <c r="N57" s="7"/>
      <c r="O57" s="7"/>
      <c r="P57" s="7"/>
      <c r="T57" s="7"/>
      <c r="X57" s="7"/>
    </row>
    <row r="58" spans="2:25" s="53" customFormat="1" ht="18" customHeight="1" x14ac:dyDescent="0.3">
      <c r="B58" s="7" t="s">
        <v>1045</v>
      </c>
      <c r="C58" s="7"/>
      <c r="D58" s="7"/>
      <c r="E58" s="7"/>
      <c r="F58" s="7"/>
      <c r="G58" s="7"/>
      <c r="H58" s="7"/>
      <c r="I58" s="7"/>
      <c r="J58" s="7"/>
      <c r="K58" s="7"/>
      <c r="L58" s="7"/>
      <c r="M58" s="7"/>
      <c r="N58" s="7"/>
      <c r="O58" s="7"/>
      <c r="P58" s="7"/>
      <c r="Q58" s="7"/>
      <c r="R58" s="7"/>
      <c r="S58" s="7"/>
      <c r="U58" s="12"/>
      <c r="V58" s="12"/>
      <c r="W58" s="12"/>
    </row>
    <row r="59" spans="2:25" s="53" customFormat="1" ht="18" customHeight="1" x14ac:dyDescent="0.3">
      <c r="B59" s="7" t="s">
        <v>325</v>
      </c>
      <c r="C59" s="484" t="s">
        <v>268</v>
      </c>
      <c r="D59" s="484" t="s">
        <v>269</v>
      </c>
      <c r="E59" s="484" t="s">
        <v>270</v>
      </c>
      <c r="F59" s="484" t="s">
        <v>271</v>
      </c>
      <c r="G59" s="484" t="s">
        <v>272</v>
      </c>
      <c r="H59" s="484" t="s">
        <v>273</v>
      </c>
      <c r="I59" s="484" t="s">
        <v>274</v>
      </c>
      <c r="J59" s="484" t="s">
        <v>275</v>
      </c>
      <c r="K59" s="484" t="s">
        <v>276</v>
      </c>
      <c r="L59" s="484" t="s">
        <v>277</v>
      </c>
      <c r="M59" s="484" t="s">
        <v>278</v>
      </c>
      <c r="N59" s="484" t="s">
        <v>279</v>
      </c>
      <c r="O59" s="484" t="s">
        <v>280</v>
      </c>
      <c r="P59" s="485" t="s">
        <v>883</v>
      </c>
      <c r="R59" s="7"/>
      <c r="S59" s="7"/>
      <c r="T59" s="7"/>
      <c r="V59" s="7"/>
      <c r="W59" s="7"/>
      <c r="X59" s="7"/>
    </row>
    <row r="60" spans="2:25" ht="18" customHeight="1" x14ac:dyDescent="0.3">
      <c r="C60" s="15" cm="1">
        <f t="array" ref="C60">+IFERROR(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f>
        <v>0</v>
      </c>
      <c r="D60" s="15"/>
      <c r="E60" s="15"/>
      <c r="F60" s="15"/>
      <c r="G60" s="15"/>
      <c r="H60" s="15"/>
      <c r="I60" s="15"/>
      <c r="J60" s="15"/>
      <c r="K60" s="15"/>
      <c r="L60" s="15"/>
      <c r="M60" s="15"/>
      <c r="N60" s="15"/>
      <c r="O60" s="15"/>
      <c r="P60" s="15"/>
    </row>
    <row r="61" spans="2:25" s="53" customFormat="1" ht="18" customHeight="1" x14ac:dyDescent="0.3">
      <c r="B61" s="7"/>
      <c r="C61" s="27"/>
      <c r="D61" s="7"/>
      <c r="E61" s="7"/>
      <c r="F61" s="7"/>
      <c r="G61" s="7"/>
      <c r="H61" s="7"/>
      <c r="I61" s="7"/>
      <c r="J61" s="7"/>
      <c r="K61" s="7"/>
      <c r="L61" s="7"/>
      <c r="M61" s="7"/>
      <c r="N61" s="7"/>
      <c r="O61" s="7"/>
      <c r="P61" s="7"/>
      <c r="R61" s="12"/>
      <c r="S61" s="12"/>
      <c r="T61" s="7"/>
      <c r="V61" s="12"/>
      <c r="W61" s="12"/>
      <c r="X61" s="7"/>
    </row>
    <row r="62" spans="2:25" s="53" customFormat="1" ht="18" customHeight="1" x14ac:dyDescent="0.3">
      <c r="B62" s="7" t="s">
        <v>1046</v>
      </c>
      <c r="C62" s="7"/>
      <c r="D62" s="7"/>
      <c r="E62" s="7"/>
      <c r="F62" s="7"/>
      <c r="G62" s="7"/>
      <c r="H62" s="7"/>
      <c r="I62" s="7"/>
      <c r="J62" s="7"/>
      <c r="K62" s="7"/>
      <c r="L62" s="7"/>
      <c r="M62" s="7"/>
      <c r="N62" s="7"/>
      <c r="O62" s="7"/>
      <c r="P62" s="7"/>
      <c r="Q62" s="7"/>
      <c r="R62" s="7"/>
      <c r="S62" s="7"/>
      <c r="U62" s="12"/>
      <c r="V62" s="12"/>
      <c r="W62" s="12"/>
    </row>
    <row r="63" spans="2:25" s="53" customFormat="1" ht="18" customHeight="1" x14ac:dyDescent="0.3">
      <c r="B63" s="46" t="s">
        <v>326</v>
      </c>
      <c r="C63" s="484" t="s">
        <v>268</v>
      </c>
      <c r="D63" s="484" t="s">
        <v>269</v>
      </c>
      <c r="E63" s="484" t="s">
        <v>270</v>
      </c>
      <c r="F63" s="484" t="s">
        <v>271</v>
      </c>
      <c r="G63" s="484" t="s">
        <v>272</v>
      </c>
      <c r="H63" s="484" t="s">
        <v>273</v>
      </c>
      <c r="I63" s="484" t="s">
        <v>274</v>
      </c>
      <c r="J63" s="484" t="s">
        <v>275</v>
      </c>
      <c r="K63" s="484" t="s">
        <v>276</v>
      </c>
      <c r="L63" s="484" t="s">
        <v>277</v>
      </c>
      <c r="M63" s="484" t="s">
        <v>278</v>
      </c>
      <c r="N63" s="484" t="s">
        <v>279</v>
      </c>
      <c r="O63" s="484" t="s">
        <v>280</v>
      </c>
      <c r="P63" s="485" t="s">
        <v>883</v>
      </c>
      <c r="R63" s="7"/>
      <c r="S63" s="7"/>
      <c r="T63" s="7"/>
      <c r="U63" s="7"/>
      <c r="V63" s="7"/>
      <c r="W63" s="7"/>
      <c r="X63" s="7"/>
      <c r="Y63" s="7"/>
    </row>
    <row r="64" spans="2:25" s="53" customFormat="1" ht="18" customHeight="1" x14ac:dyDescent="0.3">
      <c r="B64" s="7"/>
      <c r="C64" s="18" t="e" cm="1">
        <f t="array" ref="C64"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f>
        <v>#DIV/0!</v>
      </c>
      <c r="D64" s="18" t="e">
        <f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f>
        <v>#N/A</v>
      </c>
      <c r="E64" s="18" t="e">
        <f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f>
        <v>#N/A</v>
      </c>
      <c r="F64" s="18" t="e">
        <f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f>
        <v>#N/A</v>
      </c>
      <c r="G64" s="18" t="e">
        <f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f>
        <v>#N/A</v>
      </c>
      <c r="H64" s="18" t="e">
        <f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f>
        <v>#N/A</v>
      </c>
      <c r="I64" s="18" t="e">
        <f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f>
        <v>#N/A</v>
      </c>
      <c r="J64" s="18" t="e">
        <f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f>
        <v>#N/A</v>
      </c>
      <c r="K64" s="18" t="e">
        <f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f>
        <v>#N/A</v>
      </c>
      <c r="L64" s="18" t="e">
        <f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f>
        <v>#N/A</v>
      </c>
      <c r="M64" s="18" t="e">
        <f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f>
        <v>#N/A</v>
      </c>
      <c r="N64" s="18" t="e">
        <f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f>
        <v>#N/A</v>
      </c>
      <c r="O64" s="18" t="e">
        <f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f>
        <v>#N/A</v>
      </c>
      <c r="P64" s="18"/>
      <c r="R64" s="7"/>
      <c r="S64" s="7"/>
      <c r="T64" s="7"/>
      <c r="V64" s="7"/>
      <c r="W64" s="7"/>
      <c r="X64" s="7"/>
    </row>
    <row r="65" spans="1:25" s="12" customFormat="1" ht="18" customHeight="1" x14ac:dyDescent="0.3">
      <c r="B65" s="28" t="s">
        <v>69</v>
      </c>
      <c r="C65" s="18" t="e">
        <f>SUM(Table_KeHoach_DoanhThu[Tham chiếu])</f>
        <v>#DIV/0!</v>
      </c>
      <c r="D65" s="18" t="e">
        <f>SUM(Table_KeHoach_DoanhThu[Tháng 1])</f>
        <v>#N/A</v>
      </c>
      <c r="E65" s="18" t="e">
        <f>SUM(Table_KeHoach_DoanhThu[Tháng 2])</f>
        <v>#N/A</v>
      </c>
      <c r="F65" s="18" t="e">
        <f>SUM(Table_KeHoach_DoanhThu[Tháng 3])</f>
        <v>#N/A</v>
      </c>
      <c r="G65" s="18" t="e">
        <f>SUM(Table_KeHoach_DoanhThu[Tháng 4])</f>
        <v>#N/A</v>
      </c>
      <c r="H65" s="18" t="e">
        <f>SUM(Table_KeHoach_DoanhThu[Tháng 5])</f>
        <v>#N/A</v>
      </c>
      <c r="I65" s="18" t="e">
        <f>SUM(Table_KeHoach_DoanhThu[Tháng 6])</f>
        <v>#N/A</v>
      </c>
      <c r="J65" s="18" t="e">
        <f>SUM(Table_KeHoach_DoanhThu[Tháng 7])</f>
        <v>#N/A</v>
      </c>
      <c r="K65" s="18" t="e">
        <f>SUM(Table_KeHoach_DoanhThu[Tháng 8])</f>
        <v>#N/A</v>
      </c>
      <c r="L65" s="18" t="e">
        <f>SUM(Table_KeHoach_DoanhThu[Tháng 9])</f>
        <v>#N/A</v>
      </c>
      <c r="M65" s="18" t="e">
        <f>SUM(Table_KeHoach_DoanhThu[Tháng 10])</f>
        <v>#N/A</v>
      </c>
      <c r="N65" s="18" t="e">
        <f>SUM(Table_KeHoach_DoanhThu[Tháng 11])</f>
        <v>#N/A</v>
      </c>
      <c r="O65" s="18" t="e">
        <f>SUM(Table_KeHoach_DoanhThu[Tháng 12])</f>
        <v>#N/A</v>
      </c>
      <c r="P65" s="18"/>
      <c r="R65" s="7"/>
      <c r="S65" s="7"/>
      <c r="T65" s="7"/>
      <c r="V65" s="7"/>
      <c r="W65" s="7"/>
      <c r="X65" s="7"/>
    </row>
    <row r="66" spans="1:25" s="12" customFormat="1" ht="18" customHeight="1" x14ac:dyDescent="0.3">
      <c r="B66" s="7"/>
      <c r="C66" s="27"/>
      <c r="D66" s="7"/>
      <c r="E66" s="7"/>
      <c r="F66" s="7"/>
      <c r="G66" s="7"/>
      <c r="H66" s="7"/>
      <c r="I66" s="7"/>
      <c r="J66" s="7"/>
      <c r="K66" s="7"/>
      <c r="L66" s="7"/>
      <c r="M66" s="7"/>
      <c r="N66" s="7"/>
      <c r="O66" s="7"/>
      <c r="P66" s="7"/>
      <c r="Q66" s="53"/>
      <c r="R66" s="7"/>
      <c r="S66" s="7"/>
      <c r="T66" s="7"/>
      <c r="V66" s="7"/>
      <c r="W66" s="7"/>
      <c r="X66" s="7"/>
    </row>
    <row r="67" spans="1:25" s="12" customFormat="1" ht="18" customHeight="1" x14ac:dyDescent="0.3">
      <c r="B67" s="7" t="s">
        <v>1049</v>
      </c>
      <c r="C67" s="27"/>
      <c r="D67" s="7"/>
      <c r="E67" s="7"/>
      <c r="F67" s="7"/>
      <c r="G67" s="7"/>
      <c r="H67" s="7"/>
      <c r="I67" s="7"/>
      <c r="J67" s="7"/>
      <c r="K67" s="7"/>
      <c r="L67" s="7"/>
      <c r="M67" s="7"/>
      <c r="N67" s="7"/>
      <c r="O67" s="7"/>
      <c r="P67" s="7"/>
      <c r="Q67" s="7"/>
      <c r="R67" s="7"/>
      <c r="S67" s="7"/>
      <c r="T67" s="7"/>
      <c r="U67" s="7"/>
      <c r="V67" s="7"/>
      <c r="W67" s="7"/>
      <c r="X67" s="7"/>
    </row>
    <row r="68" spans="1:25" s="12" customFormat="1" ht="18" customHeight="1" x14ac:dyDescent="0.3">
      <c r="B68" s="7" t="s">
        <v>327</v>
      </c>
      <c r="C68" s="12" t="s">
        <v>268</v>
      </c>
      <c r="D68" s="16" t="s">
        <v>269</v>
      </c>
      <c r="E68" s="16" t="s">
        <v>270</v>
      </c>
      <c r="F68" s="16" t="s">
        <v>271</v>
      </c>
      <c r="G68" s="16" t="s">
        <v>272</v>
      </c>
      <c r="H68" s="16" t="s">
        <v>273</v>
      </c>
      <c r="I68" s="16" t="s">
        <v>274</v>
      </c>
      <c r="J68" s="16" t="s">
        <v>275</v>
      </c>
      <c r="K68" s="16" t="s">
        <v>276</v>
      </c>
      <c r="L68" s="16" t="s">
        <v>277</v>
      </c>
      <c r="M68" s="16" t="s">
        <v>278</v>
      </c>
      <c r="N68" s="16" t="s">
        <v>279</v>
      </c>
      <c r="O68" s="16" t="s">
        <v>280</v>
      </c>
      <c r="P68" s="4" t="s">
        <v>883</v>
      </c>
      <c r="R68" s="7"/>
      <c r="S68" s="7"/>
      <c r="T68" s="7"/>
      <c r="V68" s="7"/>
      <c r="W68" s="7"/>
      <c r="X68" s="7"/>
    </row>
    <row r="69" spans="1:25" ht="18" customHeight="1" x14ac:dyDescent="0.3">
      <c r="A69" s="211"/>
      <c r="B69" s="7" t="s">
        <v>328</v>
      </c>
      <c r="C69" s="45" t="e" vm="2">
        <f>-C70/SUM(Table_KeHoach_DoanhThu[Tham chiếu])</f>
        <v>#VALUE!</v>
      </c>
      <c r="D69" s="45"/>
      <c r="E69" s="45"/>
      <c r="F69" s="45"/>
      <c r="G69" s="45"/>
      <c r="H69" s="45"/>
      <c r="I69" s="45"/>
      <c r="J69" s="45"/>
      <c r="K69" s="45"/>
      <c r="L69" s="45"/>
      <c r="M69" s="45"/>
      <c r="N69" s="45"/>
      <c r="O69" s="45"/>
      <c r="P69" s="213"/>
    </row>
    <row r="70" spans="1:25" ht="18" customHeight="1" x14ac:dyDescent="0.3">
      <c r="B70" s="52" t="s">
        <v>285</v>
      </c>
      <c r="C70" s="486" t="e" cm="1" vm="1">
        <f t="array" ref="C70">(-
SUM(_xlfn._xlws.FILTER(Table_Main[Giá trị CK],
(Table_Main[Ngày lên đơn] &gt;= BCQT_BatDau) *
(Table_Main[Ngày lên đơn] &lt; BCQT_KetThuc)
))
- IFERROR(
SUM(_xlfn._xlws.FILTER(Table_DonBan[Giá trị CK],
(Table_DonBan[Ngày lập] &gt;= BCQT_BatDau) *
(Table_DonBan[Ngày lập] &lt; BCQT_KetThuc)
)),0))  /
ROUND((BCQT_KetThuc-BCQT_BatDau)/(365.25/12),0)</f>
        <v>#VALUE!</v>
      </c>
      <c r="D70" s="486">
        <f>IFERROR(-D69*Table_KeHoach_DoanhThu[[#Totals],[Tháng 1]],0)</f>
        <v>0</v>
      </c>
      <c r="E70" s="486">
        <f>IFERROR(-E69*Table_KeHoach_DoanhThu[[#Totals],[Tháng 1]],0)</f>
        <v>0</v>
      </c>
      <c r="F70" s="486">
        <f>IFERROR(-F69*Table_KeHoach_DoanhThu[[#Totals],[Tháng 1]],0)</f>
        <v>0</v>
      </c>
      <c r="G70" s="486">
        <f>IFERROR(-G69*Table_KeHoach_DoanhThu[[#Totals],[Tháng 1]],0)</f>
        <v>0</v>
      </c>
      <c r="H70" s="486">
        <f>IFERROR(-H69*Table_KeHoach_DoanhThu[[#Totals],[Tháng 1]],0)</f>
        <v>0</v>
      </c>
      <c r="I70" s="486">
        <f>IFERROR(-I69*Table_KeHoach_DoanhThu[[#Totals],[Tháng 1]],0)</f>
        <v>0</v>
      </c>
      <c r="J70" s="486">
        <f>IFERROR(-J69*Table_KeHoach_DoanhThu[[#Totals],[Tháng 1]],0)</f>
        <v>0</v>
      </c>
      <c r="K70" s="486">
        <f>IFERROR(-K69*Table_KeHoach_DoanhThu[[#Totals],[Tháng 1]],0)</f>
        <v>0</v>
      </c>
      <c r="L70" s="486">
        <f>IFERROR(-L69*Table_KeHoach_DoanhThu[[#Totals],[Tháng 1]],0)</f>
        <v>0</v>
      </c>
      <c r="M70" s="486">
        <f>IFERROR(-M69*Table_KeHoach_DoanhThu[[#Totals],[Tháng 1]],0)</f>
        <v>0</v>
      </c>
      <c r="N70" s="486">
        <f>IFERROR(-N69*Table_KeHoach_DoanhThu[[#Totals],[Tháng 1]],0)</f>
        <v>0</v>
      </c>
      <c r="O70" s="486">
        <f>IFERROR(-O69*Table_KeHoach_DoanhThu[[#Totals],[Tháng 1]],0)</f>
        <v>0</v>
      </c>
      <c r="P70" s="52"/>
    </row>
    <row r="71" spans="1:25" s="53" customFormat="1" ht="18" customHeight="1" x14ac:dyDescent="0.3">
      <c r="B71" s="7"/>
      <c r="C71" s="27"/>
      <c r="D71" s="7"/>
      <c r="E71" s="7"/>
      <c r="F71" s="7"/>
      <c r="G71" s="7"/>
      <c r="H71" s="7"/>
      <c r="I71" s="7"/>
      <c r="J71" s="7"/>
      <c r="K71" s="7"/>
      <c r="L71" s="7"/>
      <c r="M71" s="7"/>
      <c r="N71" s="7"/>
      <c r="O71" s="7"/>
      <c r="P71" s="7"/>
      <c r="Q71" s="7"/>
      <c r="R71" s="7"/>
      <c r="S71" s="7"/>
      <c r="T71" s="7"/>
      <c r="U71" s="7"/>
      <c r="V71" s="7"/>
      <c r="W71" s="7"/>
      <c r="X71" s="7"/>
      <c r="Y71" s="7"/>
    </row>
    <row r="72" spans="1:25" s="53" customFormat="1" ht="18" customHeight="1" x14ac:dyDescent="0.3">
      <c r="B72" s="7" t="s">
        <v>1050</v>
      </c>
      <c r="C72" s="27"/>
      <c r="D72" s="7"/>
      <c r="E72" s="7"/>
      <c r="F72" s="7"/>
      <c r="G72" s="7"/>
      <c r="H72" s="7"/>
      <c r="I72" s="7"/>
      <c r="J72" s="7"/>
      <c r="K72" s="7"/>
      <c r="L72" s="7"/>
      <c r="M72" s="7"/>
      <c r="N72" s="7"/>
      <c r="O72" s="7"/>
      <c r="P72" s="7"/>
      <c r="Q72" s="7"/>
      <c r="R72" s="7"/>
      <c r="S72" s="7"/>
      <c r="T72" s="7"/>
      <c r="U72" s="7"/>
      <c r="V72" s="7"/>
      <c r="W72" s="7"/>
      <c r="X72" s="7"/>
      <c r="Y72" s="7"/>
    </row>
    <row r="73" spans="1:25" s="12" customFormat="1" ht="18" customHeight="1" x14ac:dyDescent="0.3">
      <c r="B73" s="7" t="s">
        <v>330</v>
      </c>
      <c r="C73" s="484" t="s">
        <v>268</v>
      </c>
      <c r="D73" s="484" t="s">
        <v>269</v>
      </c>
      <c r="E73" s="484" t="s">
        <v>270</v>
      </c>
      <c r="F73" s="484" t="s">
        <v>271</v>
      </c>
      <c r="G73" s="484" t="s">
        <v>272</v>
      </c>
      <c r="H73" s="484" t="s">
        <v>273</v>
      </c>
      <c r="I73" s="484" t="s">
        <v>274</v>
      </c>
      <c r="J73" s="484" t="s">
        <v>275</v>
      </c>
      <c r="K73" s="484" t="s">
        <v>276</v>
      </c>
      <c r="L73" s="484" t="s">
        <v>277</v>
      </c>
      <c r="M73" s="484" t="s">
        <v>278</v>
      </c>
      <c r="N73" s="484" t="s">
        <v>279</v>
      </c>
      <c r="O73" s="484" t="s">
        <v>280</v>
      </c>
      <c r="P73" s="4" t="s">
        <v>883</v>
      </c>
      <c r="R73" s="7"/>
      <c r="S73" s="7"/>
      <c r="T73" s="7"/>
      <c r="V73" s="7"/>
      <c r="W73" s="7"/>
      <c r="X73" s="7"/>
    </row>
    <row r="74" spans="1:25" s="12" customFormat="1" ht="18" customHeight="1" x14ac:dyDescent="0.3">
      <c r="B74" s="7"/>
      <c r="C74" s="15" cm="1">
        <f t="array" ref="C74">+IFERROR(
AVERAGE(
_xlfn._xlws.FILTER(Table_Main[Giá trị hàng nhập],
(Table_Main[Mã SKU] = $B74) *
(Table_Main[Ngày lên đơn] &gt;= BCQT_BatDau)*
(Table_Main[Ngày lên đơn] &lt; BCQT_KetThuc)
)) /
AVERAGE(
_xlfn._xlws.FILTER(Table_Main[Số lượng],
(Table_Main[Mã SKU] = $B74) *
(Table_Main[Ngày lên đơn] &gt;= BCQT_BatDau)*
(Table_Main[Ngày lên đơn] &lt; BCQT_KetThuc)
)),0)</f>
        <v>0</v>
      </c>
      <c r="D74" s="15"/>
      <c r="E74" s="15"/>
      <c r="F74" s="15"/>
      <c r="G74" s="15"/>
      <c r="H74" s="15"/>
      <c r="I74" s="15"/>
      <c r="J74" s="15"/>
      <c r="K74" s="15"/>
      <c r="L74" s="15"/>
      <c r="M74" s="15"/>
      <c r="N74" s="15"/>
      <c r="O74" s="15"/>
      <c r="P74" s="212"/>
      <c r="R74" s="7"/>
      <c r="S74" s="7"/>
      <c r="T74" s="7"/>
      <c r="V74" s="7"/>
      <c r="W74" s="7"/>
      <c r="X74" s="7"/>
    </row>
    <row r="75" spans="1:25" s="12" customFormat="1" ht="18" customHeight="1" x14ac:dyDescent="0.3">
      <c r="B75" s="27"/>
      <c r="C75" s="27"/>
      <c r="D75" s="7"/>
      <c r="E75" s="7"/>
      <c r="F75" s="7"/>
      <c r="G75" s="7"/>
      <c r="H75" s="7"/>
      <c r="I75" s="7"/>
      <c r="J75" s="7"/>
      <c r="K75" s="7"/>
      <c r="L75" s="7"/>
      <c r="M75" s="7"/>
      <c r="N75" s="7"/>
      <c r="O75" s="7"/>
      <c r="P75" s="7"/>
      <c r="Q75" s="7"/>
      <c r="R75" s="7"/>
      <c r="S75" s="7"/>
      <c r="T75" s="7"/>
      <c r="U75" s="7"/>
      <c r="V75" s="7"/>
      <c r="W75" s="7"/>
      <c r="X75" s="7"/>
      <c r="Y75" s="7"/>
    </row>
    <row r="76" spans="1:25" s="12" customFormat="1" ht="18" customHeight="1" x14ac:dyDescent="0.3">
      <c r="B76" s="7" t="s">
        <v>1051</v>
      </c>
      <c r="C76" s="27"/>
      <c r="D76" s="7"/>
      <c r="E76" s="7"/>
      <c r="F76" s="7"/>
      <c r="G76" s="7"/>
      <c r="H76" s="7"/>
      <c r="I76" s="7"/>
      <c r="J76" s="7"/>
      <c r="K76" s="7"/>
      <c r="L76" s="7"/>
      <c r="M76" s="7"/>
      <c r="N76" s="7"/>
      <c r="O76" s="7"/>
      <c r="P76" s="52"/>
      <c r="Q76" s="7"/>
      <c r="R76" s="7"/>
      <c r="S76" s="7"/>
      <c r="T76" s="7"/>
      <c r="U76" s="7"/>
      <c r="V76" s="7"/>
      <c r="W76" s="7"/>
      <c r="X76" s="7"/>
    </row>
    <row r="77" spans="1:25" ht="18" customHeight="1" x14ac:dyDescent="0.3">
      <c r="B77" s="46" t="s">
        <v>331</v>
      </c>
      <c r="C77" s="484" t="s">
        <v>268</v>
      </c>
      <c r="D77" s="484" t="s">
        <v>269</v>
      </c>
      <c r="E77" s="484" t="s">
        <v>270</v>
      </c>
      <c r="F77" s="484" t="s">
        <v>271</v>
      </c>
      <c r="G77" s="484" t="s">
        <v>272</v>
      </c>
      <c r="H77" s="484" t="s">
        <v>273</v>
      </c>
      <c r="I77" s="484" t="s">
        <v>274</v>
      </c>
      <c r="J77" s="484" t="s">
        <v>275</v>
      </c>
      <c r="K77" s="484" t="s">
        <v>276</v>
      </c>
      <c r="L77" s="484" t="s">
        <v>277</v>
      </c>
      <c r="M77" s="484" t="s">
        <v>278</v>
      </c>
      <c r="N77" s="484" t="s">
        <v>279</v>
      </c>
      <c r="O77" s="484" t="s">
        <v>280</v>
      </c>
      <c r="P77" s="4" t="s">
        <v>883</v>
      </c>
    </row>
    <row r="78" spans="1:25" ht="18" customHeight="1" x14ac:dyDescent="0.3">
      <c r="C78" s="18" t="e" cm="1">
        <f t="array" ref="C78"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f>
        <v>#DIV/0!</v>
      </c>
      <c r="D78" s="18">
        <f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f>
        <v>0</v>
      </c>
      <c r="E78" s="18">
        <f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f>
        <v>0</v>
      </c>
      <c r="F78" s="18">
        <f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f>
        <v>0</v>
      </c>
      <c r="G78" s="18">
        <f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f>
        <v>0</v>
      </c>
      <c r="H78" s="18">
        <f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f>
        <v>0</v>
      </c>
      <c r="I78" s="18">
        <f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f>
        <v>0</v>
      </c>
      <c r="J78" s="18">
        <f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f>
        <v>0</v>
      </c>
      <c r="K78" s="18">
        <f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f>
        <v>0</v>
      </c>
      <c r="L78" s="18">
        <f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f>
        <v>0</v>
      </c>
      <c r="M78" s="18">
        <f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f>
        <v>0</v>
      </c>
      <c r="N78" s="18">
        <f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f>
        <v>0</v>
      </c>
      <c r="O78" s="18">
        <f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f>
        <v>0</v>
      </c>
      <c r="P78" s="214"/>
    </row>
    <row r="79" spans="1:25" ht="18" customHeight="1" x14ac:dyDescent="0.15">
      <c r="B79" s="479" t="s">
        <v>1039</v>
      </c>
      <c r="C79" s="487" t="e">
        <f>SUBTOTAL(109,Table_KeHoach_ChiPhiSKU[Tham chiếu])</f>
        <v>#DIV/0!</v>
      </c>
      <c r="D79" s="487">
        <f>SUBTOTAL(109,Table_KeHoach_ChiPhiSKU[Tháng 1])</f>
        <v>0</v>
      </c>
      <c r="E79" s="487">
        <f>SUBTOTAL(109,Table_KeHoach_ChiPhiSKU[Tháng 2])</f>
        <v>0</v>
      </c>
      <c r="F79" s="487">
        <f>SUBTOTAL(109,Table_KeHoach_ChiPhiSKU[Tháng 3])</f>
        <v>0</v>
      </c>
      <c r="G79" s="487">
        <f>SUBTOTAL(109,Table_KeHoach_ChiPhiSKU[Tháng 4])</f>
        <v>0</v>
      </c>
      <c r="H79" s="487">
        <f>SUBTOTAL(109,Table_KeHoach_ChiPhiSKU[Tháng 5])</f>
        <v>0</v>
      </c>
      <c r="I79" s="487">
        <f>SUBTOTAL(109,Table_KeHoach_ChiPhiSKU[Tháng 6])</f>
        <v>0</v>
      </c>
      <c r="J79" s="487">
        <f>SUBTOTAL(109,Table_KeHoach_ChiPhiSKU[Tháng 7])</f>
        <v>0</v>
      </c>
      <c r="K79" s="487">
        <f>SUBTOTAL(109,Table_KeHoach_ChiPhiSKU[Tháng 8])</f>
        <v>0</v>
      </c>
      <c r="L79" s="487">
        <f>SUBTOTAL(109,Table_KeHoach_ChiPhiSKU[Tháng 9])</f>
        <v>0</v>
      </c>
      <c r="M79" s="487">
        <f>SUBTOTAL(109,Table_KeHoach_ChiPhiSKU[Tháng 10])</f>
        <v>0</v>
      </c>
      <c r="N79" s="487">
        <f>SUBTOTAL(109,Table_KeHoach_ChiPhiSKU[Tháng 11])</f>
        <v>0</v>
      </c>
      <c r="O79" s="487">
        <f>SUBTOTAL(109,Table_KeHoach_ChiPhiSKU[Tháng 12])</f>
        <v>0</v>
      </c>
      <c r="P79" s="480"/>
    </row>
    <row r="80" spans="1:25" ht="18" customHeight="1" x14ac:dyDescent="0.3">
      <c r="B80" s="28"/>
      <c r="C80" s="106"/>
      <c r="D80" s="28"/>
      <c r="E80" s="28"/>
      <c r="F80" s="28"/>
      <c r="G80" s="28"/>
      <c r="H80" s="28"/>
      <c r="I80" s="28"/>
      <c r="J80" s="28"/>
      <c r="K80" s="28"/>
      <c r="L80" s="28"/>
      <c r="M80" s="28"/>
      <c r="N80" s="28"/>
      <c r="O80" s="28"/>
      <c r="P80" s="28"/>
    </row>
    <row r="81" spans="2:16" ht="18" customHeight="1" x14ac:dyDescent="0.3">
      <c r="B81" s="7" t="s">
        <v>1052</v>
      </c>
      <c r="C81" s="106"/>
      <c r="D81" s="28"/>
      <c r="E81" s="28"/>
      <c r="F81" s="28"/>
      <c r="G81" s="28"/>
      <c r="H81" s="28"/>
      <c r="I81" s="28"/>
      <c r="J81" s="28"/>
      <c r="K81" s="28"/>
      <c r="L81" s="28"/>
      <c r="M81" s="28"/>
      <c r="N81" s="28"/>
      <c r="O81" s="28"/>
      <c r="P81" s="212"/>
    </row>
    <row r="82" spans="2:16" ht="18" customHeight="1" x14ac:dyDescent="0.3">
      <c r="B82" s="488" t="s">
        <v>332</v>
      </c>
      <c r="C82" s="484" t="s">
        <v>268</v>
      </c>
      <c r="D82" s="484" t="s">
        <v>269</v>
      </c>
      <c r="E82" s="484" t="s">
        <v>270</v>
      </c>
      <c r="F82" s="484" t="s">
        <v>271</v>
      </c>
      <c r="G82" s="484" t="s">
        <v>272</v>
      </c>
      <c r="H82" s="484" t="s">
        <v>273</v>
      </c>
      <c r="I82" s="484" t="s">
        <v>274</v>
      </c>
      <c r="J82" s="484" t="s">
        <v>275</v>
      </c>
      <c r="K82" s="484" t="s">
        <v>276</v>
      </c>
      <c r="L82" s="484" t="s">
        <v>277</v>
      </c>
      <c r="M82" s="484" t="s">
        <v>278</v>
      </c>
      <c r="N82" s="484" t="s">
        <v>279</v>
      </c>
      <c r="O82" s="484" t="s">
        <v>280</v>
      </c>
      <c r="P82" s="4" t="s">
        <v>883</v>
      </c>
    </row>
    <row r="83" spans="2:16" ht="18" customHeight="1" x14ac:dyDescent="0.3">
      <c r="B83" s="18"/>
      <c r="C83" s="17" t="e" cm="1">
        <f t="array" ref="C83">-IFERROR(
SUM(_xlfn._xlws.FILTER(Table_TonKho[Chi phí ghi nhận],
(Table_TonKho[Nguyên liệu] = Table_KeHoach_ChiPhiVatTuSX[[#This Row],[Kế hoạch chi phí nguyên liệu, vật tư]]) *
(Table_TonKho[Kỳ] &gt;=BCQT_BatDau) *
(Table_TonKho[Kỳ] &lt;BCQT_KetThuc)
)),0) /
ROUND((BCQT_KetThuc-BCQT_BatDau)/(365.25/12),0)</f>
        <v>#DIV/0!</v>
      </c>
      <c r="D83" s="422"/>
      <c r="E83" s="422"/>
      <c r="F83" s="422"/>
      <c r="G83" s="422"/>
      <c r="H83" s="422"/>
      <c r="I83" s="422"/>
      <c r="J83" s="422"/>
      <c r="K83" s="422"/>
      <c r="L83" s="422"/>
      <c r="M83" s="422"/>
      <c r="N83" s="422"/>
      <c r="O83" s="422"/>
      <c r="P83" s="215"/>
    </row>
    <row r="84" spans="2:16" ht="18" customHeight="1" x14ac:dyDescent="0.3">
      <c r="B84" s="487" t="s">
        <v>1039</v>
      </c>
      <c r="C84" s="17" t="e">
        <f>SUBTOTAL(109,Table_KeHoach_ChiPhiVatTuSX[Tham chiếu])</f>
        <v>#DIV/0!</v>
      </c>
      <c r="D84" s="17">
        <f>SUBTOTAL(109,Table_KeHoach_ChiPhiVatTuSX[Tháng 1])</f>
        <v>0</v>
      </c>
      <c r="E84" s="17">
        <f>SUBTOTAL(109,Table_KeHoach_ChiPhiVatTuSX[Tháng 2])</f>
        <v>0</v>
      </c>
      <c r="F84" s="17">
        <f>SUBTOTAL(109,Table_KeHoach_ChiPhiVatTuSX[Tháng 3])</f>
        <v>0</v>
      </c>
      <c r="G84" s="17">
        <f>SUBTOTAL(109,Table_KeHoach_ChiPhiVatTuSX[Tháng 4])</f>
        <v>0</v>
      </c>
      <c r="H84" s="17">
        <f>SUBTOTAL(109,Table_KeHoach_ChiPhiVatTuSX[Tháng 5])</f>
        <v>0</v>
      </c>
      <c r="I84" s="17">
        <f>SUBTOTAL(109,Table_KeHoach_ChiPhiVatTuSX[Tháng 6])</f>
        <v>0</v>
      </c>
      <c r="J84" s="17">
        <f>SUBTOTAL(109,Table_KeHoach_ChiPhiVatTuSX[Tháng 7])</f>
        <v>0</v>
      </c>
      <c r="K84" s="17">
        <f>SUBTOTAL(109,Table_KeHoach_ChiPhiVatTuSX[Tháng 8])</f>
        <v>0</v>
      </c>
      <c r="L84" s="17">
        <f>SUBTOTAL(109,Table_KeHoach_ChiPhiVatTuSX[Tháng 9])</f>
        <v>0</v>
      </c>
      <c r="M84" s="17">
        <f>SUBTOTAL(109,Table_KeHoach_ChiPhiVatTuSX[Tháng 10])</f>
        <v>0</v>
      </c>
      <c r="N84" s="17">
        <f>SUBTOTAL(109,Table_KeHoach_ChiPhiVatTuSX[Tháng 11])</f>
        <v>0</v>
      </c>
      <c r="O84" s="17">
        <f>SUBTOTAL(109,Table_KeHoach_ChiPhiVatTuSX[Tháng 12])</f>
        <v>0</v>
      </c>
      <c r="P84" s="28"/>
    </row>
    <row r="85" spans="2:16" ht="18" customHeight="1" x14ac:dyDescent="0.3">
      <c r="B85" s="106"/>
      <c r="C85" s="106"/>
      <c r="D85" s="216"/>
      <c r="E85" s="215"/>
      <c r="F85" s="215"/>
      <c r="G85" s="215"/>
      <c r="H85" s="215"/>
      <c r="I85" s="215"/>
      <c r="J85" s="215"/>
      <c r="K85" s="215"/>
      <c r="L85" s="215"/>
      <c r="M85" s="215"/>
      <c r="N85" s="215"/>
      <c r="O85" s="215"/>
      <c r="P85" s="215"/>
    </row>
    <row r="86" spans="2:16" ht="18" customHeight="1" x14ac:dyDescent="0.3">
      <c r="B86" s="7" t="s">
        <v>1053</v>
      </c>
      <c r="C86" s="106"/>
      <c r="D86" s="216"/>
      <c r="E86" s="215"/>
      <c r="F86" s="215"/>
      <c r="G86" s="215"/>
      <c r="H86" s="215"/>
      <c r="I86" s="215"/>
      <c r="J86" s="215"/>
      <c r="K86" s="215"/>
      <c r="L86" s="215"/>
      <c r="M86" s="215"/>
      <c r="N86" s="215"/>
      <c r="O86" s="215"/>
      <c r="P86" s="214"/>
    </row>
    <row r="87" spans="2:16" ht="18" customHeight="1" x14ac:dyDescent="0.3">
      <c r="B87" s="488" t="s">
        <v>333</v>
      </c>
      <c r="C87" s="484" t="s">
        <v>268</v>
      </c>
      <c r="D87" s="484" t="s">
        <v>269</v>
      </c>
      <c r="E87" s="484" t="s">
        <v>270</v>
      </c>
      <c r="F87" s="484" t="s">
        <v>271</v>
      </c>
      <c r="G87" s="484" t="s">
        <v>272</v>
      </c>
      <c r="H87" s="484" t="s">
        <v>273</v>
      </c>
      <c r="I87" s="484" t="s">
        <v>274</v>
      </c>
      <c r="J87" s="484" t="s">
        <v>275</v>
      </c>
      <c r="K87" s="484" t="s">
        <v>276</v>
      </c>
      <c r="L87" s="484" t="s">
        <v>277</v>
      </c>
      <c r="M87" s="484" t="s">
        <v>278</v>
      </c>
      <c r="N87" s="484" t="s">
        <v>279</v>
      </c>
      <c r="O87" s="484" t="s">
        <v>280</v>
      </c>
      <c r="P87" s="485" t="s">
        <v>883</v>
      </c>
    </row>
    <row r="88" spans="2:16" ht="18" customHeight="1" x14ac:dyDescent="0.3">
      <c r="B88" s="489"/>
      <c r="C88" s="18" t="e" cm="1">
        <f t="array" ref="C88"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88" s="422"/>
      <c r="E88" s="422"/>
      <c r="F88" s="422"/>
      <c r="G88" s="422"/>
      <c r="H88" s="422"/>
      <c r="I88" s="422"/>
      <c r="J88" s="422"/>
      <c r="K88" s="422"/>
      <c r="L88" s="422"/>
      <c r="M88" s="422"/>
      <c r="N88" s="422"/>
      <c r="O88" s="422"/>
      <c r="P88" s="422"/>
    </row>
    <row r="89" spans="2:16" ht="18" customHeight="1" x14ac:dyDescent="0.3">
      <c r="B89" s="487" t="s">
        <v>1039</v>
      </c>
      <c r="C89" s="487" t="e">
        <f>SUBTOTAL(109,Table_KeHoach_ChiPhiTienIchSX[Tham chiếu])</f>
        <v>#DIV/0!</v>
      </c>
      <c r="D89" s="487">
        <f>SUBTOTAL(109,Table_KeHoach_ChiPhiTienIchSX[Tháng 1])</f>
        <v>0</v>
      </c>
      <c r="E89" s="487">
        <f>SUBTOTAL(109,Table_KeHoach_ChiPhiTienIchSX[Tháng 2])</f>
        <v>0</v>
      </c>
      <c r="F89" s="487">
        <f>SUBTOTAL(109,Table_KeHoach_ChiPhiTienIchSX[Tháng 3])</f>
        <v>0</v>
      </c>
      <c r="G89" s="487">
        <f>SUBTOTAL(109,Table_KeHoach_ChiPhiTienIchSX[Tháng 4])</f>
        <v>0</v>
      </c>
      <c r="H89" s="487">
        <f>SUBTOTAL(109,Table_KeHoach_ChiPhiTienIchSX[Tháng 5])</f>
        <v>0</v>
      </c>
      <c r="I89" s="487">
        <f>SUBTOTAL(109,Table_KeHoach_ChiPhiTienIchSX[Tháng 6])</f>
        <v>0</v>
      </c>
      <c r="J89" s="487">
        <f>SUBTOTAL(109,Table_KeHoach_ChiPhiTienIchSX[Tháng 7])</f>
        <v>0</v>
      </c>
      <c r="K89" s="487">
        <f>SUBTOTAL(109,Table_KeHoach_ChiPhiTienIchSX[Tháng 8])</f>
        <v>0</v>
      </c>
      <c r="L89" s="487">
        <f>SUBTOTAL(109,Table_KeHoach_ChiPhiTienIchSX[Tháng 9])</f>
        <v>0</v>
      </c>
      <c r="M89" s="487">
        <f>SUBTOTAL(109,Table_KeHoach_ChiPhiTienIchSX[Tháng 10])</f>
        <v>0</v>
      </c>
      <c r="N89" s="487">
        <f>SUBTOTAL(109,Table_KeHoach_ChiPhiTienIchSX[Tháng 11])</f>
        <v>0</v>
      </c>
      <c r="O89" s="487">
        <f>SUBTOTAL(109,Table_KeHoach_ChiPhiTienIchSX[Tháng 12])</f>
        <v>0</v>
      </c>
      <c r="P89" s="422"/>
    </row>
    <row r="91" spans="2:16" ht="18" customHeight="1" x14ac:dyDescent="0.3">
      <c r="B91" s="7" t="s">
        <v>1054</v>
      </c>
      <c r="P91" s="215"/>
    </row>
    <row r="92" spans="2:16" ht="18" customHeight="1" x14ac:dyDescent="0.3">
      <c r="B92" s="488" t="s">
        <v>334</v>
      </c>
      <c r="C92" s="484" t="s">
        <v>268</v>
      </c>
      <c r="D92" s="484" t="s">
        <v>269</v>
      </c>
      <c r="E92" s="484" t="s">
        <v>270</v>
      </c>
      <c r="F92" s="484" t="s">
        <v>271</v>
      </c>
      <c r="G92" s="484" t="s">
        <v>272</v>
      </c>
      <c r="H92" s="484" t="s">
        <v>273</v>
      </c>
      <c r="I92" s="484" t="s">
        <v>274</v>
      </c>
      <c r="J92" s="484" t="s">
        <v>275</v>
      </c>
      <c r="K92" s="484" t="s">
        <v>276</v>
      </c>
      <c r="L92" s="484" t="s">
        <v>277</v>
      </c>
      <c r="M92" s="484" t="s">
        <v>278</v>
      </c>
      <c r="N92" s="484" t="s">
        <v>279</v>
      </c>
      <c r="O92" s="484" t="s">
        <v>280</v>
      </c>
      <c r="P92" s="485" t="s">
        <v>883</v>
      </c>
    </row>
    <row r="93" spans="2:16" ht="18" customHeight="1" x14ac:dyDescent="0.3">
      <c r="B93" s="34"/>
      <c r="C93" s="34" t="e" cm="1">
        <f t="array" ref="C93"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3" s="34"/>
      <c r="E93" s="34"/>
      <c r="F93" s="34"/>
      <c r="G93" s="34"/>
      <c r="H93" s="34"/>
      <c r="I93" s="34"/>
      <c r="J93" s="34"/>
      <c r="K93" s="34"/>
      <c r="L93" s="34"/>
      <c r="M93" s="34"/>
      <c r="N93" s="34"/>
      <c r="O93" s="34"/>
      <c r="P93" s="490"/>
    </row>
    <row r="94" spans="2:16" ht="18" customHeight="1" x14ac:dyDescent="0.3">
      <c r="B94" s="34"/>
      <c r="C94" s="34" t="e" cm="1">
        <f t="array" ref="C94"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4" s="34"/>
      <c r="E94" s="34"/>
      <c r="F94" s="34"/>
      <c r="G94" s="34"/>
      <c r="H94" s="34"/>
      <c r="I94" s="34"/>
      <c r="J94" s="34"/>
      <c r="K94" s="34"/>
      <c r="L94" s="34"/>
      <c r="M94" s="34"/>
      <c r="N94" s="34"/>
      <c r="O94" s="34"/>
      <c r="P94" s="34"/>
    </row>
    <row r="95" spans="2:16" ht="18" customHeight="1" x14ac:dyDescent="0.3">
      <c r="B95" s="487" t="s">
        <v>1039</v>
      </c>
      <c r="C95" s="487" t="e">
        <f>SUBTOTAL(109,Table_KeHoach_ChiPhiVatTuVP[Tham chiếu])</f>
        <v>#DIV/0!</v>
      </c>
      <c r="D95" s="487">
        <f>SUBTOTAL(109,Table_KeHoach_ChiPhiVatTuVP[Tháng 1])</f>
        <v>0</v>
      </c>
      <c r="E95" s="487">
        <f>SUBTOTAL(109,Table_KeHoach_ChiPhiVatTuVP[Tháng 2])</f>
        <v>0</v>
      </c>
      <c r="F95" s="487">
        <f>SUBTOTAL(109,Table_KeHoach_ChiPhiVatTuVP[Tháng 3])</f>
        <v>0</v>
      </c>
      <c r="G95" s="487">
        <f>SUBTOTAL(109,Table_KeHoach_ChiPhiVatTuVP[Tháng 4])</f>
        <v>0</v>
      </c>
      <c r="H95" s="487">
        <f>SUBTOTAL(109,Table_KeHoach_ChiPhiVatTuVP[Tháng 5])</f>
        <v>0</v>
      </c>
      <c r="I95" s="487">
        <f>SUBTOTAL(109,Table_KeHoach_ChiPhiVatTuVP[Tháng 6])</f>
        <v>0</v>
      </c>
      <c r="J95" s="487">
        <f>SUBTOTAL(109,Table_KeHoach_ChiPhiVatTuVP[Tháng 7])</f>
        <v>0</v>
      </c>
      <c r="K95" s="487">
        <f>SUBTOTAL(109,Table_KeHoach_ChiPhiVatTuVP[Tháng 8])</f>
        <v>0</v>
      </c>
      <c r="L95" s="487">
        <f>SUBTOTAL(109,Table_KeHoach_ChiPhiVatTuVP[Tháng 9])</f>
        <v>0</v>
      </c>
      <c r="M95" s="487">
        <f>SUBTOTAL(109,Table_KeHoach_ChiPhiVatTuVP[Tháng 10])</f>
        <v>0</v>
      </c>
      <c r="N95" s="487">
        <f>SUBTOTAL(109,Table_KeHoach_ChiPhiVatTuVP[Tháng 11])</f>
        <v>0</v>
      </c>
      <c r="O95" s="487">
        <f>SUBTOTAL(109,Table_KeHoach_ChiPhiVatTuVP[Tháng 12])</f>
        <v>0</v>
      </c>
      <c r="P95" s="487"/>
    </row>
    <row r="96" spans="2:16" ht="18" customHeight="1" x14ac:dyDescent="0.3">
      <c r="B96" s="28"/>
      <c r="C96" s="106"/>
      <c r="D96" s="28"/>
      <c r="E96" s="28"/>
      <c r="F96" s="28"/>
      <c r="G96" s="28"/>
      <c r="H96" s="28"/>
      <c r="I96" s="28"/>
      <c r="J96" s="28"/>
      <c r="K96" s="28"/>
      <c r="L96" s="28"/>
      <c r="M96" s="28"/>
      <c r="N96" s="28"/>
      <c r="O96" s="28"/>
      <c r="P96" s="28"/>
    </row>
    <row r="97" spans="2:17" ht="18" customHeight="1" x14ac:dyDescent="0.3">
      <c r="B97" s="7" t="s">
        <v>1077</v>
      </c>
      <c r="C97" s="106"/>
      <c r="D97" s="28"/>
      <c r="E97" s="28"/>
      <c r="F97" s="28"/>
      <c r="G97" s="28"/>
      <c r="H97" s="28"/>
      <c r="I97" s="28"/>
      <c r="J97" s="28"/>
      <c r="K97" s="28"/>
      <c r="L97" s="28"/>
      <c r="M97" s="28"/>
      <c r="N97" s="28"/>
      <c r="O97" s="28"/>
      <c r="P97" s="215"/>
    </row>
    <row r="98" spans="2:17" ht="18" customHeight="1" x14ac:dyDescent="0.3">
      <c r="B98" s="45" t="s">
        <v>335</v>
      </c>
      <c r="C98" s="482" t="s">
        <v>268</v>
      </c>
      <c r="D98" s="482" t="s">
        <v>269</v>
      </c>
      <c r="E98" s="482" t="s">
        <v>270</v>
      </c>
      <c r="F98" s="482" t="s">
        <v>271</v>
      </c>
      <c r="G98" s="482" t="s">
        <v>272</v>
      </c>
      <c r="H98" s="482" t="s">
        <v>273</v>
      </c>
      <c r="I98" s="482" t="s">
        <v>274</v>
      </c>
      <c r="J98" s="482" t="s">
        <v>275</v>
      </c>
      <c r="K98" s="482" t="s">
        <v>276</v>
      </c>
      <c r="L98" s="482" t="s">
        <v>277</v>
      </c>
      <c r="M98" s="482" t="s">
        <v>278</v>
      </c>
      <c r="N98" s="482" t="s">
        <v>279</v>
      </c>
      <c r="O98" s="482" t="s">
        <v>280</v>
      </c>
      <c r="P98" s="483" t="s">
        <v>883</v>
      </c>
      <c r="Q98" s="215"/>
    </row>
    <row r="99" spans="2:17" ht="18" customHeight="1" x14ac:dyDescent="0.3">
      <c r="B99" s="45"/>
      <c r="C99" s="559" t="e" cm="1" vm="1">
        <f t="array" ref="C99"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f>
        <v>#VALUE!</v>
      </c>
      <c r="D99" s="45"/>
      <c r="E99" s="45"/>
      <c r="F99" s="45"/>
      <c r="G99" s="45"/>
      <c r="H99" s="45"/>
      <c r="I99" s="45"/>
      <c r="J99" s="45"/>
      <c r="K99" s="45"/>
      <c r="L99" s="45"/>
      <c r="M99" s="45"/>
      <c r="N99" s="45"/>
      <c r="O99" s="45"/>
      <c r="P99" s="45"/>
    </row>
    <row r="101" spans="2:17" ht="18" customHeight="1" x14ac:dyDescent="0.3">
      <c r="B101" s="7" t="s">
        <v>1078</v>
      </c>
      <c r="P101" s="217"/>
    </row>
    <row r="102" spans="2:17" ht="18" customHeight="1" x14ac:dyDescent="0.3">
      <c r="B102" s="488" t="s">
        <v>336</v>
      </c>
      <c r="C102" s="484" t="s">
        <v>268</v>
      </c>
      <c r="D102" s="484" t="s">
        <v>269</v>
      </c>
      <c r="E102" s="484" t="s">
        <v>270</v>
      </c>
      <c r="F102" s="484" t="s">
        <v>271</v>
      </c>
      <c r="G102" s="484" t="s">
        <v>272</v>
      </c>
      <c r="H102" s="484" t="s">
        <v>273</v>
      </c>
      <c r="I102" s="484" t="s">
        <v>274</v>
      </c>
      <c r="J102" s="484" t="s">
        <v>275</v>
      </c>
      <c r="K102" s="484" t="s">
        <v>276</v>
      </c>
      <c r="L102" s="484" t="s">
        <v>277</v>
      </c>
      <c r="M102" s="484" t="s">
        <v>278</v>
      </c>
      <c r="N102" s="484" t="s">
        <v>279</v>
      </c>
      <c r="O102" s="484" t="s">
        <v>280</v>
      </c>
      <c r="P102" s="485" t="s">
        <v>883</v>
      </c>
    </row>
    <row r="103" spans="2:17" ht="18" customHeight="1" x14ac:dyDescent="0.3">
      <c r="B103" s="15"/>
      <c r="C103" s="18" t="e" cm="1" vm="1">
        <f t="array" ref="C103">-SUM(_xlfn._xlws.FILTER(Table_Main[Hoa hồng],
(Table_Main[Mã SKU] = Table_KeHoach_ChiPhiHoaHong[[#This Row],[Kế hoạch chi phí hoa hồng]]) *
(Table_Main[Ngày lên đơn] &gt;= BCQT_BatDau) *
(Table_Main[Ngày lên đơn] &lt; BCQT_KetThuc)
)) /
ROUND((BCQT_KetThuc-BCQT_BatDau)/(365.25/12),0)</f>
        <v>#VALUE!</v>
      </c>
      <c r="D103" s="18" t="e">
        <f>-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f>
        <v>#N/A</v>
      </c>
      <c r="E103" s="18" t="e">
        <f>-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f>
        <v>#N/A</v>
      </c>
      <c r="F103" s="18" t="e">
        <f>-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f>
        <v>#N/A</v>
      </c>
      <c r="G103" s="18" t="e">
        <f>-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f>
        <v>#N/A</v>
      </c>
      <c r="H103" s="18" t="e">
        <f>-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f>
        <v>#N/A</v>
      </c>
      <c r="I103" s="18" t="e">
        <f>-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f>
        <v>#N/A</v>
      </c>
      <c r="J103" s="18" t="e">
        <f>-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f>
        <v>#N/A</v>
      </c>
      <c r="K103" s="18" t="e">
        <f>-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f>
        <v>#N/A</v>
      </c>
      <c r="L103" s="18" t="e">
        <f>-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f>
        <v>#N/A</v>
      </c>
      <c r="M103" s="18" t="e">
        <f>-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f>
        <v>#N/A</v>
      </c>
      <c r="N103" s="18" t="e">
        <f>-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f>
        <v>#N/A</v>
      </c>
      <c r="O103" s="18" t="e">
        <f>-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f>
        <v>#N/A</v>
      </c>
      <c r="P103" s="18"/>
    </row>
    <row r="104" spans="2:17" ht="18" customHeight="1" x14ac:dyDescent="0.15">
      <c r="B104" s="487" t="s">
        <v>1039</v>
      </c>
      <c r="C104" s="491" t="e" vm="2">
        <f>SUBTOTAL(109,Table_KeHoach_ChiPhiHoaHong[Tham chiếu])</f>
        <v>#VALUE!</v>
      </c>
      <c r="D104" s="491" t="e">
        <f>SUBTOTAL(109,Table_KeHoach_ChiPhiHoaHong[Tháng 1])</f>
        <v>#N/A</v>
      </c>
      <c r="E104" s="491" t="e">
        <f>SUBTOTAL(109,Table_KeHoach_ChiPhiHoaHong[Tháng 2])</f>
        <v>#N/A</v>
      </c>
      <c r="F104" s="491" t="e">
        <f>SUBTOTAL(109,Table_KeHoach_ChiPhiHoaHong[Tháng 3])</f>
        <v>#N/A</v>
      </c>
      <c r="G104" s="491" t="e">
        <f>SUBTOTAL(109,Table_KeHoach_ChiPhiHoaHong[Tháng 4])</f>
        <v>#N/A</v>
      </c>
      <c r="H104" s="491" t="e">
        <f>SUBTOTAL(109,Table_KeHoach_ChiPhiHoaHong[Tháng 5])</f>
        <v>#N/A</v>
      </c>
      <c r="I104" s="491" t="e">
        <f>SUBTOTAL(109,Table_KeHoach_ChiPhiHoaHong[Tháng 6])</f>
        <v>#N/A</v>
      </c>
      <c r="J104" s="491" t="e">
        <f>SUBTOTAL(109,Table_KeHoach_ChiPhiHoaHong[Tháng 7])</f>
        <v>#N/A</v>
      </c>
      <c r="K104" s="491" t="e">
        <f>SUBTOTAL(109,Table_KeHoach_ChiPhiHoaHong[Tháng 8])</f>
        <v>#N/A</v>
      </c>
      <c r="L104" s="491" t="e">
        <f>SUBTOTAL(109,Table_KeHoach_ChiPhiHoaHong[Tháng 9])</f>
        <v>#N/A</v>
      </c>
      <c r="M104" s="491" t="e">
        <f>SUBTOTAL(109,Table_KeHoach_ChiPhiHoaHong[Tháng 10])</f>
        <v>#N/A</v>
      </c>
      <c r="N104" s="491" t="e">
        <f>SUBTOTAL(109,Table_KeHoach_ChiPhiHoaHong[Tháng 11])</f>
        <v>#N/A</v>
      </c>
      <c r="O104" s="491" t="e">
        <f>SUBTOTAL(109,Table_KeHoach_ChiPhiHoaHong[Tháng 12])</f>
        <v>#N/A</v>
      </c>
      <c r="P104" s="491"/>
    </row>
    <row r="106" spans="2:17" ht="18" customHeight="1" x14ac:dyDescent="0.3">
      <c r="B106" s="7" t="s">
        <v>1055</v>
      </c>
      <c r="P106" s="45"/>
    </row>
    <row r="107" spans="2:17" ht="18" customHeight="1" x14ac:dyDescent="0.3">
      <c r="B107" s="492" t="s">
        <v>338</v>
      </c>
      <c r="C107" s="482" t="s">
        <v>268</v>
      </c>
      <c r="D107" s="482" t="s">
        <v>269</v>
      </c>
      <c r="E107" s="482" t="s">
        <v>270</v>
      </c>
      <c r="F107" s="482" t="s">
        <v>271</v>
      </c>
      <c r="G107" s="482" t="s">
        <v>272</v>
      </c>
      <c r="H107" s="482" t="s">
        <v>273</v>
      </c>
      <c r="I107" s="482" t="s">
        <v>274</v>
      </c>
      <c r="J107" s="482" t="s">
        <v>275</v>
      </c>
      <c r="K107" s="482" t="s">
        <v>276</v>
      </c>
      <c r="L107" s="482" t="s">
        <v>277</v>
      </c>
      <c r="M107" s="482" t="s">
        <v>278</v>
      </c>
      <c r="N107" s="482" t="s">
        <v>279</v>
      </c>
      <c r="O107" s="482" t="s">
        <v>280</v>
      </c>
      <c r="P107" s="483" t="s">
        <v>883</v>
      </c>
    </row>
    <row r="108" spans="2:17" ht="18" customHeight="1" x14ac:dyDescent="0.3">
      <c r="B108" s="45"/>
      <c r="C108" s="68" t="e" cm="1">
        <f t="array" ref="C108">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f>
        <v>#N/A</v>
      </c>
      <c r="D108" s="68"/>
      <c r="E108" s="68"/>
      <c r="F108" s="68"/>
      <c r="G108" s="68"/>
      <c r="H108" s="68"/>
      <c r="I108" s="68"/>
      <c r="J108" s="68"/>
      <c r="K108" s="68"/>
      <c r="L108" s="68"/>
      <c r="M108" s="68"/>
      <c r="N108" s="68"/>
      <c r="O108" s="68"/>
      <c r="P108" s="68"/>
    </row>
    <row r="109" spans="2:17" ht="18" customHeight="1" x14ac:dyDescent="0.3">
      <c r="B109" s="28"/>
      <c r="C109" s="106"/>
      <c r="D109" s="28"/>
      <c r="E109" s="28"/>
      <c r="F109" s="28"/>
      <c r="G109" s="28"/>
      <c r="H109" s="28"/>
      <c r="I109" s="28"/>
      <c r="J109" s="28"/>
      <c r="K109" s="28"/>
      <c r="L109" s="28"/>
      <c r="M109" s="28"/>
      <c r="N109" s="28"/>
      <c r="O109" s="28"/>
      <c r="P109" s="28"/>
    </row>
    <row r="110" spans="2:17" ht="18" customHeight="1" x14ac:dyDescent="0.3">
      <c r="B110" s="7" t="s">
        <v>1056</v>
      </c>
      <c r="C110" s="106"/>
      <c r="D110" s="28"/>
      <c r="E110" s="28"/>
      <c r="F110" s="28"/>
      <c r="G110" s="28"/>
      <c r="H110" s="28"/>
      <c r="I110" s="28"/>
      <c r="J110" s="28"/>
      <c r="K110" s="28"/>
      <c r="L110" s="28"/>
      <c r="M110" s="28"/>
      <c r="N110" s="28"/>
      <c r="O110" s="28"/>
      <c r="P110" s="18"/>
    </row>
    <row r="111" spans="2:17" ht="18" customHeight="1" x14ac:dyDescent="0.3">
      <c r="B111" s="45" t="s">
        <v>337</v>
      </c>
      <c r="C111" s="482" t="s">
        <v>268</v>
      </c>
      <c r="D111" s="482" t="s">
        <v>269</v>
      </c>
      <c r="E111" s="482" t="s">
        <v>270</v>
      </c>
      <c r="F111" s="482" t="s">
        <v>271</v>
      </c>
      <c r="G111" s="482" t="s">
        <v>272</v>
      </c>
      <c r="H111" s="482" t="s">
        <v>273</v>
      </c>
      <c r="I111" s="482" t="s">
        <v>274</v>
      </c>
      <c r="J111" s="482" t="s">
        <v>275</v>
      </c>
      <c r="K111" s="482" t="s">
        <v>276</v>
      </c>
      <c r="L111" s="482" t="s">
        <v>277</v>
      </c>
      <c r="M111" s="482" t="s">
        <v>278</v>
      </c>
      <c r="N111" s="482" t="s">
        <v>279</v>
      </c>
      <c r="O111" s="482" t="s">
        <v>280</v>
      </c>
      <c r="P111" s="483" t="s">
        <v>883</v>
      </c>
    </row>
    <row r="112" spans="2:17" ht="18" customHeight="1" x14ac:dyDescent="0.3">
      <c r="B112" s="45"/>
      <c r="C112" s="68" cm="1">
        <f t="array" ref="C112">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f>
        <v>0</v>
      </c>
      <c r="D112" s="68"/>
      <c r="E112" s="68"/>
      <c r="F112" s="68"/>
      <c r="G112" s="68"/>
      <c r="H112" s="68"/>
      <c r="I112" s="68"/>
      <c r="J112" s="68"/>
      <c r="K112" s="68"/>
      <c r="L112" s="68"/>
      <c r="M112" s="68"/>
      <c r="N112" s="68"/>
      <c r="O112" s="68"/>
      <c r="P112" s="68"/>
    </row>
    <row r="113" spans="2:16" ht="18" customHeight="1" x14ac:dyDescent="0.3">
      <c r="B113" s="28"/>
      <c r="C113" s="106"/>
      <c r="D113" s="28"/>
      <c r="E113" s="28"/>
      <c r="F113" s="28"/>
      <c r="G113" s="28"/>
      <c r="H113" s="28"/>
      <c r="I113" s="28"/>
      <c r="J113" s="28"/>
      <c r="K113" s="28"/>
      <c r="L113" s="28"/>
      <c r="M113" s="28"/>
      <c r="N113" s="28"/>
    </row>
    <row r="114" spans="2:16" ht="18" customHeight="1" x14ac:dyDescent="0.3">
      <c r="B114" s="21" t="s">
        <v>1057</v>
      </c>
      <c r="C114" s="106"/>
      <c r="D114" s="28"/>
      <c r="E114" s="28"/>
      <c r="F114" s="28"/>
      <c r="G114" s="28"/>
      <c r="H114" s="28"/>
      <c r="I114" s="28"/>
      <c r="J114" s="28"/>
      <c r="K114" s="28"/>
      <c r="L114" s="28"/>
      <c r="M114" s="28"/>
      <c r="N114" s="28"/>
      <c r="P114" s="86"/>
    </row>
    <row r="115" spans="2:16" ht="18" customHeight="1" x14ac:dyDescent="0.3">
      <c r="B115" s="488" t="s">
        <v>339</v>
      </c>
      <c r="C115" s="484" t="s">
        <v>268</v>
      </c>
      <c r="D115" s="484" t="s">
        <v>269</v>
      </c>
      <c r="E115" s="484" t="s">
        <v>270</v>
      </c>
      <c r="F115" s="484" t="s">
        <v>271</v>
      </c>
      <c r="G115" s="484" t="s">
        <v>272</v>
      </c>
      <c r="H115" s="484" t="s">
        <v>273</v>
      </c>
      <c r="I115" s="484" t="s">
        <v>274</v>
      </c>
      <c r="J115" s="484" t="s">
        <v>275</v>
      </c>
      <c r="K115" s="484" t="s">
        <v>276</v>
      </c>
      <c r="L115" s="484" t="s">
        <v>277</v>
      </c>
      <c r="M115" s="484" t="s">
        <v>278</v>
      </c>
      <c r="N115" s="484" t="s">
        <v>279</v>
      </c>
      <c r="O115" s="484" t="s">
        <v>280</v>
      </c>
      <c r="P115" s="485" t="s">
        <v>883</v>
      </c>
    </row>
    <row r="116" spans="2:16" ht="18" customHeight="1" x14ac:dyDescent="0.3">
      <c r="B116" s="15"/>
      <c r="C116" s="18" t="e" cm="1">
        <f t="array" ref="C116">-IFERROR(
SUM(_xlfn._xlws.FILTER(Table_ThuChiKD[Phí GD],
(Table_ThuChiKD[TK GD] = Table_KeHoach_ChiPhiThanhToan[[#This Row],[Kế hoạch chi phí thanh toán]]) *
(Table_ThuChiKD[Ngày GD] &gt;=BCQT_BatDau) *
(Table_ThuChiKD[Ngày GD] &lt; BCQT_KetThuc )
)),0)/
ROUND((BCQT_KetThuc-BCQT_BatDau)/(365.25/12),0)</f>
        <v>#DIV/0!</v>
      </c>
      <c r="D116" s="18" t="e">
        <f>-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f>
        <v>#N/A</v>
      </c>
      <c r="E116" s="18" t="e">
        <f>-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f>
        <v>#N/A</v>
      </c>
      <c r="F116" s="18" t="e">
        <f>-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f>
        <v>#N/A</v>
      </c>
      <c r="G116" s="18" t="e">
        <f>-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f>
        <v>#N/A</v>
      </c>
      <c r="H116" s="18" t="e">
        <f>-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f>
        <v>#N/A</v>
      </c>
      <c r="I116" s="18" t="e">
        <f>-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f>
        <v>#N/A</v>
      </c>
      <c r="J116" s="18" t="e">
        <f>-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f>
        <v>#N/A</v>
      </c>
      <c r="K116" s="18" t="e">
        <f>-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f>
        <v>#N/A</v>
      </c>
      <c r="L116" s="18" t="e">
        <f>-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f>
        <v>#N/A</v>
      </c>
      <c r="M116" s="18" t="e">
        <f>-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f>
        <v>#N/A</v>
      </c>
      <c r="N116" s="18" t="e">
        <f>-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f>
        <v>#N/A</v>
      </c>
      <c r="O116" s="18" t="e">
        <f>-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f>
        <v>#N/A</v>
      </c>
      <c r="P116" s="18"/>
    </row>
    <row r="117" spans="2:16" ht="18" customHeight="1" x14ac:dyDescent="0.3">
      <c r="B117" s="487" t="s">
        <v>1039</v>
      </c>
      <c r="C117" s="487" t="e">
        <f>SUBTOTAL(109,Table_KeHoach_ChiPhiThanhToan[Tham chiếu])</f>
        <v>#DIV/0!</v>
      </c>
      <c r="D117" s="487" t="e">
        <f>SUBTOTAL(109,Table_KeHoach_ChiPhiThanhToan[Tháng 1])</f>
        <v>#N/A</v>
      </c>
      <c r="E117" s="487" t="e">
        <f>SUBTOTAL(109,Table_KeHoach_ChiPhiThanhToan[Tháng 2])</f>
        <v>#N/A</v>
      </c>
      <c r="F117" s="487" t="e">
        <f>SUBTOTAL(109,Table_KeHoach_ChiPhiThanhToan[Tháng 3])</f>
        <v>#N/A</v>
      </c>
      <c r="G117" s="487" t="e">
        <f>SUBTOTAL(109,Table_KeHoach_ChiPhiThanhToan[Tháng 4])</f>
        <v>#N/A</v>
      </c>
      <c r="H117" s="487" t="e">
        <f>SUBTOTAL(109,Table_KeHoach_ChiPhiThanhToan[Tháng 5])</f>
        <v>#N/A</v>
      </c>
      <c r="I117" s="487" t="e">
        <f>SUBTOTAL(109,Table_KeHoach_ChiPhiThanhToan[Tháng 6])</f>
        <v>#N/A</v>
      </c>
      <c r="J117" s="487" t="e">
        <f>SUBTOTAL(109,Table_KeHoach_ChiPhiThanhToan[Tháng 7])</f>
        <v>#N/A</v>
      </c>
      <c r="K117" s="487" t="e">
        <f>SUBTOTAL(109,Table_KeHoach_ChiPhiThanhToan[Tháng 8])</f>
        <v>#N/A</v>
      </c>
      <c r="L117" s="487" t="e">
        <f>SUBTOTAL(109,Table_KeHoach_ChiPhiThanhToan[Tháng 9])</f>
        <v>#N/A</v>
      </c>
      <c r="M117" s="487" t="e">
        <f>SUBTOTAL(109,Table_KeHoach_ChiPhiThanhToan[Tháng 10])</f>
        <v>#N/A</v>
      </c>
      <c r="N117" s="487" t="e">
        <f>SUBTOTAL(109,Table_KeHoach_ChiPhiThanhToan[Tháng 11])</f>
        <v>#N/A</v>
      </c>
      <c r="O117" s="487" t="e">
        <f>SUBTOTAL(109,Table_KeHoach_ChiPhiThanhToan[Tháng 12])</f>
        <v>#N/A</v>
      </c>
      <c r="P117" s="487"/>
    </row>
    <row r="119" spans="2:16" ht="18" customHeight="1" x14ac:dyDescent="0.3">
      <c r="B119" s="7" t="s">
        <v>1058</v>
      </c>
      <c r="P119" s="68"/>
    </row>
    <row r="120" spans="2:16" ht="18" customHeight="1" x14ac:dyDescent="0.3">
      <c r="B120" s="7" t="s">
        <v>340</v>
      </c>
      <c r="C120" s="12" t="s">
        <v>268</v>
      </c>
      <c r="D120" s="16" t="s">
        <v>269</v>
      </c>
      <c r="E120" s="16" t="s">
        <v>270</v>
      </c>
      <c r="F120" s="16" t="s">
        <v>271</v>
      </c>
      <c r="G120" s="16" t="s">
        <v>272</v>
      </c>
      <c r="H120" s="16" t="s">
        <v>273</v>
      </c>
      <c r="I120" s="16" t="s">
        <v>274</v>
      </c>
      <c r="J120" s="16" t="s">
        <v>275</v>
      </c>
      <c r="K120" s="16" t="s">
        <v>276</v>
      </c>
      <c r="L120" s="16" t="s">
        <v>277</v>
      </c>
      <c r="M120" s="16" t="s">
        <v>278</v>
      </c>
      <c r="N120" s="16" t="s">
        <v>279</v>
      </c>
      <c r="O120" s="16" t="s">
        <v>280</v>
      </c>
      <c r="P120" s="4" t="s">
        <v>883</v>
      </c>
    </row>
    <row r="121" spans="2:16" ht="18" customHeight="1" x14ac:dyDescent="0.3">
      <c r="B121" s="45" t="s">
        <v>341</v>
      </c>
      <c r="C121" s="68" t="e">
        <f>-C122/SUM(Table_KeHoach_DoanhThu[Tham chiếu])</f>
        <v>#DIV/0!</v>
      </c>
      <c r="D121" s="68"/>
      <c r="E121" s="68"/>
      <c r="F121" s="68"/>
      <c r="G121" s="68"/>
      <c r="H121" s="68"/>
      <c r="I121" s="68"/>
      <c r="J121" s="68"/>
      <c r="K121" s="68"/>
      <c r="L121" s="68"/>
      <c r="M121" s="68"/>
      <c r="N121" s="68"/>
      <c r="O121" s="68"/>
      <c r="P121" s="68"/>
    </row>
    <row r="122" spans="2:16" ht="18" customHeight="1" x14ac:dyDescent="0.3">
      <c r="B122" s="486" t="s">
        <v>291</v>
      </c>
      <c r="C122" s="486" t="e" cm="1">
        <f t="array" ref="C122" xml:space="preserve">
(
-IFERROR(
SUM(_xlfn._xlws.FILTER(Table_VanDon[Phí ship],
(Table_VanDon[Bên chịu phí] = "Bên bán") *
(Table_VanDon[Ngày lập] &gt;= BCQT_BatDau) *
(Table_VanDon[Ngày lập] &lt; BCQT_KetThuc)
)),0)
-IFERROR(
SUM(_xlfn._xlws.FILTER(Table_DonMua[Phụ phí],
(Table_DonMua[Ngày lập] &gt;= BCQT_BatDau)*
(Table_DonMua[Ngày lập] &lt; BCQT_KetThuc)
)),0)
)/
ROUND((BCQT_KetThuc-BCQT_BatDau)/(365.25/12),0)</f>
        <v>#DIV/0!</v>
      </c>
      <c r="D122" s="486" t="e">
        <f>-D121*HLOOKUP(D$120,Table_KeHoach_DoanhThu[#All],COUNTA(Table_KeHoach_DoanhThu[[#All],[Kế hoạch doanh thu]]),0)</f>
        <v>#N/A</v>
      </c>
      <c r="E122" s="486" t="e">
        <f>-E121*HLOOKUP(E$120,Table_KeHoach_DoanhThu[#All],COUNTA(Table_KeHoach_DoanhThu[[#All],[Kế hoạch doanh thu]]),0)</f>
        <v>#N/A</v>
      </c>
      <c r="F122" s="486" t="e">
        <f>-F121*HLOOKUP(F$120,Table_KeHoach_DoanhThu[#All],COUNTA(Table_KeHoach_DoanhThu[[#All],[Kế hoạch doanh thu]]),0)</f>
        <v>#N/A</v>
      </c>
      <c r="G122" s="486" t="e">
        <f>-G121*HLOOKUP(G$120,Table_KeHoach_DoanhThu[#All],COUNTA(Table_KeHoach_DoanhThu[[#All],[Kế hoạch doanh thu]]),0)</f>
        <v>#N/A</v>
      </c>
      <c r="H122" s="486" t="e">
        <f>-H121*HLOOKUP(H$120,Table_KeHoach_DoanhThu[#All],COUNTA(Table_KeHoach_DoanhThu[[#All],[Kế hoạch doanh thu]]),0)</f>
        <v>#N/A</v>
      </c>
      <c r="I122" s="486" t="e">
        <f>-I121*HLOOKUP(I$120,Table_KeHoach_DoanhThu[#All],COUNTA(Table_KeHoach_DoanhThu[[#All],[Kế hoạch doanh thu]]),0)</f>
        <v>#N/A</v>
      </c>
      <c r="J122" s="486" t="e">
        <f>-J121*HLOOKUP(J$120,Table_KeHoach_DoanhThu[#All],COUNTA(Table_KeHoach_DoanhThu[[#All],[Kế hoạch doanh thu]]),0)</f>
        <v>#N/A</v>
      </c>
      <c r="K122" s="486" t="e">
        <f>-K121*HLOOKUP(K$120,Table_KeHoach_DoanhThu[#All],COUNTA(Table_KeHoach_DoanhThu[[#All],[Kế hoạch doanh thu]]),0)</f>
        <v>#N/A</v>
      </c>
      <c r="L122" s="486" t="e">
        <f>-L121*HLOOKUP(L$120,Table_KeHoach_DoanhThu[#All],COUNTA(Table_KeHoach_DoanhThu[[#All],[Kế hoạch doanh thu]]),0)</f>
        <v>#N/A</v>
      </c>
      <c r="M122" s="486" t="e">
        <f>-M121*HLOOKUP(M$120,Table_KeHoach_DoanhThu[#All],COUNTA(Table_KeHoach_DoanhThu[[#All],[Kế hoạch doanh thu]]),0)</f>
        <v>#N/A</v>
      </c>
      <c r="N122" s="486" t="e">
        <f>-N121*HLOOKUP(N$120,Table_KeHoach_DoanhThu[#All],COUNTA(Table_KeHoach_DoanhThu[[#All],[Kế hoạch doanh thu]]),0)</f>
        <v>#N/A</v>
      </c>
      <c r="O122" s="486" t="e">
        <f>-O121*HLOOKUP(O$120,Table_KeHoach_DoanhThu[#All],COUNTA(Table_KeHoach_DoanhThu[[#All],[Kế hoạch doanh thu]]),0)</f>
        <v>#N/A</v>
      </c>
      <c r="P122" s="486">
        <f>-P121*HLOOKUP(P$120,Table_KeHoach_DoanhThu[#All],COUNTA(Table_KeHoach_DoanhThu[[#All],[Kế hoạch doanh thu]]),0)</f>
        <v>0</v>
      </c>
    </row>
    <row r="124" spans="2:16" ht="18" customHeight="1" x14ac:dyDescent="0.3">
      <c r="B124" s="7" t="s">
        <v>1059</v>
      </c>
    </row>
    <row r="125" spans="2:16" ht="18" customHeight="1" x14ac:dyDescent="0.3">
      <c r="B125" s="15" t="s">
        <v>342</v>
      </c>
      <c r="C125" s="484" t="s">
        <v>268</v>
      </c>
      <c r="D125" s="484" t="s">
        <v>269</v>
      </c>
      <c r="E125" s="484" t="s">
        <v>270</v>
      </c>
      <c r="F125" s="484" t="s">
        <v>271</v>
      </c>
      <c r="G125" s="484" t="s">
        <v>272</v>
      </c>
      <c r="H125" s="484" t="s">
        <v>273</v>
      </c>
      <c r="I125" s="484" t="s">
        <v>274</v>
      </c>
      <c r="J125" s="484" t="s">
        <v>275</v>
      </c>
      <c r="K125" s="484" t="s">
        <v>276</v>
      </c>
      <c r="L125" s="484" t="s">
        <v>277</v>
      </c>
      <c r="M125" s="484" t="s">
        <v>278</v>
      </c>
      <c r="N125" s="484" t="s">
        <v>279</v>
      </c>
      <c r="O125" s="484" t="s">
        <v>280</v>
      </c>
      <c r="P125" s="485" t="s">
        <v>883</v>
      </c>
    </row>
    <row r="126" spans="2:16" ht="18" customHeight="1" x14ac:dyDescent="0.3">
      <c r="B126" s="15"/>
      <c r="C126" s="15" t="e">
        <f>-VLOOKUP(Table_KeHoach_LuongNet[[#This Row],[Kế hoạch lương gross]],Table_NhanVien[],COUNTA(Table_NhanVien[[#Headers],[Mã NV]:[Lương gross]]),0)</f>
        <v>#N/A</v>
      </c>
      <c r="D126" s="15"/>
      <c r="E126" s="15"/>
      <c r="F126" s="15"/>
      <c r="G126" s="15"/>
      <c r="H126" s="15"/>
      <c r="I126" s="15"/>
      <c r="J126" s="15"/>
      <c r="K126" s="15"/>
      <c r="L126" s="15"/>
      <c r="M126" s="15"/>
      <c r="N126" s="15"/>
      <c r="O126" s="15"/>
      <c r="P126" s="15"/>
    </row>
    <row r="128" spans="2:16" ht="18" customHeight="1" x14ac:dyDescent="0.3">
      <c r="B128" s="7" t="s">
        <v>1060</v>
      </c>
      <c r="P128" s="85"/>
    </row>
    <row r="129" spans="2:16" ht="18" customHeight="1" x14ac:dyDescent="0.3">
      <c r="B129" s="488" t="s">
        <v>1079</v>
      </c>
      <c r="C129" s="484" t="s">
        <v>268</v>
      </c>
      <c r="D129" s="484" t="s">
        <v>269</v>
      </c>
      <c r="E129" s="484" t="s">
        <v>270</v>
      </c>
      <c r="F129" s="484" t="s">
        <v>271</v>
      </c>
      <c r="G129" s="484" t="s">
        <v>272</v>
      </c>
      <c r="H129" s="484" t="s">
        <v>273</v>
      </c>
      <c r="I129" s="484" t="s">
        <v>274</v>
      </c>
      <c r="J129" s="484" t="s">
        <v>275</v>
      </c>
      <c r="K129" s="484" t="s">
        <v>276</v>
      </c>
      <c r="L129" s="484" t="s">
        <v>277</v>
      </c>
      <c r="M129" s="484" t="s">
        <v>278</v>
      </c>
      <c r="N129" s="484" t="s">
        <v>279</v>
      </c>
      <c r="O129" s="484" t="s">
        <v>280</v>
      </c>
      <c r="P129" s="485" t="s">
        <v>883</v>
      </c>
    </row>
    <row r="130" spans="2:16" ht="18" customHeight="1" x14ac:dyDescent="0.3">
      <c r="B130" s="15"/>
      <c r="C130" s="18" t="e" cm="1">
        <f t="array" ref="C130"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f>
        <v>#DIV/0!</v>
      </c>
      <c r="D130" s="18" t="e">
        <f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E130" s="18" t="e">
        <f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F130" s="18" t="e">
        <f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G130" s="18" t="e">
        <f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H130" s="18" t="e">
        <f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I130" s="18" t="e">
        <f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J130" s="18" t="e">
        <f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K130" s="18" t="e">
        <f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L130" s="18" t="e">
        <f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M130" s="18" t="e">
        <f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N130" s="18" t="e">
        <f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O130" s="18" t="e">
        <f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P130" s="18"/>
    </row>
    <row r="131" spans="2:16" ht="18" customHeight="1" x14ac:dyDescent="0.3">
      <c r="B131" s="505" t="s">
        <v>1039</v>
      </c>
      <c r="C131" s="505" t="e">
        <f>SUBTOTAL(109,Table_KeHoach_LuongGross[Tham chiếu])</f>
        <v>#DIV/0!</v>
      </c>
      <c r="D131" s="505" t="e">
        <f>SUBTOTAL(109,Table_KeHoach_LuongGross[Tháng 1])</f>
        <v>#N/A</v>
      </c>
      <c r="E131" s="505" t="e">
        <f>SUBTOTAL(109,Table_KeHoach_LuongGross[Tháng 2])</f>
        <v>#N/A</v>
      </c>
      <c r="F131" s="505" t="e">
        <f>SUBTOTAL(109,Table_KeHoach_LuongGross[Tháng 3])</f>
        <v>#N/A</v>
      </c>
      <c r="G131" s="505" t="e">
        <f>SUBTOTAL(109,Table_KeHoach_LuongGross[Tháng 4])</f>
        <v>#N/A</v>
      </c>
      <c r="H131" s="505" t="e">
        <f>SUBTOTAL(109,Table_KeHoach_LuongGross[Tháng 5])</f>
        <v>#N/A</v>
      </c>
      <c r="I131" s="505" t="e">
        <f>SUBTOTAL(109,Table_KeHoach_LuongGross[Tháng 6])</f>
        <v>#N/A</v>
      </c>
      <c r="J131" s="505" t="e">
        <f>SUBTOTAL(109,Table_KeHoach_LuongGross[Tháng 7])</f>
        <v>#N/A</v>
      </c>
      <c r="K131" s="505" t="e">
        <f>SUBTOTAL(109,Table_KeHoach_LuongGross[Tháng 8])</f>
        <v>#N/A</v>
      </c>
      <c r="L131" s="505" t="e">
        <f>SUBTOTAL(109,Table_KeHoach_LuongGross[Tháng 9])</f>
        <v>#N/A</v>
      </c>
      <c r="M131" s="505" t="e">
        <f>SUBTOTAL(109,Table_KeHoach_LuongGross[Tháng 10])</f>
        <v>#N/A</v>
      </c>
      <c r="N131" s="505" t="e">
        <f>SUBTOTAL(109,Table_KeHoach_LuongGross[Tháng 11])</f>
        <v>#N/A</v>
      </c>
      <c r="O131" s="505" t="e">
        <f>SUBTOTAL(109,Table_KeHoach_LuongGross[Tháng 12])</f>
        <v>#N/A</v>
      </c>
      <c r="P131" s="505"/>
    </row>
    <row r="133" spans="2:16" ht="18" customHeight="1" x14ac:dyDescent="0.3">
      <c r="B133" s="7" t="s">
        <v>1061</v>
      </c>
      <c r="P133" s="212"/>
    </row>
    <row r="134" spans="2:16" ht="18" customHeight="1" x14ac:dyDescent="0.3">
      <c r="B134" s="15" t="s">
        <v>343</v>
      </c>
      <c r="C134" s="484" t="s">
        <v>268</v>
      </c>
      <c r="D134" s="484" t="s">
        <v>269</v>
      </c>
      <c r="E134" s="484" t="s">
        <v>270</v>
      </c>
      <c r="F134" s="484" t="s">
        <v>271</v>
      </c>
      <c r="G134" s="484" t="s">
        <v>272</v>
      </c>
      <c r="H134" s="484" t="s">
        <v>273</v>
      </c>
      <c r="I134" s="484" t="s">
        <v>274</v>
      </c>
      <c r="J134" s="484" t="s">
        <v>275</v>
      </c>
      <c r="K134" s="484" t="s">
        <v>276</v>
      </c>
      <c r="L134" s="484" t="s">
        <v>277</v>
      </c>
      <c r="M134" s="484" t="s">
        <v>278</v>
      </c>
      <c r="N134" s="484" t="s">
        <v>279</v>
      </c>
      <c r="O134" s="484" t="s">
        <v>280</v>
      </c>
      <c r="P134" s="485" t="s">
        <v>883</v>
      </c>
    </row>
    <row r="135" spans="2:16" ht="18" customHeight="1" x14ac:dyDescent="0.3">
      <c r="B135" s="15"/>
      <c r="C135" s="15" t="e" cm="1">
        <f t="array" ref="C135"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f>
        <v>#DIV/0!</v>
      </c>
      <c r="D135" s="15"/>
      <c r="E135" s="15"/>
      <c r="F135" s="15"/>
      <c r="G135" s="15"/>
      <c r="H135" s="15"/>
      <c r="I135" s="15"/>
      <c r="J135" s="15"/>
      <c r="K135" s="15"/>
      <c r="L135" s="15"/>
      <c r="M135" s="15"/>
      <c r="N135" s="15"/>
      <c r="O135" s="15"/>
      <c r="P135" s="15"/>
    </row>
    <row r="136" spans="2:16" ht="18" customHeight="1" x14ac:dyDescent="0.3">
      <c r="B136" s="487" t="s">
        <v>1039</v>
      </c>
      <c r="C136" s="487" t="e">
        <f>SUBTOTAL(109,Table_KeHoach_ThuongNhanSu[Tham chiếu])</f>
        <v>#DIV/0!</v>
      </c>
      <c r="D136" s="487">
        <f>SUBTOTAL(109,Table_KeHoach_ThuongNhanSu[Tháng 1])</f>
        <v>0</v>
      </c>
      <c r="E136" s="487">
        <f>SUBTOTAL(109,Table_KeHoach_ThuongNhanSu[Tháng 2])</f>
        <v>0</v>
      </c>
      <c r="F136" s="487">
        <f>SUBTOTAL(109,Table_KeHoach_ThuongNhanSu[Tháng 3])</f>
        <v>0</v>
      </c>
      <c r="G136" s="487">
        <f>SUBTOTAL(109,Table_KeHoach_ThuongNhanSu[Tháng 4])</f>
        <v>0</v>
      </c>
      <c r="H136" s="487">
        <f>SUBTOTAL(109,Table_KeHoach_ThuongNhanSu[Tháng 5])</f>
        <v>0</v>
      </c>
      <c r="I136" s="487">
        <f>SUBTOTAL(109,Table_KeHoach_ThuongNhanSu[Tháng 6])</f>
        <v>0</v>
      </c>
      <c r="J136" s="487">
        <f>SUBTOTAL(109,Table_KeHoach_ThuongNhanSu[Tháng 7])</f>
        <v>0</v>
      </c>
      <c r="K136" s="487">
        <f>SUBTOTAL(109,Table_KeHoach_ThuongNhanSu[Tháng 8])</f>
        <v>0</v>
      </c>
      <c r="L136" s="487">
        <f>SUBTOTAL(109,Table_KeHoach_ThuongNhanSu[Tháng 9])</f>
        <v>0</v>
      </c>
      <c r="M136" s="487">
        <f>SUBTOTAL(109,Table_KeHoach_ThuongNhanSu[Tháng 10])</f>
        <v>0</v>
      </c>
      <c r="N136" s="487">
        <f>SUBTOTAL(109,Table_KeHoach_ThuongNhanSu[Tháng 11])</f>
        <v>0</v>
      </c>
      <c r="O136" s="487">
        <f>SUBTOTAL(109,Table_KeHoach_ThuongNhanSu[Tháng 12])</f>
        <v>0</v>
      </c>
      <c r="P136" s="487"/>
    </row>
    <row r="138" spans="2:16" ht="18" customHeight="1" x14ac:dyDescent="0.3">
      <c r="B138" s="7" t="s">
        <v>1062</v>
      </c>
      <c r="P138" s="18"/>
    </row>
    <row r="139" spans="2:16" ht="18" customHeight="1" x14ac:dyDescent="0.3">
      <c r="B139" s="15" t="s">
        <v>344</v>
      </c>
      <c r="C139" s="484" t="s">
        <v>268</v>
      </c>
      <c r="D139" s="484" t="s">
        <v>269</v>
      </c>
      <c r="E139" s="484" t="s">
        <v>270</v>
      </c>
      <c r="F139" s="484" t="s">
        <v>271</v>
      </c>
      <c r="G139" s="484" t="s">
        <v>272</v>
      </c>
      <c r="H139" s="484" t="s">
        <v>273</v>
      </c>
      <c r="I139" s="484" t="s">
        <v>274</v>
      </c>
      <c r="J139" s="484" t="s">
        <v>275</v>
      </c>
      <c r="K139" s="484" t="s">
        <v>276</v>
      </c>
      <c r="L139" s="484" t="s">
        <v>277</v>
      </c>
      <c r="M139" s="484" t="s">
        <v>278</v>
      </c>
      <c r="N139" s="484" t="s">
        <v>279</v>
      </c>
      <c r="O139" s="484" t="s">
        <v>280</v>
      </c>
      <c r="P139" s="485" t="s">
        <v>883</v>
      </c>
    </row>
    <row r="140" spans="2:16" ht="18" customHeight="1" x14ac:dyDescent="0.3">
      <c r="B140" s="418" t="s">
        <v>345</v>
      </c>
      <c r="C140" s="15" t="e" cm="1">
        <f t="array" ref="C140"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0" s="15"/>
      <c r="E140" s="15"/>
      <c r="F140" s="15"/>
      <c r="G140" s="15"/>
      <c r="H140" s="15"/>
      <c r="I140" s="15"/>
      <c r="J140" s="15"/>
      <c r="K140" s="15"/>
      <c r="L140" s="15"/>
      <c r="M140" s="15"/>
      <c r="N140" s="15"/>
      <c r="O140" s="15"/>
      <c r="P140" s="15"/>
    </row>
    <row r="141" spans="2:16" ht="18" customHeight="1" x14ac:dyDescent="0.3">
      <c r="B141" s="418" t="s">
        <v>346</v>
      </c>
      <c r="C141" s="15" t="e" cm="1">
        <f t="array" ref="C14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1" s="15"/>
      <c r="E141" s="15"/>
      <c r="F141" s="15"/>
      <c r="G141" s="15"/>
      <c r="H141" s="15"/>
      <c r="I141" s="15"/>
      <c r="J141" s="15"/>
      <c r="K141" s="15"/>
      <c r="L141" s="15"/>
      <c r="M141" s="15"/>
      <c r="N141" s="15"/>
      <c r="O141" s="15"/>
      <c r="P141" s="15"/>
    </row>
    <row r="142" spans="2:16" ht="18" customHeight="1" x14ac:dyDescent="0.3">
      <c r="B142" s="418" t="s">
        <v>347</v>
      </c>
      <c r="C142" s="15" t="e" cm="1">
        <f t="array" ref="C142"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2" s="15"/>
      <c r="E142" s="15"/>
      <c r="F142" s="15"/>
      <c r="G142" s="15"/>
      <c r="H142" s="15"/>
      <c r="I142" s="15"/>
      <c r="J142" s="15"/>
      <c r="K142" s="15"/>
      <c r="L142" s="15"/>
      <c r="M142" s="15"/>
      <c r="N142" s="15"/>
      <c r="O142" s="15"/>
      <c r="P142" s="15"/>
    </row>
    <row r="143" spans="2:16" ht="18" customHeight="1" x14ac:dyDescent="0.15">
      <c r="B143" s="487" t="s">
        <v>1039</v>
      </c>
      <c r="C143" s="491" t="e">
        <f>SUBTOTAL(109,Table_KeHoach_ChiPhiBanHang[Tham chiếu])</f>
        <v>#DIV/0!</v>
      </c>
      <c r="D143" s="491">
        <f>SUBTOTAL(109,Table_KeHoach_ChiPhiBanHang[Tháng 1])</f>
        <v>0</v>
      </c>
      <c r="E143" s="491">
        <f>SUBTOTAL(109,Table_KeHoach_ChiPhiBanHang[Tháng 2])</f>
        <v>0</v>
      </c>
      <c r="F143" s="491">
        <f>SUBTOTAL(109,Table_KeHoach_ChiPhiBanHang[Tháng 3])</f>
        <v>0</v>
      </c>
      <c r="G143" s="491">
        <f>SUBTOTAL(109,Table_KeHoach_ChiPhiBanHang[Tháng 4])</f>
        <v>0</v>
      </c>
      <c r="H143" s="491">
        <f>SUBTOTAL(109,Table_KeHoach_ChiPhiBanHang[Tháng 5])</f>
        <v>0</v>
      </c>
      <c r="I143" s="491">
        <f>SUBTOTAL(109,Table_KeHoach_ChiPhiBanHang[Tháng 6])</f>
        <v>0</v>
      </c>
      <c r="J143" s="491">
        <f>SUBTOTAL(109,Table_KeHoach_ChiPhiBanHang[Tháng 7])</f>
        <v>0</v>
      </c>
      <c r="K143" s="491">
        <f>SUBTOTAL(109,Table_KeHoach_ChiPhiBanHang[Tháng 8])</f>
        <v>0</v>
      </c>
      <c r="L143" s="491">
        <f>SUBTOTAL(109,Table_KeHoach_ChiPhiBanHang[Tháng 9])</f>
        <v>0</v>
      </c>
      <c r="M143" s="491">
        <f>SUBTOTAL(109,Table_KeHoach_ChiPhiBanHang[Tháng 10])</f>
        <v>0</v>
      </c>
      <c r="N143" s="491">
        <f>SUBTOTAL(109,Table_KeHoach_ChiPhiBanHang[Tháng 11])</f>
        <v>0</v>
      </c>
      <c r="O143" s="491">
        <f>SUBTOTAL(109,Table_KeHoach_ChiPhiBanHang[Tháng 12])</f>
        <v>0</v>
      </c>
      <c r="P143" s="487"/>
    </row>
    <row r="144" spans="2:16" ht="18" customHeight="1" x14ac:dyDescent="0.3">
      <c r="B144" s="28"/>
      <c r="C144" s="106"/>
      <c r="D144" s="28"/>
      <c r="E144" s="28"/>
      <c r="F144" s="28"/>
      <c r="G144" s="28"/>
      <c r="H144" s="28"/>
      <c r="I144" s="28"/>
      <c r="J144" s="28"/>
      <c r="K144" s="28"/>
      <c r="L144" s="28"/>
      <c r="M144" s="28"/>
      <c r="N144" s="28"/>
      <c r="O144" s="28"/>
      <c r="P144" s="28"/>
    </row>
    <row r="145" spans="2:16" ht="18" customHeight="1" x14ac:dyDescent="0.3">
      <c r="B145" s="7" t="s">
        <v>1063</v>
      </c>
      <c r="C145" s="106"/>
      <c r="D145" s="28"/>
      <c r="E145" s="28"/>
      <c r="F145" s="28"/>
      <c r="G145" s="28"/>
      <c r="H145" s="28"/>
      <c r="I145" s="28"/>
      <c r="J145" s="28"/>
      <c r="K145" s="28"/>
      <c r="L145" s="28"/>
      <c r="M145" s="28"/>
      <c r="N145" s="28"/>
      <c r="O145" s="28"/>
      <c r="P145" s="16"/>
    </row>
    <row r="146" spans="2:16" ht="18" customHeight="1" x14ac:dyDescent="0.3">
      <c r="B146" s="15" t="s">
        <v>344</v>
      </c>
      <c r="C146" s="484" t="s">
        <v>268</v>
      </c>
      <c r="D146" s="484" t="s">
        <v>269</v>
      </c>
      <c r="E146" s="484" t="s">
        <v>270</v>
      </c>
      <c r="F146" s="484" t="s">
        <v>271</v>
      </c>
      <c r="G146" s="484" t="s">
        <v>272</v>
      </c>
      <c r="H146" s="484" t="s">
        <v>273</v>
      </c>
      <c r="I146" s="484" t="s">
        <v>274</v>
      </c>
      <c r="J146" s="484" t="s">
        <v>275</v>
      </c>
      <c r="K146" s="484" t="s">
        <v>276</v>
      </c>
      <c r="L146" s="484" t="s">
        <v>277</v>
      </c>
      <c r="M146" s="484" t="s">
        <v>278</v>
      </c>
      <c r="N146" s="484" t="s">
        <v>279</v>
      </c>
      <c r="O146" s="484" t="s">
        <v>280</v>
      </c>
      <c r="P146" s="485" t="s">
        <v>883</v>
      </c>
    </row>
    <row r="147" spans="2:16" ht="18" customHeight="1" x14ac:dyDescent="0.3">
      <c r="B147" s="15" t="s">
        <v>348</v>
      </c>
      <c r="C147" s="15" t="e" cm="1">
        <f t="array" ref="C147"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7" s="15"/>
      <c r="E147" s="15"/>
      <c r="F147" s="15"/>
      <c r="G147" s="15"/>
      <c r="H147" s="15"/>
      <c r="I147" s="15"/>
      <c r="J147" s="15"/>
      <c r="K147" s="15"/>
      <c r="L147" s="15"/>
      <c r="M147" s="15"/>
      <c r="N147" s="15"/>
      <c r="O147" s="15"/>
      <c r="P147" s="15"/>
    </row>
    <row r="148" spans="2:16" ht="18" customHeight="1" x14ac:dyDescent="0.3">
      <c r="B148" s="418" t="s">
        <v>349</v>
      </c>
      <c r="C148" s="15" t="e" cm="1">
        <f t="array" ref="C148"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8" s="15"/>
      <c r="E148" s="15"/>
      <c r="F148" s="15"/>
      <c r="G148" s="15"/>
      <c r="H148" s="15"/>
      <c r="I148" s="15"/>
      <c r="J148" s="15"/>
      <c r="K148" s="15"/>
      <c r="L148" s="15"/>
      <c r="M148" s="15"/>
      <c r="N148" s="15"/>
      <c r="O148" s="15"/>
      <c r="P148" s="15"/>
    </row>
    <row r="149" spans="2:16" ht="18" customHeight="1" x14ac:dyDescent="0.3">
      <c r="B149" s="487" t="s">
        <v>1039</v>
      </c>
      <c r="C149" s="487" t="e">
        <f>SUBTOTAL(109,Table_KeHoach_ChiPhiKhac[Tham chiếu])</f>
        <v>#DIV/0!</v>
      </c>
      <c r="D149" s="487">
        <f>SUBTOTAL(109,Table_KeHoach_ChiPhiKhac[Tháng 1])</f>
        <v>0</v>
      </c>
      <c r="E149" s="487">
        <f>SUBTOTAL(109,Table_KeHoach_ChiPhiKhac[Tháng 2])</f>
        <v>0</v>
      </c>
      <c r="F149" s="487">
        <f>SUBTOTAL(109,Table_KeHoach_ChiPhiKhac[Tháng 3])</f>
        <v>0</v>
      </c>
      <c r="G149" s="487">
        <f>SUBTOTAL(109,Table_KeHoach_ChiPhiKhac[Tháng 4])</f>
        <v>0</v>
      </c>
      <c r="H149" s="487">
        <f>SUBTOTAL(109,Table_KeHoach_ChiPhiKhac[Tháng 5])</f>
        <v>0</v>
      </c>
      <c r="I149" s="487">
        <f>SUBTOTAL(109,Table_KeHoach_ChiPhiKhac[Tháng 6])</f>
        <v>0</v>
      </c>
      <c r="J149" s="487">
        <f>SUBTOTAL(109,Table_KeHoach_ChiPhiKhac[Tháng 7])</f>
        <v>0</v>
      </c>
      <c r="K149" s="487">
        <f>SUBTOTAL(109,Table_KeHoach_ChiPhiKhac[Tháng 8])</f>
        <v>0</v>
      </c>
      <c r="L149" s="487">
        <f>SUBTOTAL(109,Table_KeHoach_ChiPhiKhac[Tháng 9])</f>
        <v>0</v>
      </c>
      <c r="M149" s="487">
        <f>SUBTOTAL(109,Table_KeHoach_ChiPhiKhac[Tháng 10])</f>
        <v>0</v>
      </c>
      <c r="N149" s="487">
        <f>SUBTOTAL(109,Table_KeHoach_ChiPhiKhac[Tháng 11])</f>
        <v>0</v>
      </c>
      <c r="O149" s="487">
        <f>SUBTOTAL(109,Table_KeHoach_ChiPhiKhac[Tháng 12])</f>
        <v>0</v>
      </c>
      <c r="P149" s="487"/>
    </row>
    <row r="151" spans="2:16" ht="18" customHeight="1" x14ac:dyDescent="0.3">
      <c r="B151" s="7" t="s">
        <v>1063</v>
      </c>
      <c r="P151" s="16"/>
    </row>
    <row r="152" spans="2:16" ht="18" customHeight="1" x14ac:dyDescent="0.3">
      <c r="B152" s="488" t="s">
        <v>350</v>
      </c>
      <c r="C152" s="484" t="s">
        <v>268</v>
      </c>
      <c r="D152" s="484" t="s">
        <v>269</v>
      </c>
      <c r="E152" s="484" t="s">
        <v>270</v>
      </c>
      <c r="F152" s="484" t="s">
        <v>271</v>
      </c>
      <c r="G152" s="484" t="s">
        <v>272</v>
      </c>
      <c r="H152" s="484" t="s">
        <v>273</v>
      </c>
      <c r="I152" s="484" t="s">
        <v>274</v>
      </c>
      <c r="J152" s="484" t="s">
        <v>275</v>
      </c>
      <c r="K152" s="484" t="s">
        <v>276</v>
      </c>
      <c r="L152" s="484" t="s">
        <v>277</v>
      </c>
      <c r="M152" s="484" t="s">
        <v>278</v>
      </c>
      <c r="N152" s="484" t="s">
        <v>279</v>
      </c>
      <c r="O152" s="484" t="s">
        <v>280</v>
      </c>
      <c r="P152" s="485" t="s">
        <v>883</v>
      </c>
    </row>
    <row r="153" spans="2:16" ht="18" customHeight="1" x14ac:dyDescent="0.3">
      <c r="B153" s="419" t="s">
        <v>351</v>
      </c>
      <c r="C153" s="18"/>
      <c r="D153" s="18" cm="1">
        <f t="array" ref="D153">- IFERROR(
SUM(_xlfn._xlws.FILTER(Table_TSCD[Giá trị khấu hao (tháng)],
(NOT(ISBLANK(Table_TSCD[Ngày vận hành])))*
(ISBLANK(Table_TSCD[Ngày thanh lý]))*
(Table_TSCD[Ngày vận hành] &lt;= D$2) *
(Table_TSCD[Ngày kết thúc] &gt; D$2)
)),0)
- IFERROR(
SUM(_xlfn._xlws.FILTER(Table_TSCD[Giá trị khấu hao (tháng)],
(NOT(ISBLANK(Table_TSCD[Ngày vận hành])))*
(NOT(ISBLANK(Table_TSCD[Ngày thanh lý])))*
(Table_TSCD[Ngày vận hành] &lt;= D$2) *
(MIN(Table_TSCD[Ngày kết thúc], Table_TSCD[Ngày thanh lý])&gt; D$2)
)),0)</f>
        <v>0</v>
      </c>
      <c r="E153" s="18" cm="1">
        <f t="array" ref="E153">- IFERROR(
SUM(_xlfn._xlws.FILTER(Table_TSCD[Giá trị khấu hao (tháng)],
(NOT(ISBLANK(Table_TSCD[Ngày vận hành])))*
(ISBLANK(Table_TSCD[Ngày thanh lý]))*
(Table_TSCD[Ngày vận hành] &lt;= E$2) *
(Table_TSCD[Ngày kết thúc] &gt; E$2)
)),0)
- IFERROR(
SUM(_xlfn._xlws.FILTER(Table_TSCD[Giá trị khấu hao (tháng)],
(NOT(ISBLANK(Table_TSCD[Ngày vận hành])))*
(NOT(ISBLANK(Table_TSCD[Ngày thanh lý])))*
(Table_TSCD[Ngày vận hành] &lt;= E$2) *
(MIN(Table_TSCD[Ngày kết thúc], Table_TSCD[Ngày thanh lý])&gt; E$2)
)),0)</f>
        <v>0</v>
      </c>
      <c r="F153" s="18" cm="1">
        <f t="array" ref="F153">- IFERROR(
SUM(_xlfn._xlws.FILTER(Table_TSCD[Giá trị khấu hao (tháng)],
(NOT(ISBLANK(Table_TSCD[Ngày vận hành])))*
(ISBLANK(Table_TSCD[Ngày thanh lý]))*
(Table_TSCD[Ngày vận hành] &lt;= F$2) *
(Table_TSCD[Ngày kết thúc] &gt; F$2)
)),0)
- IFERROR(
SUM(_xlfn._xlws.FILTER(Table_TSCD[Giá trị khấu hao (tháng)],
(NOT(ISBLANK(Table_TSCD[Ngày vận hành])))*
(NOT(ISBLANK(Table_TSCD[Ngày thanh lý])))*
(Table_TSCD[Ngày vận hành] &lt;= F$2) *
(MIN(Table_TSCD[Ngày kết thúc], Table_TSCD[Ngày thanh lý])&gt; F$2)
)),0)</f>
        <v>0</v>
      </c>
      <c r="G153" s="18" cm="1">
        <f t="array" ref="G153">- IFERROR(
SUM(_xlfn._xlws.FILTER(Table_TSCD[Giá trị khấu hao (tháng)],
(NOT(ISBLANK(Table_TSCD[Ngày vận hành])))*
(ISBLANK(Table_TSCD[Ngày thanh lý]))*
(Table_TSCD[Ngày vận hành] &lt;= G$2) *
(Table_TSCD[Ngày kết thúc] &gt; G$2)
)),0)
- IFERROR(
SUM(_xlfn._xlws.FILTER(Table_TSCD[Giá trị khấu hao (tháng)],
(NOT(ISBLANK(Table_TSCD[Ngày vận hành])))*
(NOT(ISBLANK(Table_TSCD[Ngày thanh lý])))*
(Table_TSCD[Ngày vận hành] &lt;= G$2) *
(MIN(Table_TSCD[Ngày kết thúc], Table_TSCD[Ngày thanh lý])&gt; G$2)
)),0)</f>
        <v>0</v>
      </c>
      <c r="H153" s="18" cm="1">
        <f t="array" ref="H153">- IFERROR(
SUM(_xlfn._xlws.FILTER(Table_TSCD[Giá trị khấu hao (tháng)],
(NOT(ISBLANK(Table_TSCD[Ngày vận hành])))*
(ISBLANK(Table_TSCD[Ngày thanh lý]))*
(Table_TSCD[Ngày vận hành] &lt;= H$2) *
(Table_TSCD[Ngày kết thúc] &gt; H$2)
)),0)
- IFERROR(
SUM(_xlfn._xlws.FILTER(Table_TSCD[Giá trị khấu hao (tháng)],
(NOT(ISBLANK(Table_TSCD[Ngày vận hành])))*
(NOT(ISBLANK(Table_TSCD[Ngày thanh lý])))*
(Table_TSCD[Ngày vận hành] &lt;= H$2) *
(MIN(Table_TSCD[Ngày kết thúc], Table_TSCD[Ngày thanh lý])&gt; H$2)
)),0)</f>
        <v>0</v>
      </c>
      <c r="I153" s="18" cm="1">
        <f t="array" ref="I153">- IFERROR(
SUM(_xlfn._xlws.FILTER(Table_TSCD[Giá trị khấu hao (tháng)],
(NOT(ISBLANK(Table_TSCD[Ngày vận hành])))*
(ISBLANK(Table_TSCD[Ngày thanh lý]))*
(Table_TSCD[Ngày vận hành] &lt;= I$2) *
(Table_TSCD[Ngày kết thúc] &gt; I$2)
)),0)
- IFERROR(
SUM(_xlfn._xlws.FILTER(Table_TSCD[Giá trị khấu hao (tháng)],
(NOT(ISBLANK(Table_TSCD[Ngày vận hành])))*
(NOT(ISBLANK(Table_TSCD[Ngày thanh lý])))*
(Table_TSCD[Ngày vận hành] &lt;= I$2) *
(MIN(Table_TSCD[Ngày kết thúc], Table_TSCD[Ngày thanh lý])&gt; I$2)
)),0)</f>
        <v>0</v>
      </c>
      <c r="J153" s="18" cm="1">
        <f t="array" ref="J153">- IFERROR(
SUM(_xlfn._xlws.FILTER(Table_TSCD[Giá trị khấu hao (tháng)],
(NOT(ISBLANK(Table_TSCD[Ngày vận hành])))*
(ISBLANK(Table_TSCD[Ngày thanh lý]))*
(Table_TSCD[Ngày vận hành] &lt;= J$2) *
(Table_TSCD[Ngày kết thúc] &gt; J$2)
)),0)
- IFERROR(
SUM(_xlfn._xlws.FILTER(Table_TSCD[Giá trị khấu hao (tháng)],
(NOT(ISBLANK(Table_TSCD[Ngày vận hành])))*
(NOT(ISBLANK(Table_TSCD[Ngày thanh lý])))*
(Table_TSCD[Ngày vận hành] &lt;= J$2) *
(MIN(Table_TSCD[Ngày kết thúc], Table_TSCD[Ngày thanh lý])&gt; J$2)
)),0)</f>
        <v>0</v>
      </c>
      <c r="K153" s="18" cm="1">
        <f t="array" ref="K153">- IFERROR(
SUM(_xlfn._xlws.FILTER(Table_TSCD[Giá trị khấu hao (tháng)],
(NOT(ISBLANK(Table_TSCD[Ngày vận hành])))*
(ISBLANK(Table_TSCD[Ngày thanh lý]))*
(Table_TSCD[Ngày vận hành] &lt;= K$2) *
(Table_TSCD[Ngày kết thúc] &gt; K$2)
)),0)
- IFERROR(
SUM(_xlfn._xlws.FILTER(Table_TSCD[Giá trị khấu hao (tháng)],
(NOT(ISBLANK(Table_TSCD[Ngày vận hành])))*
(NOT(ISBLANK(Table_TSCD[Ngày thanh lý])))*
(Table_TSCD[Ngày vận hành] &lt;= K$2) *
(MIN(Table_TSCD[Ngày kết thúc], Table_TSCD[Ngày thanh lý])&gt; K$2)
)),0)</f>
        <v>0</v>
      </c>
      <c r="L153" s="18" cm="1">
        <f t="array" ref="L153">- IFERROR(
SUM(_xlfn._xlws.FILTER(Table_TSCD[Giá trị khấu hao (tháng)],
(NOT(ISBLANK(Table_TSCD[Ngày vận hành])))*
(ISBLANK(Table_TSCD[Ngày thanh lý]))*
(Table_TSCD[Ngày vận hành] &lt;= L$2) *
(Table_TSCD[Ngày kết thúc] &gt; L$2)
)),0)
- IFERROR(
SUM(_xlfn._xlws.FILTER(Table_TSCD[Giá trị khấu hao (tháng)],
(NOT(ISBLANK(Table_TSCD[Ngày vận hành])))*
(NOT(ISBLANK(Table_TSCD[Ngày thanh lý])))*
(Table_TSCD[Ngày vận hành] &lt;= L$2) *
(MIN(Table_TSCD[Ngày kết thúc], Table_TSCD[Ngày thanh lý])&gt; L$2)
)),0)</f>
        <v>0</v>
      </c>
      <c r="M153" s="18" cm="1">
        <f t="array" ref="M153">- IFERROR(
SUM(_xlfn._xlws.FILTER(Table_TSCD[Giá trị khấu hao (tháng)],
(NOT(ISBLANK(Table_TSCD[Ngày vận hành])))*
(ISBLANK(Table_TSCD[Ngày thanh lý]))*
(Table_TSCD[Ngày vận hành] &lt;= M$2) *
(Table_TSCD[Ngày kết thúc] &gt; M$2)
)),0)
- IFERROR(
SUM(_xlfn._xlws.FILTER(Table_TSCD[Giá trị khấu hao (tháng)],
(NOT(ISBLANK(Table_TSCD[Ngày vận hành])))*
(NOT(ISBLANK(Table_TSCD[Ngày thanh lý])))*
(Table_TSCD[Ngày vận hành] &lt;= M$2) *
(MIN(Table_TSCD[Ngày kết thúc], Table_TSCD[Ngày thanh lý])&gt; M$2)
)),0)</f>
        <v>0</v>
      </c>
      <c r="N153" s="18" cm="1">
        <f t="array" ref="N153">- IFERROR(
SUM(_xlfn._xlws.FILTER(Table_TSCD[Giá trị khấu hao (tháng)],
(NOT(ISBLANK(Table_TSCD[Ngày vận hành])))*
(ISBLANK(Table_TSCD[Ngày thanh lý]))*
(Table_TSCD[Ngày vận hành] &lt;= N$2) *
(Table_TSCD[Ngày kết thúc] &gt; N$2)
)),0)
- IFERROR(
SUM(_xlfn._xlws.FILTER(Table_TSCD[Giá trị khấu hao (tháng)],
(NOT(ISBLANK(Table_TSCD[Ngày vận hành])))*
(NOT(ISBLANK(Table_TSCD[Ngày thanh lý])))*
(Table_TSCD[Ngày vận hành] &lt;= N$2) *
(MIN(Table_TSCD[Ngày kết thúc], Table_TSCD[Ngày thanh lý])&gt; N$2)
)),0)</f>
        <v>0</v>
      </c>
      <c r="O153" s="18" cm="1">
        <f t="array" ref="O153">- IFERROR(
SUM(_xlfn._xlws.FILTER(Table_TSCD[Giá trị khấu hao (tháng)],
(NOT(ISBLANK(Table_TSCD[Ngày vận hành])))*
(ISBLANK(Table_TSCD[Ngày thanh lý]))*
(Table_TSCD[Ngày vận hành] &lt;= O$2) *
(Table_TSCD[Ngày kết thúc] &gt; O$2)
)),0)
- IFERROR(
SUM(_xlfn._xlws.FILTER(Table_TSCD[Giá trị khấu hao (tháng)],
(NOT(ISBLANK(Table_TSCD[Ngày vận hành])))*
(NOT(ISBLANK(Table_TSCD[Ngày thanh lý])))*
(Table_TSCD[Ngày vận hành] &lt;= O$2) *
(MIN(Table_TSCD[Ngày kết thúc], Table_TSCD[Ngày thanh lý])&gt; O$2)
)),0)</f>
        <v>0</v>
      </c>
      <c r="P153" s="18"/>
    </row>
    <row r="154" spans="2:16" ht="18" customHeight="1" x14ac:dyDescent="0.3">
      <c r="B154" s="419" t="s">
        <v>298</v>
      </c>
      <c r="C154" s="18"/>
      <c r="D154" s="18" cm="1">
        <f t="array" ref="D154">- IFERROR(
SUM(_xlfn._xlws.FILTER(Table_VayNo_LichTra[Lãi vay],
(NOT(ISBLANK(Table_VayNo_LichTra[Tháng])))*
(Table_VayNo_LichTra[Kỳ]&gt;= D$2) *
(Table_VayNo_LichTra[Kỳ] &lt;
DATE(YEAR(D$2), MONTH(D$2) + 1, 1))
)),0)
- IFERROR(
SUM(_xlfn._xlws.FILTER(Table_VayNo_LichTra[Lãi vay],
(ISBLANK(Table_VayNo_LichTra[Tháng]))*
(YEAR(Table_VayNo_LichTra[Ngày vay]) &lt;&gt; YEAR(D$2))*
(YEAR(Table_VayNo_LichTra[Ngày kết thúc]) &lt;&gt; YEAR(D$2))*
(Table_VayNo_LichTra[Năm]=YEAR(D$2))
))/12,0)
- IFERROR(SUMPRODUCT(
_xlfn._xlws.FILTER(Table_VayNo_LichTra[Lãi vay],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_xlfn._xlws.FILTER(Table_VayNo_LichTra[Lãi vay],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_xlfn._xlws.FILTER(Table_VayNo_LichTra[Lãi vay],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4" s="18" cm="1">
        <f t="array" ref="E154">- IFERROR(
SUM(_xlfn._xlws.FILTER(Table_VayNo_LichTra[Lãi vay],
(NOT(ISBLANK(Table_VayNo_LichTra[Tháng])))*
(Table_VayNo_LichTra[Kỳ]&gt;= E$2) *
(Table_VayNo_LichTra[Kỳ] &lt;
DATE(YEAR(E$2), MONTH(E$2) + 1, 1))
)),0)
- IFERROR(
SUM(_xlfn._xlws.FILTER(Table_VayNo_LichTra[Lãi vay],
(ISBLANK(Table_VayNo_LichTra[Tháng]))*
(YEAR(Table_VayNo_LichTra[Ngày vay]) &lt;&gt; YEAR(E$2))*
(YEAR(Table_VayNo_LichTra[Ngày kết thúc]) &lt;&gt; YEAR(E$2))*
(Table_VayNo_LichTra[Năm]=YEAR(E$2))
))/12,0)
- IFERROR(SUMPRODUCT(
_xlfn._xlws.FILTER(Table_VayNo_LichTra[Lãi vay],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_xlfn._xlws.FILTER(Table_VayNo_LichTra[Lãi vay],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_xlfn._xlws.FILTER(Table_VayNo_LichTra[Lãi vay],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4" s="18" cm="1">
        <f t="array" ref="F154">- IFERROR(
SUM(_xlfn._xlws.FILTER(Table_VayNo_LichTra[Lãi vay],
(NOT(ISBLANK(Table_VayNo_LichTra[Tháng])))*
(Table_VayNo_LichTra[Kỳ]&gt;= F$2) *
(Table_VayNo_LichTra[Kỳ] &lt;
DATE(YEAR(F$2), MONTH(F$2) + 1, 1))
)),0)
- IFERROR(
SUM(_xlfn._xlws.FILTER(Table_VayNo_LichTra[Lãi vay],
(ISBLANK(Table_VayNo_LichTra[Tháng]))*
(YEAR(Table_VayNo_LichTra[Ngày vay]) &lt;&gt; YEAR(F$2))*
(YEAR(Table_VayNo_LichTra[Ngày kết thúc]) &lt;&gt; YEAR(F$2))*
(Table_VayNo_LichTra[Năm]=YEAR(F$2))
))/12,0)
- IFERROR(SUMPRODUCT(
_xlfn._xlws.FILTER(Table_VayNo_LichTra[Lãi vay],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_xlfn._xlws.FILTER(Table_VayNo_LichTra[Lãi vay],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_xlfn._xlws.FILTER(Table_VayNo_LichTra[Lãi vay],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4" s="18" cm="1">
        <f t="array" ref="G154">- IFERROR(
SUM(_xlfn._xlws.FILTER(Table_VayNo_LichTra[Lãi vay],
(NOT(ISBLANK(Table_VayNo_LichTra[Tháng])))*
(Table_VayNo_LichTra[Kỳ]&gt;= G$2) *
(Table_VayNo_LichTra[Kỳ] &lt;
DATE(YEAR(G$2), MONTH(G$2) + 1, 1))
)),0)
- IFERROR(
SUM(_xlfn._xlws.FILTER(Table_VayNo_LichTra[Lãi vay],
(ISBLANK(Table_VayNo_LichTra[Tháng]))*
(YEAR(Table_VayNo_LichTra[Ngày vay]) &lt;&gt; YEAR(G$2))*
(YEAR(Table_VayNo_LichTra[Ngày kết thúc]) &lt;&gt; YEAR(G$2))*
(Table_VayNo_LichTra[Năm]=YEAR(G$2))
))/12,0)
- IFERROR(SUMPRODUCT(
_xlfn._xlws.FILTER(Table_VayNo_LichTra[Lãi vay],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_xlfn._xlws.FILTER(Table_VayNo_LichTra[Lãi vay],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_xlfn._xlws.FILTER(Table_VayNo_LichTra[Lãi vay],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4" s="18" cm="1">
        <f t="array" ref="H154">- IFERROR(
SUM(_xlfn._xlws.FILTER(Table_VayNo_LichTra[Lãi vay],
(NOT(ISBLANK(Table_VayNo_LichTra[Tháng])))*
(Table_VayNo_LichTra[Kỳ]&gt;= H$2) *
(Table_VayNo_LichTra[Kỳ] &lt;
DATE(YEAR(H$2), MONTH(H$2) + 1, 1))
)),0)
- IFERROR(
SUM(_xlfn._xlws.FILTER(Table_VayNo_LichTra[Lãi vay],
(ISBLANK(Table_VayNo_LichTra[Tháng]))*
(YEAR(Table_VayNo_LichTra[Ngày vay]) &lt;&gt; YEAR(H$2))*
(YEAR(Table_VayNo_LichTra[Ngày kết thúc]) &lt;&gt; YEAR(H$2))*
(Table_VayNo_LichTra[Năm]=YEAR(H$2))
))/12,0)
- IFERROR(SUMPRODUCT(
_xlfn._xlws.FILTER(Table_VayNo_LichTra[Lãi vay],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_xlfn._xlws.FILTER(Table_VayNo_LichTra[Lãi vay],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_xlfn._xlws.FILTER(Table_VayNo_LichTra[Lãi vay],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4" s="18" cm="1">
        <f t="array" ref="I154">- IFERROR(
SUM(_xlfn._xlws.FILTER(Table_VayNo_LichTra[Lãi vay],
(NOT(ISBLANK(Table_VayNo_LichTra[Tháng])))*
(Table_VayNo_LichTra[Kỳ]&gt;= I$2) *
(Table_VayNo_LichTra[Kỳ] &lt;
DATE(YEAR(I$2), MONTH(I$2) + 1, 1))
)),0)
- IFERROR(
SUM(_xlfn._xlws.FILTER(Table_VayNo_LichTra[Lãi vay],
(ISBLANK(Table_VayNo_LichTra[Tháng]))*
(YEAR(Table_VayNo_LichTra[Ngày vay]) &lt;&gt; YEAR(I$2))*
(YEAR(Table_VayNo_LichTra[Ngày kết thúc]) &lt;&gt; YEAR(I$2))*
(Table_VayNo_LichTra[Năm]=YEAR(I$2))
))/12,0)
- IFERROR(SUMPRODUCT(
_xlfn._xlws.FILTER(Table_VayNo_LichTra[Lãi vay],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_xlfn._xlws.FILTER(Table_VayNo_LichTra[Lãi vay],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_xlfn._xlws.FILTER(Table_VayNo_LichTra[Lãi vay],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4" s="18" cm="1">
        <f t="array" ref="J154">- IFERROR(
SUM(_xlfn._xlws.FILTER(Table_VayNo_LichTra[Lãi vay],
(NOT(ISBLANK(Table_VayNo_LichTra[Tháng])))*
(Table_VayNo_LichTra[Kỳ]&gt;= J$2) *
(Table_VayNo_LichTra[Kỳ] &lt;
DATE(YEAR(J$2), MONTH(J$2) + 1, 1))
)),0)
- IFERROR(
SUM(_xlfn._xlws.FILTER(Table_VayNo_LichTra[Lãi vay],
(ISBLANK(Table_VayNo_LichTra[Tháng]))*
(YEAR(Table_VayNo_LichTra[Ngày vay]) &lt;&gt; YEAR(J$2))*
(YEAR(Table_VayNo_LichTra[Ngày kết thúc]) &lt;&gt; YEAR(J$2))*
(Table_VayNo_LichTra[Năm]=YEAR(J$2))
))/12,0)
- IFERROR(SUMPRODUCT(
_xlfn._xlws.FILTER(Table_VayNo_LichTra[Lãi vay],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_xlfn._xlws.FILTER(Table_VayNo_LichTra[Lãi vay],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_xlfn._xlws.FILTER(Table_VayNo_LichTra[Lãi vay],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4" s="18" cm="1">
        <f t="array" ref="K154">- IFERROR(
SUM(_xlfn._xlws.FILTER(Table_VayNo_LichTra[Lãi vay],
(NOT(ISBLANK(Table_VayNo_LichTra[Tháng])))*
(Table_VayNo_LichTra[Kỳ]&gt;= K$2) *
(Table_VayNo_LichTra[Kỳ] &lt;
DATE(YEAR(K$2), MONTH(K$2) + 1, 1))
)),0)
- IFERROR(
SUM(_xlfn._xlws.FILTER(Table_VayNo_LichTra[Lãi vay],
(ISBLANK(Table_VayNo_LichTra[Tháng]))*
(YEAR(Table_VayNo_LichTra[Ngày vay]) &lt;&gt; YEAR(K$2))*
(YEAR(Table_VayNo_LichTra[Ngày kết thúc]) &lt;&gt; YEAR(K$2))*
(Table_VayNo_LichTra[Năm]=YEAR(K$2))
))/12,0)
- IFERROR(SUMPRODUCT(
_xlfn._xlws.FILTER(Table_VayNo_LichTra[Lãi vay],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_xlfn._xlws.FILTER(Table_VayNo_LichTra[Lãi vay],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_xlfn._xlws.FILTER(Table_VayNo_LichTra[Lãi vay],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4" s="18" cm="1">
        <f t="array" ref="L154">- IFERROR(
SUM(_xlfn._xlws.FILTER(Table_VayNo_LichTra[Lãi vay],
(NOT(ISBLANK(Table_VayNo_LichTra[Tháng])))*
(Table_VayNo_LichTra[Kỳ]&gt;= L$2) *
(Table_VayNo_LichTra[Kỳ] &lt;
DATE(YEAR(L$2), MONTH(L$2) + 1, 1))
)),0)
- IFERROR(
SUM(_xlfn._xlws.FILTER(Table_VayNo_LichTra[Lãi vay],
(ISBLANK(Table_VayNo_LichTra[Tháng]))*
(YEAR(Table_VayNo_LichTra[Ngày vay]) &lt;&gt; YEAR(L$2))*
(YEAR(Table_VayNo_LichTra[Ngày kết thúc]) &lt;&gt; YEAR(L$2))*
(Table_VayNo_LichTra[Năm]=YEAR(L$2))
))/12,0)
- IFERROR(SUMPRODUCT(
_xlfn._xlws.FILTER(Table_VayNo_LichTra[Lãi vay],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_xlfn._xlws.FILTER(Table_VayNo_LichTra[Lãi vay],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_xlfn._xlws.FILTER(Table_VayNo_LichTra[Lãi vay],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4" s="18" cm="1">
        <f t="array" ref="M154">- IFERROR(
SUM(_xlfn._xlws.FILTER(Table_VayNo_LichTra[Lãi vay],
(NOT(ISBLANK(Table_VayNo_LichTra[Tháng])))*
(Table_VayNo_LichTra[Kỳ]&gt;= M$2) *
(Table_VayNo_LichTra[Kỳ] &lt;
DATE(YEAR(M$2), MONTH(M$2) + 1, 1))
)),0)
- IFERROR(
SUM(_xlfn._xlws.FILTER(Table_VayNo_LichTra[Lãi vay],
(ISBLANK(Table_VayNo_LichTra[Tháng]))*
(YEAR(Table_VayNo_LichTra[Ngày vay]) &lt;&gt; YEAR(M$2))*
(YEAR(Table_VayNo_LichTra[Ngày kết thúc]) &lt;&gt; YEAR(M$2))*
(Table_VayNo_LichTra[Năm]=YEAR(M$2))
))/12,0)
- IFERROR(SUMPRODUCT(
_xlfn._xlws.FILTER(Table_VayNo_LichTra[Lãi vay],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_xlfn._xlws.FILTER(Table_VayNo_LichTra[Lãi vay],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_xlfn._xlws.FILTER(Table_VayNo_LichTra[Lãi vay],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4" s="18" cm="1">
        <f t="array" ref="N154">- IFERROR(
SUM(_xlfn._xlws.FILTER(Table_VayNo_LichTra[Lãi vay],
(NOT(ISBLANK(Table_VayNo_LichTra[Tháng])))*
(Table_VayNo_LichTra[Kỳ]&gt;= N$2) *
(Table_VayNo_LichTra[Kỳ] &lt;
DATE(YEAR(N$2), MONTH(N$2) + 1, 1))
)),0)
- IFERROR(
SUM(_xlfn._xlws.FILTER(Table_VayNo_LichTra[Lãi vay],
(ISBLANK(Table_VayNo_LichTra[Tháng]))*
(YEAR(Table_VayNo_LichTra[Ngày vay]) &lt;&gt; YEAR(N$2))*
(YEAR(Table_VayNo_LichTra[Ngày kết thúc]) &lt;&gt; YEAR(N$2))*
(Table_VayNo_LichTra[Năm]=YEAR(N$2))
))/12,0)
- IFERROR(SUMPRODUCT(
_xlfn._xlws.FILTER(Table_VayNo_LichTra[Lãi vay],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_xlfn._xlws.FILTER(Table_VayNo_LichTra[Lãi vay],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_xlfn._xlws.FILTER(Table_VayNo_LichTra[Lãi vay],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4" s="18" cm="1">
        <f t="array" ref="O154">- IFERROR(
SUM(_xlfn._xlws.FILTER(Table_VayNo_LichTra[Lãi vay],
(NOT(ISBLANK(Table_VayNo_LichTra[Tháng])))*
(Table_VayNo_LichTra[Kỳ]&gt;= O$2) *
(Table_VayNo_LichTra[Kỳ] &lt;
DATE(YEAR(O$2), MONTH(O$2) + 1, 1))
)),0)
- IFERROR(
SUM(_xlfn._xlws.FILTER(Table_VayNo_LichTra[Lãi vay],
(ISBLANK(Table_VayNo_LichTra[Tháng]))*
(YEAR(Table_VayNo_LichTra[Ngày vay]) &lt;&gt; YEAR(O$2))*
(YEAR(Table_VayNo_LichTra[Ngày kết thúc]) &lt;&gt; YEAR(O$2))*
(Table_VayNo_LichTra[Năm]=YEAR(O$2))
))/12,0)
- IFERROR(SUMPRODUCT(
_xlfn._xlws.FILTER(Table_VayNo_LichTra[Lãi vay],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_xlfn._xlws.FILTER(Table_VayNo_LichTra[Lãi vay],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_xlfn._xlws.FILTER(Table_VayNo_LichTra[Lãi vay],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4" s="18"/>
    </row>
    <row r="155" spans="2:16" ht="18" customHeight="1" x14ac:dyDescent="0.3">
      <c r="B155" s="18" t="s">
        <v>352</v>
      </c>
      <c r="C155" s="18"/>
      <c r="D155" s="18" cm="1">
        <f t="array" ref="D155">- IFERROR(
SUM(_xlfn._xlws.FILTER(Table_VayNo_LichTra[Trả gốc trong kỳ],
(NOT(ISBLANK(Table_VayNo_LichTra[Tháng])))*
(Table_VayNo_LichTra[Kỳ]&gt;= D$2) *
(Table_VayNo_LichTra[Kỳ] &lt;
DATE(YEAR(D$2), MONTH(D$2) + 1, 1))
)),0)
- IFERROR(
SUM(_xlfn._xlws.FILTER(Table_VayNo_LichTra[Trả gốc trong kỳ],
(ISBLANK(Table_VayNo_LichTra[Tháng]))*
(YEAR(Table_VayNo_LichTra[Ngày vay]) &lt;&gt; YEAR(D$2))*
(YEAR(Table_VayNo_LichTra[Ngày kết thúc]) &lt;&gt; YEAR(D$2))*
(Table_VayNo_LichTra[Năm]=YEAR(D$2))
))/12,0)
- IFERROR(SUMPRODUCT(
_xlfn._xlws.FILTER(Table_VayNo_LichTra[Trả gốc trong kỳ],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_xlfn._xlws.FILTER(Table_VayNo_LichTra[Trả gốc trong kỳ],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_xlfn._xlws.FILTER(Table_VayNo_LichTra[Trả gốc trong kỳ],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5" s="18" cm="1">
        <f t="array" ref="E155">- IFERROR(
SUM(_xlfn._xlws.FILTER(Table_VayNo_LichTra[Trả gốc trong kỳ],
(NOT(ISBLANK(Table_VayNo_LichTra[Tháng])))*
(Table_VayNo_LichTra[Kỳ]&gt;= E$2) *
(Table_VayNo_LichTra[Kỳ] &lt;
DATE(YEAR(E$2), MONTH(E$2) + 1, 1))
)),0)
- IFERROR(
SUM(_xlfn._xlws.FILTER(Table_VayNo_LichTra[Trả gốc trong kỳ],
(ISBLANK(Table_VayNo_LichTra[Tháng]))*
(YEAR(Table_VayNo_LichTra[Ngày vay]) &lt;&gt; YEAR(E$2))*
(YEAR(Table_VayNo_LichTra[Ngày kết thúc]) &lt;&gt; YEAR(E$2))*
(Table_VayNo_LichTra[Năm]=YEAR(E$2))
))/12,0)
- IFERROR(SUMPRODUCT(
_xlfn._xlws.FILTER(Table_VayNo_LichTra[Trả gốc trong kỳ],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_xlfn._xlws.FILTER(Table_VayNo_LichTra[Trả gốc trong kỳ],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_xlfn._xlws.FILTER(Table_VayNo_LichTra[Trả gốc trong kỳ],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5" s="18" cm="1">
        <f t="array" ref="F155">- IFERROR(
SUM(_xlfn._xlws.FILTER(Table_VayNo_LichTra[Trả gốc trong kỳ],
(NOT(ISBLANK(Table_VayNo_LichTra[Tháng])))*
(Table_VayNo_LichTra[Kỳ]&gt;= F$2) *
(Table_VayNo_LichTra[Kỳ] &lt;
DATE(YEAR(F$2), MONTH(F$2) + 1, 1))
)),0)
- IFERROR(
SUM(_xlfn._xlws.FILTER(Table_VayNo_LichTra[Trả gốc trong kỳ],
(ISBLANK(Table_VayNo_LichTra[Tháng]))*
(YEAR(Table_VayNo_LichTra[Ngày vay]) &lt;&gt; YEAR(F$2))*
(YEAR(Table_VayNo_LichTra[Ngày kết thúc]) &lt;&gt; YEAR(F$2))*
(Table_VayNo_LichTra[Năm]=YEAR(F$2))
))/12,0)
- IFERROR(SUMPRODUCT(
_xlfn._xlws.FILTER(Table_VayNo_LichTra[Trả gốc trong kỳ],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_xlfn._xlws.FILTER(Table_VayNo_LichTra[Trả gốc trong kỳ],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_xlfn._xlws.FILTER(Table_VayNo_LichTra[Trả gốc trong kỳ],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5" s="18" cm="1">
        <f t="array" ref="G155">- IFERROR(
SUM(_xlfn._xlws.FILTER(Table_VayNo_LichTra[Trả gốc trong kỳ],
(NOT(ISBLANK(Table_VayNo_LichTra[Tháng])))*
(Table_VayNo_LichTra[Kỳ]&gt;= G$2) *
(Table_VayNo_LichTra[Kỳ] &lt;
DATE(YEAR(G$2), MONTH(G$2) + 1, 1))
)),0)
- IFERROR(
SUM(_xlfn._xlws.FILTER(Table_VayNo_LichTra[Trả gốc trong kỳ],
(ISBLANK(Table_VayNo_LichTra[Tháng]))*
(YEAR(Table_VayNo_LichTra[Ngày vay]) &lt;&gt; YEAR(G$2))*
(YEAR(Table_VayNo_LichTra[Ngày kết thúc]) &lt;&gt; YEAR(G$2))*
(Table_VayNo_LichTra[Năm]=YEAR(G$2))
))/12,0)
- IFERROR(SUMPRODUCT(
_xlfn._xlws.FILTER(Table_VayNo_LichTra[Trả gốc trong kỳ],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_xlfn._xlws.FILTER(Table_VayNo_LichTra[Trả gốc trong kỳ],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_xlfn._xlws.FILTER(Table_VayNo_LichTra[Trả gốc trong kỳ],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5" s="18" cm="1">
        <f t="array" ref="H155">- IFERROR(
SUM(_xlfn._xlws.FILTER(Table_VayNo_LichTra[Trả gốc trong kỳ],
(NOT(ISBLANK(Table_VayNo_LichTra[Tháng])))*
(Table_VayNo_LichTra[Kỳ]&gt;= H$2) *
(Table_VayNo_LichTra[Kỳ] &lt;
DATE(YEAR(H$2), MONTH(H$2) + 1, 1))
)),0)
- IFERROR(
SUM(_xlfn._xlws.FILTER(Table_VayNo_LichTra[Trả gốc trong kỳ],
(ISBLANK(Table_VayNo_LichTra[Tháng]))*
(YEAR(Table_VayNo_LichTra[Ngày vay]) &lt;&gt; YEAR(H$2))*
(YEAR(Table_VayNo_LichTra[Ngày kết thúc]) &lt;&gt; YEAR(H$2))*
(Table_VayNo_LichTra[Năm]=YEAR(H$2))
))/12,0)
- IFERROR(SUMPRODUCT(
_xlfn._xlws.FILTER(Table_VayNo_LichTra[Trả gốc trong kỳ],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_xlfn._xlws.FILTER(Table_VayNo_LichTra[Trả gốc trong kỳ],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_xlfn._xlws.FILTER(Table_VayNo_LichTra[Trả gốc trong kỳ],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5" s="18" cm="1">
        <f t="array" ref="I155">- IFERROR(
SUM(_xlfn._xlws.FILTER(Table_VayNo_LichTra[Trả gốc trong kỳ],
(NOT(ISBLANK(Table_VayNo_LichTra[Tháng])))*
(Table_VayNo_LichTra[Kỳ]&gt;= I$2) *
(Table_VayNo_LichTra[Kỳ] &lt;
DATE(YEAR(I$2), MONTH(I$2) + 1, 1))
)),0)
- IFERROR(
SUM(_xlfn._xlws.FILTER(Table_VayNo_LichTra[Trả gốc trong kỳ],
(ISBLANK(Table_VayNo_LichTra[Tháng]))*
(YEAR(Table_VayNo_LichTra[Ngày vay]) &lt;&gt; YEAR(I$2))*
(YEAR(Table_VayNo_LichTra[Ngày kết thúc]) &lt;&gt; YEAR(I$2))*
(Table_VayNo_LichTra[Năm]=YEAR(I$2))
))/12,0)
- IFERROR(SUMPRODUCT(
_xlfn._xlws.FILTER(Table_VayNo_LichTra[Trả gốc trong kỳ],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_xlfn._xlws.FILTER(Table_VayNo_LichTra[Trả gốc trong kỳ],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_xlfn._xlws.FILTER(Table_VayNo_LichTra[Trả gốc trong kỳ],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5" s="18" cm="1">
        <f t="array" ref="J155">- IFERROR(
SUM(_xlfn._xlws.FILTER(Table_VayNo_LichTra[Trả gốc trong kỳ],
(NOT(ISBLANK(Table_VayNo_LichTra[Tháng])))*
(Table_VayNo_LichTra[Kỳ]&gt;= J$2) *
(Table_VayNo_LichTra[Kỳ] &lt;
DATE(YEAR(J$2), MONTH(J$2) + 1, 1))
)),0)
- IFERROR(
SUM(_xlfn._xlws.FILTER(Table_VayNo_LichTra[Trả gốc trong kỳ],
(ISBLANK(Table_VayNo_LichTra[Tháng]))*
(YEAR(Table_VayNo_LichTra[Ngày vay]) &lt;&gt; YEAR(J$2))*
(YEAR(Table_VayNo_LichTra[Ngày kết thúc]) &lt;&gt; YEAR(J$2))*
(Table_VayNo_LichTra[Năm]=YEAR(J$2))
))/12,0)
- IFERROR(SUMPRODUCT(
_xlfn._xlws.FILTER(Table_VayNo_LichTra[Trả gốc trong kỳ],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_xlfn._xlws.FILTER(Table_VayNo_LichTra[Trả gốc trong kỳ],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_xlfn._xlws.FILTER(Table_VayNo_LichTra[Trả gốc trong kỳ],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5" s="18" cm="1">
        <f t="array" ref="K155">- IFERROR(
SUM(_xlfn._xlws.FILTER(Table_VayNo_LichTra[Trả gốc trong kỳ],
(NOT(ISBLANK(Table_VayNo_LichTra[Tháng])))*
(Table_VayNo_LichTra[Kỳ]&gt;= K$2) *
(Table_VayNo_LichTra[Kỳ] &lt;
DATE(YEAR(K$2), MONTH(K$2) + 1, 1))
)),0)
- IFERROR(
SUM(_xlfn._xlws.FILTER(Table_VayNo_LichTra[Trả gốc trong kỳ],
(ISBLANK(Table_VayNo_LichTra[Tháng]))*
(YEAR(Table_VayNo_LichTra[Ngày vay]) &lt;&gt; YEAR(K$2))*
(YEAR(Table_VayNo_LichTra[Ngày kết thúc]) &lt;&gt; YEAR(K$2))*
(Table_VayNo_LichTra[Năm]=YEAR(K$2))
))/12,0)
- IFERROR(SUMPRODUCT(
_xlfn._xlws.FILTER(Table_VayNo_LichTra[Trả gốc trong kỳ],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_xlfn._xlws.FILTER(Table_VayNo_LichTra[Trả gốc trong kỳ],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_xlfn._xlws.FILTER(Table_VayNo_LichTra[Trả gốc trong kỳ],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5" s="18" cm="1">
        <f t="array" ref="L155">- IFERROR(
SUM(_xlfn._xlws.FILTER(Table_VayNo_LichTra[Trả gốc trong kỳ],
(NOT(ISBLANK(Table_VayNo_LichTra[Tháng])))*
(Table_VayNo_LichTra[Kỳ]&gt;= L$2) *
(Table_VayNo_LichTra[Kỳ] &lt;
DATE(YEAR(L$2), MONTH(L$2) + 1, 1))
)),0)
- IFERROR(
SUM(_xlfn._xlws.FILTER(Table_VayNo_LichTra[Trả gốc trong kỳ],
(ISBLANK(Table_VayNo_LichTra[Tháng]))*
(YEAR(Table_VayNo_LichTra[Ngày vay]) &lt;&gt; YEAR(L$2))*
(YEAR(Table_VayNo_LichTra[Ngày kết thúc]) &lt;&gt; YEAR(L$2))*
(Table_VayNo_LichTra[Năm]=YEAR(L$2))
))/12,0)
- IFERROR(SUMPRODUCT(
_xlfn._xlws.FILTER(Table_VayNo_LichTra[Trả gốc trong kỳ],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_xlfn._xlws.FILTER(Table_VayNo_LichTra[Trả gốc trong kỳ],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_xlfn._xlws.FILTER(Table_VayNo_LichTra[Trả gốc trong kỳ],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5" s="18" cm="1">
        <f t="array" ref="M155">- IFERROR(
SUM(_xlfn._xlws.FILTER(Table_VayNo_LichTra[Trả gốc trong kỳ],
(NOT(ISBLANK(Table_VayNo_LichTra[Tháng])))*
(Table_VayNo_LichTra[Kỳ]&gt;= M$2) *
(Table_VayNo_LichTra[Kỳ] &lt;
DATE(YEAR(M$2), MONTH(M$2) + 1, 1))
)),0)
- IFERROR(
SUM(_xlfn._xlws.FILTER(Table_VayNo_LichTra[Trả gốc trong kỳ],
(ISBLANK(Table_VayNo_LichTra[Tháng]))*
(YEAR(Table_VayNo_LichTra[Ngày vay]) &lt;&gt; YEAR(M$2))*
(YEAR(Table_VayNo_LichTra[Ngày kết thúc]) &lt;&gt; YEAR(M$2))*
(Table_VayNo_LichTra[Năm]=YEAR(M$2))
))/12,0)
- IFERROR(SUMPRODUCT(
_xlfn._xlws.FILTER(Table_VayNo_LichTra[Trả gốc trong kỳ],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_xlfn._xlws.FILTER(Table_VayNo_LichTra[Trả gốc trong kỳ],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_xlfn._xlws.FILTER(Table_VayNo_LichTra[Trả gốc trong kỳ],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5" s="18" cm="1">
        <f t="array" ref="N155">- IFERROR(
SUM(_xlfn._xlws.FILTER(Table_VayNo_LichTra[Trả gốc trong kỳ],
(NOT(ISBLANK(Table_VayNo_LichTra[Tháng])))*
(Table_VayNo_LichTra[Kỳ]&gt;= N$2) *
(Table_VayNo_LichTra[Kỳ] &lt;
DATE(YEAR(N$2), MONTH(N$2) + 1, 1))
)),0)
- IFERROR(
SUM(_xlfn._xlws.FILTER(Table_VayNo_LichTra[Trả gốc trong kỳ],
(ISBLANK(Table_VayNo_LichTra[Tháng]))*
(YEAR(Table_VayNo_LichTra[Ngày vay]) &lt;&gt; YEAR(N$2))*
(YEAR(Table_VayNo_LichTra[Ngày kết thúc]) &lt;&gt; YEAR(N$2))*
(Table_VayNo_LichTra[Năm]=YEAR(N$2))
))/12,0)
- IFERROR(SUMPRODUCT(
_xlfn._xlws.FILTER(Table_VayNo_LichTra[Trả gốc trong kỳ],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_xlfn._xlws.FILTER(Table_VayNo_LichTra[Trả gốc trong kỳ],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_xlfn._xlws.FILTER(Table_VayNo_LichTra[Trả gốc trong kỳ],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5" s="18" cm="1">
        <f t="array" ref="O155">- IFERROR(
SUM(_xlfn._xlws.FILTER(Table_VayNo_LichTra[Trả gốc trong kỳ],
(NOT(ISBLANK(Table_VayNo_LichTra[Tháng])))*
(Table_VayNo_LichTra[Kỳ]&gt;= O$2) *
(Table_VayNo_LichTra[Kỳ] &lt;
DATE(YEAR(O$2), MONTH(O$2) + 1, 1))
)),0)
- IFERROR(
SUM(_xlfn._xlws.FILTER(Table_VayNo_LichTra[Trả gốc trong kỳ],
(ISBLANK(Table_VayNo_LichTra[Tháng]))*
(YEAR(Table_VayNo_LichTra[Ngày vay]) &lt;&gt; YEAR(O$2))*
(YEAR(Table_VayNo_LichTra[Ngày kết thúc]) &lt;&gt; YEAR(O$2))*
(Table_VayNo_LichTra[Năm]=YEAR(O$2))
))/12,0)
- IFERROR(SUMPRODUCT(
_xlfn._xlws.FILTER(Table_VayNo_LichTra[Trả gốc trong kỳ],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_xlfn._xlws.FILTER(Table_VayNo_LichTra[Trả gốc trong kỳ],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_xlfn._xlws.FILTER(Table_VayNo_LichTra[Trả gốc trong kỳ],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5" s="486"/>
    </row>
    <row r="157" spans="2:16" ht="18" customHeight="1" x14ac:dyDescent="0.3">
      <c r="B157" s="7" t="s">
        <v>1064</v>
      </c>
    </row>
    <row r="158" spans="2:16" ht="18" customHeight="1" x14ac:dyDescent="0.3">
      <c r="B158" s="15" t="s">
        <v>1037</v>
      </c>
      <c r="C158" s="484" t="s">
        <v>678</v>
      </c>
      <c r="D158" s="484" t="s">
        <v>269</v>
      </c>
      <c r="E158" s="484" t="s">
        <v>270</v>
      </c>
      <c r="F158" s="484" t="s">
        <v>271</v>
      </c>
      <c r="G158" s="484" t="s">
        <v>272</v>
      </c>
      <c r="H158" s="484" t="s">
        <v>273</v>
      </c>
      <c r="I158" s="484" t="s">
        <v>274</v>
      </c>
      <c r="J158" s="484" t="s">
        <v>275</v>
      </c>
      <c r="K158" s="484" t="s">
        <v>276</v>
      </c>
      <c r="L158" s="484" t="s">
        <v>277</v>
      </c>
      <c r="M158" s="484" t="s">
        <v>278</v>
      </c>
      <c r="N158" s="484" t="s">
        <v>279</v>
      </c>
      <c r="O158" s="484" t="s">
        <v>280</v>
      </c>
      <c r="P158" s="485" t="s">
        <v>883</v>
      </c>
    </row>
    <row r="159" spans="2:16" ht="18" customHeight="1" x14ac:dyDescent="0.3">
      <c r="B159" s="15" t="s">
        <v>1038</v>
      </c>
      <c r="C159" s="8"/>
      <c r="D159" s="15"/>
      <c r="E159" s="15"/>
      <c r="F159" s="15"/>
      <c r="G159" s="15"/>
      <c r="H159" s="15"/>
      <c r="I159" s="15"/>
      <c r="J159" s="15"/>
      <c r="K159" s="15"/>
      <c r="L159" s="15"/>
      <c r="M159" s="15"/>
      <c r="N159" s="15"/>
      <c r="O159" s="15"/>
      <c r="P159" s="15"/>
    </row>
    <row r="160" spans="2:16" ht="18" customHeight="1" x14ac:dyDescent="0.3">
      <c r="B160" s="15" t="s">
        <v>1040</v>
      </c>
      <c r="C160" s="8"/>
      <c r="D160" s="15"/>
      <c r="E160" s="15"/>
      <c r="F160" s="15"/>
      <c r="G160" s="15"/>
      <c r="H160" s="15"/>
      <c r="I160" s="15"/>
      <c r="J160" s="15"/>
      <c r="K160" s="15"/>
      <c r="L160" s="15"/>
      <c r="M160" s="15"/>
      <c r="N160" s="15"/>
      <c r="O160" s="15"/>
      <c r="P160" s="15"/>
    </row>
    <row r="161" spans="2:16" ht="18" customHeight="1" x14ac:dyDescent="0.3">
      <c r="B161" s="15" t="s">
        <v>671</v>
      </c>
      <c r="C161" s="498">
        <v>0.2</v>
      </c>
      <c r="D161" s="18" t="e">
        <f>Table_KeHoach_ThuePhi[[#This Row],[Thuế suất TNDN]]*(D21-SUM(D24:D30)-D32-SUM(D159:D160))</f>
        <v>#N/A</v>
      </c>
      <c r="E161" s="18" t="e">
        <f>Table_KeHoach_ThuePhi[[#This Row],[Thuế suất TNDN]]*(E21-SUM(E24:E30)-E32-SUM(E159:E160))</f>
        <v>#N/A</v>
      </c>
      <c r="F161" s="18" t="e">
        <f>Table_KeHoach_ThuePhi[[#This Row],[Thuế suất TNDN]]*(F21-SUM(F24:F30)-F32-SUM(F159:F160))</f>
        <v>#N/A</v>
      </c>
      <c r="G161" s="18" t="e">
        <f>Table_KeHoach_ThuePhi[[#This Row],[Thuế suất TNDN]]*(G21-SUM(G24:G30)-G32-SUM(G159:G160))</f>
        <v>#N/A</v>
      </c>
      <c r="H161" s="18" t="e">
        <f>Table_KeHoach_ThuePhi[[#This Row],[Thuế suất TNDN]]*(H21-SUM(H24:H30)-H32-SUM(H159:H160))</f>
        <v>#N/A</v>
      </c>
      <c r="I161" s="18" t="e">
        <f>Table_KeHoach_ThuePhi[[#This Row],[Thuế suất TNDN]]*(I21-SUM(I24:I30)-I32-SUM(I159:I160))</f>
        <v>#N/A</v>
      </c>
      <c r="J161" s="18" t="e">
        <f>Table_KeHoach_ThuePhi[[#This Row],[Thuế suất TNDN]]*(J21-SUM(J24:J30)-J32-SUM(J159:J160))</f>
        <v>#N/A</v>
      </c>
      <c r="K161" s="18" t="e">
        <f>Table_KeHoach_ThuePhi[[#This Row],[Thuế suất TNDN]]*(K21-SUM(K24:K30)-K32-SUM(K159:K160))</f>
        <v>#N/A</v>
      </c>
      <c r="L161" s="18" t="e">
        <f>Table_KeHoach_ThuePhi[[#This Row],[Thuế suất TNDN]]*(L21-SUM(L24:L30)-L32-SUM(L159:L160))</f>
        <v>#N/A</v>
      </c>
      <c r="M161" s="18" t="e">
        <f>Table_KeHoach_ThuePhi[[#This Row],[Thuế suất TNDN]]*(M21-SUM(M24:M30)-M32-SUM(M159:M160))</f>
        <v>#N/A</v>
      </c>
      <c r="N161" s="18" t="e">
        <f>Table_KeHoach_ThuePhi[[#This Row],[Thuế suất TNDN]]*(N21-SUM(N24:N30)-N32-SUM(N159:N160))</f>
        <v>#N/A</v>
      </c>
      <c r="O161" s="18" t="e">
        <f>Table_KeHoach_ThuePhi[[#This Row],[Thuế suất TNDN]]*(O21-SUM(O24:O30)-O32-SUM(O159:O160))</f>
        <v>#N/A</v>
      </c>
      <c r="P161" s="15"/>
    </row>
    <row r="162" spans="2:16" ht="18" customHeight="1" x14ac:dyDescent="0.3">
      <c r="B162" s="18" t="s">
        <v>1039</v>
      </c>
      <c r="C162" s="493"/>
      <c r="D162" s="18" t="e">
        <f>SUBTOTAL(109,Table_KeHoach_ThuePhi[Tháng 1])</f>
        <v>#N/A</v>
      </c>
      <c r="E162" s="18" t="e">
        <f>SUBTOTAL(109,Table_KeHoach_ThuePhi[Tháng 2])</f>
        <v>#N/A</v>
      </c>
      <c r="F162" s="18" t="e">
        <f>SUBTOTAL(109,Table_KeHoach_ThuePhi[Tháng 3])</f>
        <v>#N/A</v>
      </c>
      <c r="G162" s="18" t="e">
        <f>SUBTOTAL(109,Table_KeHoach_ThuePhi[Tháng 4])</f>
        <v>#N/A</v>
      </c>
      <c r="H162" s="18" t="e">
        <f>SUBTOTAL(109,Table_KeHoach_ThuePhi[Tháng 5])</f>
        <v>#N/A</v>
      </c>
      <c r="I162" s="18" t="e">
        <f>SUBTOTAL(109,Table_KeHoach_ThuePhi[Tháng 6])</f>
        <v>#N/A</v>
      </c>
      <c r="J162" s="18" t="e">
        <f>SUBTOTAL(109,Table_KeHoach_ThuePhi[Tháng 7])</f>
        <v>#N/A</v>
      </c>
      <c r="K162" s="18" t="e">
        <f>SUBTOTAL(109,Table_KeHoach_ThuePhi[Tháng 8])</f>
        <v>#N/A</v>
      </c>
      <c r="L162" s="18" t="e">
        <f>SUBTOTAL(109,Table_KeHoach_ThuePhi[Tháng 9])</f>
        <v>#N/A</v>
      </c>
      <c r="M162" s="18" t="e">
        <f>SUBTOTAL(109,Table_KeHoach_ThuePhi[Tháng 10])</f>
        <v>#N/A</v>
      </c>
      <c r="N162" s="18" t="e">
        <f>SUBTOTAL(109,Table_KeHoach_ThuePhi[Tháng 11])</f>
        <v>#N/A</v>
      </c>
      <c r="O162" s="18" t="e">
        <f>SUBTOTAL(109,Table_KeHoach_ThuePhi[Tháng 12])</f>
        <v>#N/A</v>
      </c>
      <c r="P162" s="15"/>
    </row>
    <row r="164" spans="2:16" ht="18" customHeight="1" x14ac:dyDescent="0.3">
      <c r="B164" s="7" t="s">
        <v>1065</v>
      </c>
      <c r="D164" s="28"/>
      <c r="E164" s="28"/>
      <c r="F164" s="28"/>
      <c r="G164" s="28"/>
      <c r="H164" s="28"/>
      <c r="I164" s="28"/>
      <c r="J164" s="28"/>
      <c r="K164" s="28"/>
      <c r="L164" s="28"/>
      <c r="M164" s="28"/>
      <c r="N164" s="28"/>
      <c r="O164" s="28"/>
      <c r="P164" s="16"/>
    </row>
    <row r="165" spans="2:16" ht="18" customHeight="1" x14ac:dyDescent="0.3">
      <c r="B165" s="15" t="s">
        <v>299</v>
      </c>
      <c r="C165" s="484" t="s">
        <v>1041</v>
      </c>
      <c r="D165" s="484" t="s">
        <v>269</v>
      </c>
      <c r="E165" s="484" t="s">
        <v>270</v>
      </c>
      <c r="F165" s="484" t="s">
        <v>271</v>
      </c>
      <c r="G165" s="484" t="s">
        <v>272</v>
      </c>
      <c r="H165" s="484" t="s">
        <v>273</v>
      </c>
      <c r="I165" s="484" t="s">
        <v>274</v>
      </c>
      <c r="J165" s="484" t="s">
        <v>275</v>
      </c>
      <c r="K165" s="484" t="s">
        <v>276</v>
      </c>
      <c r="L165" s="484" t="s">
        <v>277</v>
      </c>
      <c r="M165" s="484" t="s">
        <v>278</v>
      </c>
      <c r="N165" s="484" t="s">
        <v>279</v>
      </c>
      <c r="O165" s="484" t="s">
        <v>280</v>
      </c>
      <c r="P165" s="485" t="s">
        <v>883</v>
      </c>
    </row>
    <row r="166" spans="2:16" ht="18" customHeight="1" x14ac:dyDescent="0.3">
      <c r="B166" s="15" t="s">
        <v>134</v>
      </c>
      <c r="C166" s="8"/>
      <c r="D166" s="15"/>
      <c r="E166" s="15"/>
      <c r="F166" s="15"/>
      <c r="G166" s="15"/>
      <c r="H166" s="15"/>
      <c r="I166" s="15"/>
      <c r="J166" s="15"/>
      <c r="K166" s="15"/>
      <c r="L166" s="15"/>
      <c r="M166" s="15"/>
      <c r="N166" s="15"/>
      <c r="O166" s="15"/>
      <c r="P166" s="15"/>
    </row>
    <row r="167" spans="2:16" ht="18" customHeight="1" x14ac:dyDescent="0.3">
      <c r="B167" s="18" t="s">
        <v>1039</v>
      </c>
      <c r="C167" s="493"/>
      <c r="D167" s="18">
        <f>SUBTOTAL(109,Table_KeHoach_CPKhac[Tháng 1])</f>
        <v>0</v>
      </c>
      <c r="E167" s="18">
        <f>SUBTOTAL(109,Table_KeHoach_CPKhac[Tháng 2])</f>
        <v>0</v>
      </c>
      <c r="F167" s="18">
        <f>SUBTOTAL(109,Table_KeHoach_CPKhac[Tháng 3])</f>
        <v>0</v>
      </c>
      <c r="G167" s="18">
        <f>SUBTOTAL(109,Table_KeHoach_CPKhac[Tháng 4])</f>
        <v>0</v>
      </c>
      <c r="H167" s="18">
        <f>SUBTOTAL(109,Table_KeHoach_CPKhac[Tháng 5])</f>
        <v>0</v>
      </c>
      <c r="I167" s="18">
        <f>SUBTOTAL(109,Table_KeHoach_CPKhac[Tháng 6])</f>
        <v>0</v>
      </c>
      <c r="J167" s="18">
        <f>SUBTOTAL(109,Table_KeHoach_CPKhac[Tháng 7])</f>
        <v>0</v>
      </c>
      <c r="K167" s="18">
        <f>SUBTOTAL(109,Table_KeHoach_CPKhac[Tháng 8])</f>
        <v>0</v>
      </c>
      <c r="L167" s="18">
        <f>SUBTOTAL(109,Table_KeHoach_CPKhac[Tháng 9])</f>
        <v>0</v>
      </c>
      <c r="M167" s="18">
        <f>SUBTOTAL(109,Table_KeHoach_CPKhac[Tháng 10])</f>
        <v>0</v>
      </c>
      <c r="N167" s="18">
        <f>SUBTOTAL(109,Table_KeHoach_CPKhac[Tháng 11])</f>
        <v>0</v>
      </c>
      <c r="O167" s="18">
        <f>SUBTOTAL(109,Table_KeHoach_CPKhac[Tháng 12])</f>
        <v>0</v>
      </c>
      <c r="P167" s="18"/>
    </row>
    <row r="169" spans="2:16" ht="18" customHeight="1" x14ac:dyDescent="0.3">
      <c r="B169" s="7" t="s">
        <v>1066</v>
      </c>
      <c r="P169" s="28"/>
    </row>
    <row r="170" spans="2:16" ht="18" customHeight="1" collapsed="1" x14ac:dyDescent="0.3">
      <c r="B170" s="7" t="s">
        <v>102</v>
      </c>
      <c r="C170" s="12" t="s">
        <v>268</v>
      </c>
      <c r="D170" s="16" t="s">
        <v>269</v>
      </c>
      <c r="E170" s="16" t="s">
        <v>270</v>
      </c>
      <c r="F170" s="16" t="s">
        <v>271</v>
      </c>
      <c r="G170" s="16" t="s">
        <v>272</v>
      </c>
      <c r="H170" s="16" t="s">
        <v>273</v>
      </c>
      <c r="I170" s="16" t="s">
        <v>274</v>
      </c>
      <c r="J170" s="16" t="s">
        <v>275</v>
      </c>
      <c r="K170" s="16" t="s">
        <v>276</v>
      </c>
      <c r="L170" s="16" t="s">
        <v>277</v>
      </c>
      <c r="M170" s="16" t="s">
        <v>278</v>
      </c>
      <c r="N170" s="16" t="s">
        <v>279</v>
      </c>
      <c r="O170" s="16" t="s">
        <v>280</v>
      </c>
      <c r="P170" s="4" t="s">
        <v>883</v>
      </c>
    </row>
    <row r="171" spans="2:16" ht="18" customHeight="1" x14ac:dyDescent="0.3">
      <c r="B171" s="45" t="s">
        <v>157</v>
      </c>
      <c r="C171" s="504" t="e" cm="1">
        <f t="array" ref="C17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f>
        <v>#DIV/0!</v>
      </c>
      <c r="D171" s="45"/>
      <c r="E171" s="45"/>
      <c r="F171" s="45"/>
      <c r="G171" s="45"/>
      <c r="H171" s="45"/>
      <c r="I171" s="45"/>
      <c r="J171" s="45"/>
      <c r="K171" s="45"/>
      <c r="L171" s="45"/>
      <c r="M171" s="45"/>
      <c r="N171" s="45"/>
      <c r="O171" s="45"/>
      <c r="P171" s="45"/>
    </row>
    <row r="173" spans="2:16" ht="18" customHeight="1" x14ac:dyDescent="0.3">
      <c r="B173" s="7" t="s">
        <v>1081</v>
      </c>
    </row>
    <row r="174" spans="2:16" ht="18" customHeight="1" x14ac:dyDescent="0.3">
      <c r="B174" s="495" t="s">
        <v>1080</v>
      </c>
      <c r="C174" s="484" t="s">
        <v>1041</v>
      </c>
      <c r="D174" s="484" t="s">
        <v>269</v>
      </c>
      <c r="E174" s="484" t="s">
        <v>270</v>
      </c>
      <c r="F174" s="484" t="s">
        <v>271</v>
      </c>
      <c r="G174" s="484" t="s">
        <v>272</v>
      </c>
      <c r="H174" s="484" t="s">
        <v>273</v>
      </c>
      <c r="I174" s="484" t="s">
        <v>274</v>
      </c>
      <c r="J174" s="484" t="s">
        <v>275</v>
      </c>
      <c r="K174" s="484" t="s">
        <v>276</v>
      </c>
      <c r="L174" s="484" t="s">
        <v>277</v>
      </c>
      <c r="M174" s="484" t="s">
        <v>278</v>
      </c>
      <c r="N174" s="484" t="s">
        <v>279</v>
      </c>
      <c r="O174" s="484" t="s">
        <v>280</v>
      </c>
      <c r="P174" s="485" t="s">
        <v>883</v>
      </c>
    </row>
    <row r="175" spans="2:16" ht="18" customHeight="1" x14ac:dyDescent="0.3">
      <c r="B175" s="15"/>
      <c r="C175" s="8"/>
      <c r="D175" s="15"/>
      <c r="E175" s="15"/>
      <c r="F175" s="15"/>
      <c r="G175" s="15"/>
      <c r="H175" s="15"/>
      <c r="I175" s="15"/>
      <c r="J175" s="15"/>
      <c r="K175" s="15"/>
      <c r="L175" s="15"/>
      <c r="M175" s="15"/>
      <c r="N175" s="15"/>
      <c r="O175" s="15"/>
      <c r="P175" s="15"/>
    </row>
    <row r="176" spans="2:16" ht="18" customHeight="1" x14ac:dyDescent="0.3">
      <c r="B176" s="29" t="s">
        <v>1090</v>
      </c>
      <c r="C176" s="496">
        <f>SUBTOTAL(109,Table_KeHoach_TSCD[Column1])</f>
        <v>0</v>
      </c>
      <c r="D176" s="496">
        <f>SUBTOTAL(109,Table_KeHoach_TSCD[Tháng 1])</f>
        <v>0</v>
      </c>
      <c r="E176" s="496">
        <f>SUBTOTAL(109,Table_KeHoach_TSCD[Tháng 2])</f>
        <v>0</v>
      </c>
      <c r="F176" s="496">
        <f>SUBTOTAL(109,Table_KeHoach_TSCD[Tháng 3])</f>
        <v>0</v>
      </c>
      <c r="G176" s="496">
        <f>SUBTOTAL(109,Table_KeHoach_TSCD[Tháng 4])</f>
        <v>0</v>
      </c>
      <c r="H176" s="496">
        <f>SUBTOTAL(109,Table_KeHoach_TSCD[Tháng 5])</f>
        <v>0</v>
      </c>
      <c r="I176" s="496">
        <f>SUBTOTAL(109,Table_KeHoach_TSCD[Tháng 6])</f>
        <v>0</v>
      </c>
      <c r="J176" s="496">
        <f>SUBTOTAL(109,Table_KeHoach_TSCD[Tháng 7])</f>
        <v>0</v>
      </c>
      <c r="K176" s="496">
        <f>SUBTOTAL(109,Table_KeHoach_TSCD[Tháng 8])</f>
        <v>0</v>
      </c>
      <c r="L176" s="496">
        <f>SUBTOTAL(109,Table_KeHoach_TSCD[Tháng 9])</f>
        <v>0</v>
      </c>
      <c r="M176" s="496">
        <f>SUBTOTAL(109,Table_KeHoach_TSCD[Tháng 10])</f>
        <v>0</v>
      </c>
      <c r="N176" s="496">
        <f>SUBTOTAL(109,Table_KeHoach_TSCD[Tháng 11])</f>
        <v>0</v>
      </c>
      <c r="O176" s="496">
        <f>SUBTOTAL(109,Table_KeHoach_TSCD[Tháng 12])</f>
        <v>0</v>
      </c>
      <c r="P176" s="29"/>
    </row>
    <row r="178" spans="2:16" ht="18" customHeight="1" x14ac:dyDescent="0.3">
      <c r="B178" s="7" t="s">
        <v>1082</v>
      </c>
    </row>
    <row r="179" spans="2:16" ht="18" customHeight="1" x14ac:dyDescent="0.3">
      <c r="B179" s="495" t="s">
        <v>1083</v>
      </c>
      <c r="C179" s="484" t="s">
        <v>1041</v>
      </c>
      <c r="D179" s="484" t="s">
        <v>269</v>
      </c>
      <c r="E179" s="484" t="s">
        <v>270</v>
      </c>
      <c r="F179" s="484" t="s">
        <v>271</v>
      </c>
      <c r="G179" s="484" t="s">
        <v>272</v>
      </c>
      <c r="H179" s="484" t="s">
        <v>273</v>
      </c>
      <c r="I179" s="484" t="s">
        <v>274</v>
      </c>
      <c r="J179" s="484" t="s">
        <v>275</v>
      </c>
      <c r="K179" s="484" t="s">
        <v>276</v>
      </c>
      <c r="L179" s="484" t="s">
        <v>277</v>
      </c>
      <c r="M179" s="484" t="s">
        <v>278</v>
      </c>
      <c r="N179" s="484" t="s">
        <v>279</v>
      </c>
      <c r="O179" s="484" t="s">
        <v>280</v>
      </c>
      <c r="P179" s="485" t="s">
        <v>883</v>
      </c>
    </row>
    <row r="180" spans="2:16" ht="18" customHeight="1" x14ac:dyDescent="0.3">
      <c r="B180" s="15"/>
      <c r="C180" s="8"/>
      <c r="D180" s="15"/>
      <c r="E180" s="15"/>
      <c r="F180" s="15"/>
      <c r="G180" s="15"/>
      <c r="H180" s="15"/>
      <c r="I180" s="15"/>
      <c r="J180" s="15"/>
      <c r="K180" s="15"/>
      <c r="L180" s="15"/>
      <c r="M180" s="15"/>
      <c r="N180" s="15"/>
      <c r="O180" s="15"/>
      <c r="P180" s="15"/>
    </row>
    <row r="181" spans="2:16" ht="18" customHeight="1" x14ac:dyDescent="0.3">
      <c r="B181" s="29" t="s">
        <v>1091</v>
      </c>
      <c r="C181" s="496">
        <f>SUBTOTAL(109,Table_KeHoach_DTTC[Column1])</f>
        <v>0</v>
      </c>
      <c r="D181" s="496">
        <f>SUBTOTAL(109,Table_KeHoach_DTTC[Tháng 1])</f>
        <v>0</v>
      </c>
      <c r="E181" s="496">
        <f>SUBTOTAL(109,Table_KeHoach_DTTC[Tháng 2])</f>
        <v>0</v>
      </c>
      <c r="F181" s="496">
        <f>SUBTOTAL(109,Table_KeHoach_DTTC[Tháng 3])</f>
        <v>0</v>
      </c>
      <c r="G181" s="496">
        <f>SUBTOTAL(109,Table_KeHoach_DTTC[Tháng 4])</f>
        <v>0</v>
      </c>
      <c r="H181" s="496">
        <f>SUBTOTAL(109,Table_KeHoach_DTTC[Tháng 5])</f>
        <v>0</v>
      </c>
      <c r="I181" s="496">
        <f>SUBTOTAL(109,Table_KeHoach_DTTC[Tháng 6])</f>
        <v>0</v>
      </c>
      <c r="J181" s="496">
        <f>SUBTOTAL(109,Table_KeHoach_DTTC[Tháng 7])</f>
        <v>0</v>
      </c>
      <c r="K181" s="496">
        <f>SUBTOTAL(109,Table_KeHoach_DTTC[Tháng 8])</f>
        <v>0</v>
      </c>
      <c r="L181" s="496">
        <f>SUBTOTAL(109,Table_KeHoach_DTTC[Tháng 9])</f>
        <v>0</v>
      </c>
      <c r="M181" s="496">
        <f>SUBTOTAL(109,Table_KeHoach_DTTC[Tháng 10])</f>
        <v>0</v>
      </c>
      <c r="N181" s="496">
        <f>SUBTOTAL(109,Table_KeHoach_DTTC[Tháng 11])</f>
        <v>0</v>
      </c>
      <c r="O181" s="496">
        <f>SUBTOTAL(109,Table_KeHoach_DTTC[Tháng 12])</f>
        <v>0</v>
      </c>
      <c r="P181" s="29"/>
    </row>
    <row r="183" spans="2:16" ht="18" customHeight="1" x14ac:dyDescent="0.3">
      <c r="B183" s="7" t="s">
        <v>1084</v>
      </c>
    </row>
    <row r="184" spans="2:16" ht="18" customHeight="1" x14ac:dyDescent="0.3">
      <c r="B184" s="495" t="s">
        <v>1089</v>
      </c>
      <c r="C184" s="484" t="s">
        <v>1041</v>
      </c>
      <c r="D184" s="484" t="s">
        <v>269</v>
      </c>
      <c r="E184" s="484" t="s">
        <v>270</v>
      </c>
      <c r="F184" s="484" t="s">
        <v>271</v>
      </c>
      <c r="G184" s="484" t="s">
        <v>272</v>
      </c>
      <c r="H184" s="484" t="s">
        <v>273</v>
      </c>
      <c r="I184" s="484" t="s">
        <v>274</v>
      </c>
      <c r="J184" s="484" t="s">
        <v>275</v>
      </c>
      <c r="K184" s="484" t="s">
        <v>276</v>
      </c>
      <c r="L184" s="484" t="s">
        <v>277</v>
      </c>
      <c r="M184" s="484" t="s">
        <v>278</v>
      </c>
      <c r="N184" s="484" t="s">
        <v>279</v>
      </c>
      <c r="O184" s="484" t="s">
        <v>280</v>
      </c>
      <c r="P184" s="485" t="s">
        <v>883</v>
      </c>
    </row>
    <row r="185" spans="2:16" ht="18" customHeight="1" x14ac:dyDescent="0.3">
      <c r="B185" s="15"/>
      <c r="C185" s="8"/>
      <c r="D185" s="18" cm="1">
        <f t="array" ref="D185">-IFERROR(
SUM(_xlfn._xlws.FILTER(Table_DauTu_LichThu[Tổng phải thu],
(Table_DauTu_LichThu[Năm]=DiemHoaVon_NamKeHoach)*
(Table_DauTu_LichThu[Tháng]=D1)*
(Table_DauTu_LichThu[Tài sản đầu tư]=Table_KeHoach_LaiDTTC[[#This Row],[Dòng tiền thu hồi từ đầu tư tài chính]])
)),0)</f>
        <v>0</v>
      </c>
      <c r="E185" s="18" cm="1">
        <f t="array" ref="E185">-IFERROR(
SUM(_xlfn._xlws.FILTER(Table_DauTu_LichThu[Thu nhập tính thuế],
(Table_DauTu_LichThu[Tháng]=DiemHoaVon_NamKeHoach)*
(Table_DauTu_LichThu[Tài sản đầu tư]=E1)*
(Table_DauTu_LichThu[Nhận gốc]=Table_KeHoach_LaiDTTC[[#This Row],[Column1]])
)),0)</f>
        <v>0</v>
      </c>
      <c r="F185" s="18" cm="1">
        <f t="array" ref="F185">-IFERROR(
SUM(_xlfn._xlws.FILTER(Table_DauTu_LichThu[Add],
(Table_DauTu_LichThu[Tài sản đầu tư]=DiemHoaVon_NamKeHoach)*
(Table_DauTu_LichThu[Nhận gốc]=F1)*
(Table_DauTu_LichThu[Nhận lãi]=Table_KeHoach_LaiDTTC[[#This Row],[Tháng 1]])
)),0)</f>
        <v>0</v>
      </c>
      <c r="G185" s="18" cm="1">
        <f t="array" ref="G185">-IFERROR(
SUM(_xlfn._xlws.FILTER(Table_DauTu_LichThu[Còn lại],
(Table_DauTu_LichThu[Nhận gốc]=DiemHoaVon_NamKeHoach)*
(Table_DauTu_LichThu[Nhận lãi]=G1)*
(Table_DauTu_LichThu[Tổng phải thu]=Table_KeHoach_LaiDTTC[[#This Row],[Tháng 2]])
)),0)</f>
        <v>0</v>
      </c>
      <c r="H185" s="18" cm="1">
        <f t="array" ref="H185">-IFERROR(
SUM(_xlfn._xlws.FILTER(Table_DauTu_LichThu[Kỳ],
(Table_DauTu_LichThu[Nhận lãi]=DiemHoaVon_NamKeHoach)*
(Table_DauTu_LichThu[Tổng phải thu]=H1)*
(Table_DauTu_LichThu[Thu nhập tính thuế]=Table_KeHoach_LaiDTTC[[#This Row],[Tháng 3]])
)),0)</f>
        <v>0</v>
      </c>
      <c r="I185" s="18" cm="1">
        <f t="array" ref="I185">-IFERROR(
SUM(_xlfn._xlws.FILTER(Table_DauTu_LichThu[Năm],
(Table_DauTu_LichThu[Tổng phải thu]=DiemHoaVon_NamKeHoach)*
(Table_DauTu_LichThu[Thu nhập tính thuế]=I1)*
(Table_DauTu_LichThu[Add]=Table_KeHoach_LaiDTTC[[#This Row],[Tháng 4]])
)),0)</f>
        <v>0</v>
      </c>
      <c r="J185" s="18" cm="1">
        <f t="array" ref="J185">-IFERROR(
SUM(_xlfn._xlws.FILTER(Table_DauTu_LichThu[Tháng],
(Table_DauTu_LichThu[Thu nhập tính thuế]=DiemHoaVon_NamKeHoach)*
(Table_DauTu_LichThu[Add]=J1)*
(Table_DauTu_LichThu[Còn lại]=Table_KeHoach_LaiDTTC[[#This Row],[Tháng 5]])
)),0)</f>
        <v>0</v>
      </c>
      <c r="K185" s="18" cm="1">
        <f t="array" ref="K185">-IFERROR(
SUM(_xlfn._xlws.FILTER(Table_DauTu_LichThu[Tài sản đầu tư],
(Table_DauTu_LichThu[Add]=DiemHoaVon_NamKeHoach)*
(Table_DauTu_LichThu[Còn lại]=K1)*
(Table_DauTu_LichThu[Kỳ]=Table_KeHoach_LaiDTTC[[#This Row],[Tháng 6]])
)),0)</f>
        <v>0</v>
      </c>
      <c r="L185" s="18" cm="1">
        <f t="array" ref="L185">-IFERROR(
SUM(_xlfn._xlws.FILTER(Table_DauTu_LichThu[Nhận gốc],
(Table_DauTu_LichThu[Còn lại]=DiemHoaVon_NamKeHoach)*
(Table_DauTu_LichThu[Kỳ]=L1)*
(Table_DauTu_LichThu[Năm]=Table_KeHoach_LaiDTTC[[#This Row],[Tháng 7]])
)),0)</f>
        <v>0</v>
      </c>
      <c r="M185" s="18" cm="1">
        <f t="array" ref="M185">-IFERROR(
SUM(_xlfn._xlws.FILTER(Table_DauTu_LichThu[Nhận lãi],
(Table_DauTu_LichThu[Kỳ]=DiemHoaVon_NamKeHoach)*
(Table_DauTu_LichThu[Năm]=M1)*
(Table_DauTu_LichThu[Tháng]=Table_KeHoach_LaiDTTC[[#This Row],[Tháng 8]])
)),0)</f>
        <v>0</v>
      </c>
      <c r="N185" s="18" cm="1">
        <f t="array" ref="N185">-IFERROR(
SUM(_xlfn._xlws.FILTER(Table_DauTu_LichThu[Tổng phải thu],
(Table_DauTu_LichThu[Năm]=DiemHoaVon_NamKeHoach)*
(Table_DauTu_LichThu[Tháng]=N1)*
(Table_DauTu_LichThu[Tài sản đầu tư]=Table_KeHoach_LaiDTTC[[#This Row],[Tháng 9]])
)),0)</f>
        <v>0</v>
      </c>
      <c r="O185" s="18" cm="1">
        <f t="array" ref="O185">-IFERROR(
SUM(_xlfn._xlws.FILTER(Table_DauTu_LichThu[Thu nhập tính thuế],
(Table_DauTu_LichThu[Tháng]=DiemHoaVon_NamKeHoach)*
(Table_DauTu_LichThu[Tài sản đầu tư]=O1)*
(Table_DauTu_LichThu[Nhận gốc]=Table_KeHoach_LaiDTTC[[#This Row],[Tháng 10]])
)),0)</f>
        <v>0</v>
      </c>
      <c r="P185" s="15"/>
    </row>
    <row r="186" spans="2:16" ht="18" customHeight="1" x14ac:dyDescent="0.3">
      <c r="B186" s="29" t="s">
        <v>1092</v>
      </c>
      <c r="C186" s="496">
        <f>SUBTOTAL(109,Table_KeHoach_LaiDTTC[Column1])</f>
        <v>0</v>
      </c>
      <c r="D186" s="496">
        <f>SUBTOTAL(109,Table_KeHoach_LaiDTTC[Tháng 1])</f>
        <v>0</v>
      </c>
      <c r="E186" s="496">
        <f>SUBTOTAL(109,Table_KeHoach_LaiDTTC[Tháng 2])</f>
        <v>0</v>
      </c>
      <c r="F186" s="496">
        <f>SUBTOTAL(109,Table_KeHoach_LaiDTTC[Tháng 3])</f>
        <v>0</v>
      </c>
      <c r="G186" s="496">
        <f>SUBTOTAL(109,Table_KeHoach_LaiDTTC[Tháng 4])</f>
        <v>0</v>
      </c>
      <c r="H186" s="496">
        <f>SUBTOTAL(109,Table_KeHoach_LaiDTTC[Tháng 5])</f>
        <v>0</v>
      </c>
      <c r="I186" s="496">
        <f>SUBTOTAL(109,Table_KeHoach_LaiDTTC[Tháng 6])</f>
        <v>0</v>
      </c>
      <c r="J186" s="496">
        <f>SUBTOTAL(109,Table_KeHoach_LaiDTTC[Tháng 7])</f>
        <v>0</v>
      </c>
      <c r="K186" s="496">
        <f>SUBTOTAL(109,Table_KeHoach_LaiDTTC[Tháng 8])</f>
        <v>0</v>
      </c>
      <c r="L186" s="496">
        <f>SUBTOTAL(109,Table_KeHoach_LaiDTTC[Tháng 9])</f>
        <v>0</v>
      </c>
      <c r="M186" s="496">
        <f>SUBTOTAL(109,Table_KeHoach_LaiDTTC[Tháng 10])</f>
        <v>0</v>
      </c>
      <c r="N186" s="496">
        <f>SUBTOTAL(109,Table_KeHoach_LaiDTTC[Tháng 11])</f>
        <v>0</v>
      </c>
      <c r="O186" s="496">
        <f>SUBTOTAL(109,Table_KeHoach_LaiDTTC[Tháng 12])</f>
        <v>0</v>
      </c>
      <c r="P186" s="29"/>
    </row>
    <row r="188" spans="2:16" ht="18" customHeight="1" x14ac:dyDescent="0.3">
      <c r="B188" s="7" t="s">
        <v>1086</v>
      </c>
    </row>
    <row r="189" spans="2:16" ht="18" customHeight="1" x14ac:dyDescent="0.3">
      <c r="B189" s="495" t="s">
        <v>1085</v>
      </c>
      <c r="C189" s="484" t="s">
        <v>1041</v>
      </c>
      <c r="D189" s="484" t="s">
        <v>269</v>
      </c>
      <c r="E189" s="484" t="s">
        <v>270</v>
      </c>
      <c r="F189" s="484" t="s">
        <v>271</v>
      </c>
      <c r="G189" s="484" t="s">
        <v>272</v>
      </c>
      <c r="H189" s="484" t="s">
        <v>273</v>
      </c>
      <c r="I189" s="484" t="s">
        <v>274</v>
      </c>
      <c r="J189" s="484" t="s">
        <v>275</v>
      </c>
      <c r="K189" s="484" t="s">
        <v>276</v>
      </c>
      <c r="L189" s="484" t="s">
        <v>277</v>
      </c>
      <c r="M189" s="484" t="s">
        <v>278</v>
      </c>
      <c r="N189" s="484" t="s">
        <v>279</v>
      </c>
      <c r="O189" s="484" t="s">
        <v>280</v>
      </c>
      <c r="P189" s="485" t="s">
        <v>883</v>
      </c>
    </row>
    <row r="190" spans="2:16" ht="18" customHeight="1" x14ac:dyDescent="0.3">
      <c r="B190" s="15"/>
      <c r="C190" s="8"/>
      <c r="D190" s="18"/>
      <c r="E190" s="18"/>
      <c r="F190" s="18"/>
      <c r="G190" s="18"/>
      <c r="H190" s="18"/>
      <c r="I190" s="18"/>
      <c r="J190" s="18"/>
      <c r="K190" s="18"/>
      <c r="L190" s="18"/>
      <c r="M190" s="18"/>
      <c r="N190" s="18"/>
      <c r="O190" s="18"/>
      <c r="P190" s="15"/>
    </row>
    <row r="191" spans="2:16" ht="18" customHeight="1" x14ac:dyDescent="0.3">
      <c r="B191" s="29" t="s">
        <v>1093</v>
      </c>
      <c r="C191" s="496">
        <f>SUBTOTAL(109,Table_KeHoach_VonVay[Column1])</f>
        <v>0</v>
      </c>
      <c r="D191" s="496">
        <f>SUBTOTAL(109,Table_KeHoach_VonVay[Tháng 1])</f>
        <v>0</v>
      </c>
      <c r="E191" s="496">
        <f>SUBTOTAL(109,Table_KeHoach_VonVay[Tháng 2])</f>
        <v>0</v>
      </c>
      <c r="F191" s="496">
        <f>SUBTOTAL(109,Table_KeHoach_VonVay[Tháng 3])</f>
        <v>0</v>
      </c>
      <c r="G191" s="496">
        <f>SUBTOTAL(109,Table_KeHoach_VonVay[Tháng 4])</f>
        <v>0</v>
      </c>
      <c r="H191" s="496">
        <f>SUBTOTAL(109,Table_KeHoach_VonVay[Tháng 5])</f>
        <v>0</v>
      </c>
      <c r="I191" s="496">
        <f>SUBTOTAL(109,Table_KeHoach_VonVay[Tháng 6])</f>
        <v>0</v>
      </c>
      <c r="J191" s="496">
        <f>SUBTOTAL(109,Table_KeHoach_VonVay[Tháng 7])</f>
        <v>0</v>
      </c>
      <c r="K191" s="496">
        <f>SUBTOTAL(109,Table_KeHoach_VonVay[Tháng 8])</f>
        <v>0</v>
      </c>
      <c r="L191" s="496">
        <f>SUBTOTAL(109,Table_KeHoach_VonVay[Tháng 9])</f>
        <v>0</v>
      </c>
      <c r="M191" s="496">
        <f>SUBTOTAL(109,Table_KeHoach_VonVay[Tháng 10])</f>
        <v>0</v>
      </c>
      <c r="N191" s="496">
        <f>SUBTOTAL(109,Table_KeHoach_VonVay[Tháng 11])</f>
        <v>0</v>
      </c>
      <c r="O191" s="496">
        <f>SUBTOTAL(109,Table_KeHoach_VonVay[Tháng 12])</f>
        <v>0</v>
      </c>
      <c r="P191" s="29"/>
    </row>
    <row r="193" spans="2:16" ht="18" customHeight="1" x14ac:dyDescent="0.3">
      <c r="B193" s="7" t="s">
        <v>1088</v>
      </c>
    </row>
    <row r="194" spans="2:16" ht="18" customHeight="1" x14ac:dyDescent="0.3">
      <c r="B194" s="495" t="s">
        <v>1087</v>
      </c>
      <c r="C194" s="497" t="s">
        <v>1041</v>
      </c>
      <c r="D194" s="484" t="s">
        <v>269</v>
      </c>
      <c r="E194" s="484" t="s">
        <v>270</v>
      </c>
      <c r="F194" s="484" t="s">
        <v>271</v>
      </c>
      <c r="G194" s="484" t="s">
        <v>272</v>
      </c>
      <c r="H194" s="484" t="s">
        <v>273</v>
      </c>
      <c r="I194" s="484" t="s">
        <v>274</v>
      </c>
      <c r="J194" s="484" t="s">
        <v>275</v>
      </c>
      <c r="K194" s="484" t="s">
        <v>276</v>
      </c>
      <c r="L194" s="484" t="s">
        <v>277</v>
      </c>
      <c r="M194" s="484" t="s">
        <v>278</v>
      </c>
      <c r="N194" s="484" t="s">
        <v>279</v>
      </c>
      <c r="O194" s="484" t="s">
        <v>280</v>
      </c>
      <c r="P194" s="485" t="s">
        <v>883</v>
      </c>
    </row>
    <row r="195" spans="2:16" ht="18" customHeight="1" x14ac:dyDescent="0.3">
      <c r="B195" s="15"/>
      <c r="C195" s="493"/>
      <c r="D195" s="18"/>
      <c r="E195" s="18"/>
      <c r="F195" s="18"/>
      <c r="G195" s="18"/>
      <c r="H195" s="18"/>
      <c r="I195" s="18"/>
      <c r="J195" s="18"/>
      <c r="K195" s="18"/>
      <c r="L195" s="18"/>
      <c r="M195" s="18"/>
      <c r="N195" s="18"/>
      <c r="O195" s="18"/>
      <c r="P195" s="15"/>
    </row>
    <row r="196" spans="2:16" ht="18" customHeight="1" x14ac:dyDescent="0.3">
      <c r="B196" s="29" t="s">
        <v>1094</v>
      </c>
      <c r="C196" s="496">
        <f>SUBTOTAL(109,Table_KeHoach_VonGop[Column1])</f>
        <v>0</v>
      </c>
      <c r="D196" s="496">
        <f>SUBTOTAL(109,Table_KeHoach_VonGop[Tháng 1])</f>
        <v>0</v>
      </c>
      <c r="E196" s="496">
        <f>SUBTOTAL(109,Table_KeHoach_VonGop[Tháng 2])</f>
        <v>0</v>
      </c>
      <c r="F196" s="496">
        <f>SUBTOTAL(109,Table_KeHoach_VonGop[Tháng 3])</f>
        <v>0</v>
      </c>
      <c r="G196" s="496">
        <f>SUBTOTAL(109,Table_KeHoach_VonGop[Tháng 4])</f>
        <v>0</v>
      </c>
      <c r="H196" s="496">
        <f>SUBTOTAL(109,Table_KeHoach_VonGop[Tháng 5])</f>
        <v>0</v>
      </c>
      <c r="I196" s="496">
        <f>SUBTOTAL(109,Table_KeHoach_VonGop[Tháng 6])</f>
        <v>0</v>
      </c>
      <c r="J196" s="496">
        <f>SUBTOTAL(109,Table_KeHoach_VonGop[Tháng 7])</f>
        <v>0</v>
      </c>
      <c r="K196" s="496">
        <f>SUBTOTAL(109,Table_KeHoach_VonGop[Tháng 8])</f>
        <v>0</v>
      </c>
      <c r="L196" s="496">
        <f>SUBTOTAL(109,Table_KeHoach_VonGop[Tháng 9])</f>
        <v>0</v>
      </c>
      <c r="M196" s="496">
        <f>SUBTOTAL(109,Table_KeHoach_VonGop[Tháng 10])</f>
        <v>0</v>
      </c>
      <c r="N196" s="496">
        <f>SUBTOTAL(109,Table_KeHoach_VonGop[Tháng 11])</f>
        <v>0</v>
      </c>
      <c r="O196" s="496">
        <f>SUBTOTAL(109,Table_KeHoach_VonGop[Tháng 12])</f>
        <v>0</v>
      </c>
      <c r="P196" s="29"/>
    </row>
    <row r="198" spans="2:16" ht="18" customHeight="1" x14ac:dyDescent="0.3">
      <c r="B198" s="7" t="s">
        <v>1067</v>
      </c>
    </row>
    <row r="199" spans="2:16" ht="18" customHeight="1" x14ac:dyDescent="0.3">
      <c r="B199" s="460" t="s">
        <v>1017</v>
      </c>
      <c r="C199" s="499" t="s">
        <v>1018</v>
      </c>
      <c r="D199" s="497" t="s">
        <v>269</v>
      </c>
      <c r="E199" s="497" t="s">
        <v>270</v>
      </c>
      <c r="F199" s="497" t="s">
        <v>271</v>
      </c>
      <c r="G199" s="497" t="s">
        <v>272</v>
      </c>
      <c r="H199" s="497" t="s">
        <v>273</v>
      </c>
      <c r="I199" s="497" t="s">
        <v>274</v>
      </c>
      <c r="J199" s="497" t="s">
        <v>275</v>
      </c>
      <c r="K199" s="497" t="s">
        <v>276</v>
      </c>
      <c r="L199" s="497" t="s">
        <v>277</v>
      </c>
      <c r="M199" s="497" t="s">
        <v>278</v>
      </c>
      <c r="N199" s="497" t="s">
        <v>279</v>
      </c>
      <c r="O199" s="497" t="s">
        <v>280</v>
      </c>
      <c r="P199" s="485" t="s">
        <v>883</v>
      </c>
    </row>
    <row r="200" spans="2:16" ht="18" customHeight="1" x14ac:dyDescent="0.3">
      <c r="C200" s="494" t="e">
        <f>VLOOKUP(Table_KeHoach_CoTuc[[#This Row],[Kế hoạch cổ tức]],Table_CoDong[],COUNTA(Table_CoDong[[#Headers],[Mã Cổ đông]:[Tỷ lệ chia lợi nhuận]]),0)</f>
        <v>#N/A</v>
      </c>
      <c r="D200" s="18" t="e">
        <f>Table_KeHoach_CoTuc[[#This Row],[Tỷ lệ lợi ích]]*D$46</f>
        <v>#N/A</v>
      </c>
      <c r="E200" s="18" t="e">
        <f>Table_KeHoach_CoTuc[[#This Row],[Tỷ lệ lợi ích]]*E$46</f>
        <v>#N/A</v>
      </c>
      <c r="F200" s="18" t="e">
        <f>Table_KeHoach_CoTuc[[#This Row],[Tỷ lệ lợi ích]]*F$46</f>
        <v>#N/A</v>
      </c>
      <c r="G200" s="18" t="e">
        <f>Table_KeHoach_CoTuc[[#This Row],[Tỷ lệ lợi ích]]*G$46</f>
        <v>#N/A</v>
      </c>
      <c r="H200" s="18" t="e">
        <f>Table_KeHoach_CoTuc[[#This Row],[Tỷ lệ lợi ích]]*H$46</f>
        <v>#N/A</v>
      </c>
      <c r="I200" s="18" t="e">
        <f>Table_KeHoach_CoTuc[[#This Row],[Tỷ lệ lợi ích]]*I$46</f>
        <v>#N/A</v>
      </c>
      <c r="J200" s="18" t="e">
        <f>Table_KeHoach_CoTuc[[#This Row],[Tỷ lệ lợi ích]]*J$46</f>
        <v>#N/A</v>
      </c>
      <c r="K200" s="18" t="e">
        <f>Table_KeHoach_CoTuc[[#This Row],[Tỷ lệ lợi ích]]*K$46</f>
        <v>#N/A</v>
      </c>
      <c r="L200" s="18" t="e">
        <f>Table_KeHoach_CoTuc[[#This Row],[Tỷ lệ lợi ích]]*L$46</f>
        <v>#N/A</v>
      </c>
      <c r="M200" s="18" t="e">
        <f>Table_KeHoach_CoTuc[[#This Row],[Tỷ lệ lợi ích]]*M$46</f>
        <v>#N/A</v>
      </c>
      <c r="N200" s="18" t="e">
        <f>Table_KeHoach_CoTuc[[#This Row],[Tỷ lệ lợi ích]]*N$46</f>
        <v>#N/A</v>
      </c>
      <c r="O200" s="18" t="e">
        <f>Table_KeHoach_CoTuc[[#This Row],[Tỷ lệ lợi ích]]*O$46</f>
        <v>#N/A</v>
      </c>
      <c r="P200" s="18"/>
    </row>
    <row r="201" spans="2:16" ht="18" customHeight="1" x14ac:dyDescent="0.3">
      <c r="B201" s="29" t="s">
        <v>1095</v>
      </c>
      <c r="C201" s="500" t="e">
        <f>SUBTOTAL(109,Table_KeHoach_CoTuc[Tỷ lệ lợi ích])</f>
        <v>#N/A</v>
      </c>
      <c r="D201" s="496" t="e">
        <f>SUBTOTAL(109,Table_KeHoach_CoTuc[Tháng 1])</f>
        <v>#N/A</v>
      </c>
      <c r="E201" s="496" t="e">
        <f>SUBTOTAL(109,Table_KeHoach_CoTuc[Tháng 2])</f>
        <v>#N/A</v>
      </c>
      <c r="F201" s="496" t="e">
        <f>SUBTOTAL(109,Table_KeHoach_CoTuc[Tháng 3])</f>
        <v>#N/A</v>
      </c>
      <c r="G201" s="496" t="e">
        <f>SUBTOTAL(109,Table_KeHoach_CoTuc[Tháng 4])</f>
        <v>#N/A</v>
      </c>
      <c r="H201" s="496" t="e">
        <f>SUBTOTAL(109,Table_KeHoach_CoTuc[Tháng 5])</f>
        <v>#N/A</v>
      </c>
      <c r="I201" s="496" t="e">
        <f>SUBTOTAL(109,Table_KeHoach_CoTuc[Tháng 6])</f>
        <v>#N/A</v>
      </c>
      <c r="J201" s="496" t="e">
        <f>SUBTOTAL(109,Table_KeHoach_CoTuc[Tháng 7])</f>
        <v>#N/A</v>
      </c>
      <c r="K201" s="496" t="e">
        <f>SUBTOTAL(109,Table_KeHoach_CoTuc[Tháng 8])</f>
        <v>#N/A</v>
      </c>
      <c r="L201" s="496" t="e">
        <f>SUBTOTAL(109,Table_KeHoach_CoTuc[Tháng 9])</f>
        <v>#N/A</v>
      </c>
      <c r="M201" s="496" t="e">
        <f>SUBTOTAL(109,Table_KeHoach_CoTuc[Tháng 10])</f>
        <v>#N/A</v>
      </c>
      <c r="N201" s="496" t="e">
        <f>SUBTOTAL(109,Table_KeHoach_CoTuc[Tháng 11])</f>
        <v>#N/A</v>
      </c>
      <c r="O201" s="496" t="e">
        <f>SUBTOTAL(109,Table_KeHoach_CoTuc[Tháng 12])</f>
        <v>#N/A</v>
      </c>
      <c r="P201" s="29"/>
    </row>
  </sheetData>
  <sheetProtection algorithmName="SHA-512" hashValue="E2tYTl3R6vEXvNeVgCb3EwiS50Lk0ZRhX7eDz8S+d7+i+ngC+69tzlcPKBnIHB0QECbBBNZ4lj1Vur5Q08To4Q==" saltValue="xQ7Yrm40WF1gCEThbdnfJQ==" spinCount="100000" sheet="1" scenarios="1" formatCells="0" formatColumns="0" formatRows="0" insertColumns="0" insertRows="0" deleteColumns="0" deleteRows="0" sort="0" autoFilter="0" pivotTables="0"/>
  <protectedRanges>
    <protectedRange sqref="B13 B23 B10 B49:P49 Q1:S1 B52:P52 B155:P156 T208:T1048576 X208:X1048576 T55:T56 X55:X56 P50:P51 P54:P56 R49:S49 P59:P60 R50:T52 X59:X60 T59:T60 T63:T65 X63:X65 V57:W57 R57:S57 V61:W61 R61:S61 X68:X70 T68:T70 T73:T74 X73:X74 V66:W66 V71:W71 X77:X78 T77:T78 Q86 Q90 T81:T82 X81:X82 V75:W75 V79:W79 X85:X86 T85:T86 Q94 T89:T90 X89:X90 V83:W83 Q102 V87:W87 X93:X94 T93:T94 T97:T98 X97:X98 V91:W91 Q106 Q110 V95:W95 X101:X102 T101:T102 T105:T106 X105:X106 V99:W99 Q114 Q118 V103:W103 X109:X110 T109:T110 T113:T115 X113:X115 V107:W107 Q122 Q126 V111:W111 X118:X119 T118:T119 T122:T123 X122:X123 V116:W116 Q131 Q134 V120:W120 X126:X127 T126:T127 T130:T133 X130:X133 V124:W124 Q138 V128:W128 T136:T138 P146:P148 T141:T144 X141:X144 V134:W134 V139:W139 V50:X52 Q81 U219:U1048576 Y219:Y1048576 Q71 B158 P63 P73:P74 P77:P78 P82:P83 P87:P88 P92:P94 P107:P108 P111:P112 P115:P116 P120:P121 P125:P126 P129:P130 P134:P135 P139:P142 P152 P199 B159:P163 B165 P165 Q164:Q167 V145:W145 Y6:XFD52 P170 B170 R166:S172 P158 T6:T37 X6:X37 P6:P48 Q2:Q52 T1:XFD5 A6:A52 U63:U66 X136:X138 R54:T54 V54:X54 Y54:XFD57 Q54:Q57 A54:A57 Y59:XFD61 Q59:Q61 A59:A61 Y63:XFD66 Q63:Q66 A63:A66 B53 U68:U71 Y68:XFD71 P68:Q68 A68:A71 Q73:Q75 U73:U75 Y73:XFD75 A73:A75 U77:U79 Y77:XFD79 A77:A79 U81:U83 Y81:XFD83 A81:A83 U85:U87 Y85:XFD87 A85:A87 U89:U91 Y89:XFD91 A89:A91 U93:U95 Y93:XFD95 A93:A95 U97:U99 Y97:XFD99 A97:A99 U101:U103 Y101:XFD103 A101:A103 U105:U107 Y105:XFD107 A105:A107 U109:U111 Y109:XFD111 A109:A111 U113:U116 Y113:XFD116 A113:A116 U118:U120 Y118:XFD120 A118:A120 U122:U124 Y122:XFD124 A122:A124 U126:U128 Y126:XFD128 A126:A128 U130:U134 Y130:XFD134 A130:A134 U136:U139 Y136:XFD139 A136:A139 U141:U145 Y141:XFD145 A141:A145 U147:W152 Y147:XFD152 A147:A152 U154:W157 Y154:XFD157 A154:A157 U159:W161 Y159:XFD161 B166:P168 U163:U170 Y163:XFD170 Q147 Q141 A159:A161 P98:P99 P102:P103 B171:Q172 P174 B175:P177 P179 B180:P182 B186:P187 B185:C185 P184:P185 B191:P192 B190:C190 P189:P190 Q173:S1048576 Z171:XFD1048576 V163:W1048576 B196:P197 P194:P195 B200:H1048576 J200:P1048576 I200:I201 I203:I1048576 B195:C195 A163:A1048576" name="Range1_63"/>
    <protectedRange sqref="D21:O21 B8:B9 C7 C11 V6:W6 R6:S6 C24:C30 C39 C32 C14:C21 B6:C6 B33 B35:B48 D18:O18" name="Range1_63_63_1"/>
    <protectedRange sqref="B21 C22:O22 C12:O12" name="Range1_5_1_3_1"/>
    <protectedRange sqref="B141:B142 B153:B154 B148" name="Range1_2_2"/>
    <protectedRange sqref="B19" name="Range1_5_1"/>
    <protectedRange sqref="B11" name="Range1_5_2"/>
    <protectedRange sqref="B7" name="Range1_5_3"/>
    <protectedRange sqref="B34" name="Range1_63_63_1_1"/>
    <protectedRange sqref="C31" name="Range1_63_63_1_3"/>
    <protectedRange sqref="R13:S13 R23:S23 R10:S10" name="Range1_63_1"/>
    <protectedRange sqref="R8:S9 R33:S34 R38:S38 R42:S42" name="Range1_63_63_1_6"/>
    <protectedRange sqref="R21:S21" name="Range1_5_1_3_1_2"/>
    <protectedRange sqref="R19:S19" name="Range1_5_1_1"/>
    <protectedRange sqref="R7:S7" name="Range1_5_4"/>
    <protectedRange sqref="R11:S11" name="Range1_5_2_1"/>
    <protectedRange sqref="V13:W13 V23:W23 V10:W10" name="Range1_63_2"/>
    <protectedRange sqref="V8:W9 V47:W48 V33:W34 V38:W38 V42:W42" name="Range1_63_63_1_7"/>
    <protectedRange sqref="V21:W21" name="Range1_5_1_3_1_2_1"/>
    <protectedRange sqref="V19:W19" name="Range1_5_1_2"/>
    <protectedRange sqref="V7:W7" name="Range1_5_5"/>
    <protectedRange sqref="V11:W11" name="Range1_5_2_2"/>
    <protectedRange sqref="R47:R48" name="Range1_63_3"/>
    <protectedRange sqref="S47:S48" name="Range1_63_4"/>
    <protectedRange sqref="S2 S4:S5 S3" name="Range1_63_5"/>
    <protectedRange sqref="R4:R5" name="Range1_63_6"/>
    <protectedRange sqref="S53:XFD53 P53 A53 B58" name="Range1_63_7"/>
    <protectedRange sqref="Q58:R58 U58:XFD58 A58 Q62:R62 U62:XFD62 A62:B62" name="Range1_63_8"/>
    <protectedRange sqref="Y67:XFD67 U67:W67 A67:B67" name="Range1_63_9"/>
    <protectedRange sqref="Y72:XFD72 U72:W72 S72 A72:B72" name="Range1_63_10"/>
    <protectedRange sqref="S76:XFD76 A76:B76" name="Range1_63_11"/>
    <protectedRange sqref="S80:XFD80 B81 A80" name="Range1_63_12"/>
    <protectedRange sqref="S84:XFD84 B86 A84" name="Range1_63_13"/>
    <protectedRange sqref="S88:XFD88 B91 A88" name="Range1_63_14"/>
    <protectedRange sqref="S92:XFD92 B97 A92" name="Range1_63_16"/>
    <protectedRange sqref="S96:XFD96 B101 A96" name="Range1_63_17"/>
    <protectedRange sqref="S100:XFD100 B106 A100" name="Range1_63_18"/>
    <protectedRange sqref="S104:XFD104 B110 A104" name="Range1_63_19"/>
    <protectedRange sqref="A108 S108:XFD108" name="Range1_63_20"/>
    <protectedRange sqref="Q112:R112 A112 T112:XFD112" name="Range1_63_21"/>
    <protectedRange sqref="S117 A117 Y117:XFD117 U117:W117" name="Range1_63_22"/>
    <protectedRange sqref="A121 S121:XFD121" name="Range1_63_23"/>
    <protectedRange sqref="A125 S125:XFD125" name="Range1_63_24"/>
    <protectedRange sqref="A129 S129:XFD129" name="Range1_63_25"/>
    <protectedRange sqref="A135 S135:XFD135" name="Range1_63_26"/>
    <protectedRange sqref="A140 S140:XFD140" name="Range1_63_27"/>
    <protectedRange sqref="Y146:XFD146 A146 W146 C157:O157" name="Range1_63_28"/>
    <protectedRange sqref="X153:XFD153 A153 T153:V153" name="Range1_63_29"/>
    <protectedRange sqref="C164:O164" name="Range1_63_3_1"/>
    <protectedRange sqref="X158:XFD158 A158 T158:V158" name="Range1_63_30"/>
    <protectedRange sqref="P169" name="Range1_63_3_2"/>
    <protectedRange sqref="B169:O169" name="Range1_63_4_1"/>
    <protectedRange sqref="A162 T162:V162 X162:XFD162" name="Range1_63_31"/>
    <protectedRange sqref="B198:P198 B173:P173 B178:P178 B183:P183 B193:P193 B188:P188" name="Range1_63_4_2"/>
    <protectedRange sqref="R3" name="Range1_63_5_1"/>
    <protectedRange sqref="R2" name="Range1_63_5_1_1"/>
  </protectedRanges>
  <dataConsolidate link="1"/>
  <phoneticPr fontId="14" type="noConversion"/>
  <conditionalFormatting sqref="B126">
    <cfRule type="duplicateValues" dxfId="1948" priority="244"/>
  </conditionalFormatting>
  <conditionalFormatting sqref="B130">
    <cfRule type="duplicateValues" dxfId="1947" priority="245"/>
  </conditionalFormatting>
  <conditionalFormatting sqref="B135">
    <cfRule type="duplicateValues" dxfId="1946" priority="246"/>
  </conditionalFormatting>
  <dataValidations disablePrompts="1" count="8">
    <dataValidation type="list" allowBlank="1" showInputMessage="1" showErrorMessage="1" sqref="B103 B55 B99 B64 B51 B60 B78 B74 B76" xr:uid="{013536CD-67B8-4385-ADA6-80C28315C80B}">
      <formula1>Ma_SKU</formula1>
    </dataValidation>
    <dataValidation type="list" allowBlank="1" showInputMessage="1" showErrorMessage="1" sqref="B112 B108 B116" xr:uid="{20FCE550-D25C-4631-B117-3A8EE8A547D3}">
      <formula1>MaTaiKhoan</formula1>
    </dataValidation>
    <dataValidation type="list" allowBlank="1" showInputMessage="1" showErrorMessage="1" sqref="B135 B126 B130" xr:uid="{94439D58-9D87-433C-96D6-0EC0AC620345}">
      <formula1>MaNhanVien</formula1>
    </dataValidation>
    <dataValidation type="list" allowBlank="1" showInputMessage="1" showErrorMessage="1" sqref="B83 B86" xr:uid="{AFAB2C1A-AFB4-45BD-8469-21BF7600BB9A}">
      <formula1>MaNguyenLieu</formula1>
    </dataValidation>
    <dataValidation type="list" allowBlank="1" showInputMessage="1" showErrorMessage="1" sqref="B200 B195" xr:uid="{C905500D-B607-462A-965C-6F8158474686}">
      <formula1>MaCoDong</formula1>
    </dataValidation>
    <dataValidation type="list" allowBlank="1" showInputMessage="1" showErrorMessage="1" sqref="B175" xr:uid="{3E1FEBB2-C9DE-4EC0-A9F4-C7847722CBAB}">
      <formula1>MaTaiSan</formula1>
    </dataValidation>
    <dataValidation type="list" allowBlank="1" showInputMessage="1" showErrorMessage="1" sqref="B180 B185" xr:uid="{21265826-A0EE-442E-A282-736567944CAB}">
      <formula1>MaDauTu</formula1>
    </dataValidation>
    <dataValidation type="list" allowBlank="1" showInputMessage="1" showErrorMessage="1" sqref="B190" xr:uid="{A2139EA5-4C18-4F0A-8012-1DFB6B992577}">
      <formula1>MaKhoanVay</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12</xdr:col>
                    <xdr:colOff>495300</xdr:colOff>
                    <xdr:row>0</xdr:row>
                    <xdr:rowOff>200025</xdr:rowOff>
                  </from>
                  <to>
                    <xdr:col>13</xdr:col>
                    <xdr:colOff>285750</xdr:colOff>
                    <xdr:row>2</xdr:row>
                    <xdr:rowOff>200025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13</xdr:col>
                    <xdr:colOff>161925</xdr:colOff>
                    <xdr:row>0</xdr:row>
                    <xdr:rowOff>200025</xdr:rowOff>
                  </from>
                  <to>
                    <xdr:col>13</xdr:col>
                    <xdr:colOff>752475</xdr:colOff>
                    <xdr:row>2</xdr:row>
                    <xdr:rowOff>200025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13</xdr:col>
                    <xdr:colOff>628650</xdr:colOff>
                    <xdr:row>0</xdr:row>
                    <xdr:rowOff>200025</xdr:rowOff>
                  </from>
                  <to>
                    <xdr:col>14</xdr:col>
                    <xdr:colOff>390525</xdr:colOff>
                    <xdr:row>2</xdr:row>
                    <xdr:rowOff>200025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14</xdr:col>
                    <xdr:colOff>276225</xdr:colOff>
                    <xdr:row>0</xdr:row>
                    <xdr:rowOff>200025</xdr:rowOff>
                  </from>
                  <to>
                    <xdr:col>14</xdr:col>
                    <xdr:colOff>628650</xdr:colOff>
                    <xdr:row>2</xdr:row>
                    <xdr:rowOff>200025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12</xdr:col>
                    <xdr:colOff>381000</xdr:colOff>
                    <xdr:row>0</xdr:row>
                    <xdr:rowOff>133350</xdr:rowOff>
                  </from>
                  <to>
                    <xdr:col>14</xdr:col>
                    <xdr:colOff>742950</xdr:colOff>
                    <xdr:row>3</xdr:row>
                    <xdr:rowOff>38100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10</xdr:col>
                    <xdr:colOff>304800</xdr:colOff>
                    <xdr:row>0</xdr:row>
                    <xdr:rowOff>133350</xdr:rowOff>
                  </from>
                  <to>
                    <xdr:col>12</xdr:col>
                    <xdr:colOff>333375</xdr:colOff>
                    <xdr:row>3</xdr:row>
                    <xdr:rowOff>38100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10</xdr:col>
                    <xdr:colOff>390525</xdr:colOff>
                    <xdr:row>1</xdr:row>
                    <xdr:rowOff>57150</xdr:rowOff>
                  </from>
                  <to>
                    <xdr:col>11</xdr:col>
                    <xdr:colOff>28575</xdr:colOff>
                    <xdr:row>2</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11</xdr:col>
                    <xdr:colOff>76200</xdr:colOff>
                    <xdr:row>1</xdr:row>
                    <xdr:rowOff>57150</xdr:rowOff>
                  </from>
                  <to>
                    <xdr:col>11</xdr:col>
                    <xdr:colOff>542925</xdr:colOff>
                    <xdr:row>2</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11</xdr:col>
                    <xdr:colOff>590550</xdr:colOff>
                    <xdr:row>1</xdr:row>
                    <xdr:rowOff>57150</xdr:rowOff>
                  </from>
                  <to>
                    <xdr:col>12</xdr:col>
                    <xdr:colOff>257175</xdr:colOff>
                    <xdr:row>2</xdr:row>
                    <xdr:rowOff>114300</xdr:rowOff>
                  </to>
                </anchor>
              </controlPr>
            </control>
          </mc:Choice>
        </mc:AlternateContent>
        <mc:AlternateContent xmlns:mc="http://schemas.openxmlformats.org/markup-compatibility/2006">
          <mc:Choice Requires="x14">
            <control shapeId="50190" r:id="rId13" name="Button 14">
              <controlPr defaultSize="0" print="0" autoFill="0" autoPict="0" macro="[0]!AddColumn">
                <anchor moveWithCells="1" sizeWithCells="1">
                  <from>
                    <xdr:col>20</xdr:col>
                    <xdr:colOff>66675</xdr:colOff>
                    <xdr:row>0</xdr:row>
                    <xdr:rowOff>19050</xdr:rowOff>
                  </from>
                  <to>
                    <xdr:col>20</xdr:col>
                    <xdr:colOff>428625</xdr:colOff>
                    <xdr:row>1</xdr:row>
                    <xdr:rowOff>47625</xdr:rowOff>
                  </to>
                </anchor>
              </controlPr>
            </control>
          </mc:Choice>
        </mc:AlternateContent>
        <mc:AlternateContent xmlns:mc="http://schemas.openxmlformats.org/markup-compatibility/2006">
          <mc:Choice Requires="x14">
            <control shapeId="50191" r:id="rId14" name="Button 15">
              <controlPr defaultSize="0" print="0" autoFill="0" autoPict="0" macro="[0]!DeleteColumn">
                <anchor moveWithCells="1" sizeWithCells="1">
                  <from>
                    <xdr:col>20</xdr:col>
                    <xdr:colOff>476250</xdr:colOff>
                    <xdr:row>0</xdr:row>
                    <xdr:rowOff>19050</xdr:rowOff>
                  </from>
                  <to>
                    <xdr:col>20</xdr:col>
                    <xdr:colOff>838200</xdr:colOff>
                    <xdr:row>1</xdr:row>
                    <xdr:rowOff>47625</xdr:rowOff>
                  </to>
                </anchor>
              </controlPr>
            </control>
          </mc:Choice>
        </mc:AlternateContent>
        <mc:AlternateContent xmlns:mc="http://schemas.openxmlformats.org/markup-compatibility/2006">
          <mc:Choice Requires="x14">
            <control shapeId="50192" r:id="rId15" name="Button 16">
              <controlPr defaultSize="0" print="0" autoFill="0" autoPict="0" macro="[0]!AddColumn">
                <anchor moveWithCells="1" sizeWithCells="1">
                  <from>
                    <xdr:col>24</xdr:col>
                    <xdr:colOff>19050</xdr:colOff>
                    <xdr:row>0</xdr:row>
                    <xdr:rowOff>47625</xdr:rowOff>
                  </from>
                  <to>
                    <xdr:col>24</xdr:col>
                    <xdr:colOff>381000</xdr:colOff>
                    <xdr:row>1</xdr:row>
                    <xdr:rowOff>76200</xdr:rowOff>
                  </to>
                </anchor>
              </controlPr>
            </control>
          </mc:Choice>
        </mc:AlternateContent>
        <mc:AlternateContent xmlns:mc="http://schemas.openxmlformats.org/markup-compatibility/2006">
          <mc:Choice Requires="x14">
            <control shapeId="50193" r:id="rId16" name="Button 17">
              <controlPr defaultSize="0" print="0" autoFill="0" autoPict="0" macro="[0]!DeleteColumn">
                <anchor moveWithCells="1" sizeWithCells="1">
                  <from>
                    <xdr:col>24</xdr:col>
                    <xdr:colOff>428625</xdr:colOff>
                    <xdr:row>0</xdr:row>
                    <xdr:rowOff>47625</xdr:rowOff>
                  </from>
                  <to>
                    <xdr:col>24</xdr:col>
                    <xdr:colOff>790575</xdr:colOff>
                    <xdr:row>1</xdr:row>
                    <xdr:rowOff>76200</xdr:rowOff>
                  </to>
                </anchor>
              </controlPr>
            </control>
          </mc:Choice>
        </mc:AlternateContent>
        <mc:AlternateContent xmlns:mc="http://schemas.openxmlformats.org/markup-compatibility/2006">
          <mc:Choice Requires="x14">
            <control shapeId="50194" r:id="rId17" name="Button 18">
              <controlPr defaultSize="0" print="0" autoFill="0" autoPict="0" macro="[0]!AddRow">
                <anchor moveWithCells="1">
                  <from>
                    <xdr:col>0</xdr:col>
                    <xdr:colOff>66675</xdr:colOff>
                    <xdr:row>48</xdr:row>
                    <xdr:rowOff>19050</xdr:rowOff>
                  </from>
                  <to>
                    <xdr:col>0</xdr:col>
                    <xdr:colOff>609600</xdr:colOff>
                    <xdr:row>48</xdr:row>
                    <xdr:rowOff>200025</xdr:rowOff>
                  </to>
                </anchor>
              </controlPr>
            </control>
          </mc:Choice>
        </mc:AlternateContent>
        <mc:AlternateContent xmlns:mc="http://schemas.openxmlformats.org/markup-compatibility/2006">
          <mc:Choice Requires="x14">
            <control shapeId="50195" r:id="rId18" name="Button 19">
              <controlPr defaultSize="0" print="0" autoFill="0" autoPict="0" macro="[0]!DeleteRow">
                <anchor moveWithCells="1">
                  <from>
                    <xdr:col>0</xdr:col>
                    <xdr:colOff>66675</xdr:colOff>
                    <xdr:row>48</xdr:row>
                    <xdr:rowOff>209550</xdr:rowOff>
                  </from>
                  <to>
                    <xdr:col>0</xdr:col>
                    <xdr:colOff>609600</xdr:colOff>
                    <xdr:row>49</xdr:row>
                    <xdr:rowOff>161925</xdr:rowOff>
                  </to>
                </anchor>
              </controlPr>
            </control>
          </mc:Choice>
        </mc:AlternateContent>
        <mc:AlternateContent xmlns:mc="http://schemas.openxmlformats.org/markup-compatibility/2006">
          <mc:Choice Requires="x14">
            <control shapeId="50196" r:id="rId19" name="Button 20">
              <controlPr defaultSize="0" print="0" autoFill="0" autoPict="0" macro="[0]!AddRow">
                <anchor moveWithCells="1">
                  <from>
                    <xdr:col>0</xdr:col>
                    <xdr:colOff>66675</xdr:colOff>
                    <xdr:row>52</xdr:row>
                    <xdr:rowOff>28575</xdr:rowOff>
                  </from>
                  <to>
                    <xdr:col>0</xdr:col>
                    <xdr:colOff>609600</xdr:colOff>
                    <xdr:row>52</xdr:row>
                    <xdr:rowOff>209550</xdr:rowOff>
                  </to>
                </anchor>
              </controlPr>
            </control>
          </mc:Choice>
        </mc:AlternateContent>
        <mc:AlternateContent xmlns:mc="http://schemas.openxmlformats.org/markup-compatibility/2006">
          <mc:Choice Requires="x14">
            <control shapeId="50197" r:id="rId20" name="Button 21">
              <controlPr defaultSize="0" print="0" autoFill="0" autoPict="0" macro="[0]!DeleteRow">
                <anchor moveWithCells="1">
                  <from>
                    <xdr:col>0</xdr:col>
                    <xdr:colOff>66675</xdr:colOff>
                    <xdr:row>52</xdr:row>
                    <xdr:rowOff>219075</xdr:rowOff>
                  </from>
                  <to>
                    <xdr:col>0</xdr:col>
                    <xdr:colOff>609600</xdr:colOff>
                    <xdr:row>53</xdr:row>
                    <xdr:rowOff>171450</xdr:rowOff>
                  </to>
                </anchor>
              </controlPr>
            </control>
          </mc:Choice>
        </mc:AlternateContent>
        <mc:AlternateContent xmlns:mc="http://schemas.openxmlformats.org/markup-compatibility/2006">
          <mc:Choice Requires="x14">
            <control shapeId="50198" r:id="rId21" name="Button 22">
              <controlPr defaultSize="0" print="0" autoFill="0" autoPict="0" macro="[0]!AddRow">
                <anchor moveWithCells="1">
                  <from>
                    <xdr:col>0</xdr:col>
                    <xdr:colOff>66675</xdr:colOff>
                    <xdr:row>57</xdr:row>
                    <xdr:rowOff>66675</xdr:rowOff>
                  </from>
                  <to>
                    <xdr:col>0</xdr:col>
                    <xdr:colOff>609600</xdr:colOff>
                    <xdr:row>58</xdr:row>
                    <xdr:rowOff>19050</xdr:rowOff>
                  </to>
                </anchor>
              </controlPr>
            </control>
          </mc:Choice>
        </mc:AlternateContent>
        <mc:AlternateContent xmlns:mc="http://schemas.openxmlformats.org/markup-compatibility/2006">
          <mc:Choice Requires="x14">
            <control shapeId="50199" r:id="rId22" name="Button 23">
              <controlPr defaultSize="0" print="0" autoFill="0" autoPict="0" macro="[0]!DeleteRow">
                <anchor moveWithCells="1">
                  <from>
                    <xdr:col>0</xdr:col>
                    <xdr:colOff>66675</xdr:colOff>
                    <xdr:row>58</xdr:row>
                    <xdr:rowOff>28575</xdr:rowOff>
                  </from>
                  <to>
                    <xdr:col>0</xdr:col>
                    <xdr:colOff>609600</xdr:colOff>
                    <xdr:row>58</xdr:row>
                    <xdr:rowOff>209550</xdr:rowOff>
                  </to>
                </anchor>
              </controlPr>
            </control>
          </mc:Choice>
        </mc:AlternateContent>
        <mc:AlternateContent xmlns:mc="http://schemas.openxmlformats.org/markup-compatibility/2006">
          <mc:Choice Requires="x14">
            <control shapeId="50200" r:id="rId23" name="Button 24">
              <controlPr defaultSize="0" print="0" autoFill="0" autoPict="0" macro="[0]!AddRow">
                <anchor moveWithCells="1">
                  <from>
                    <xdr:col>0</xdr:col>
                    <xdr:colOff>66675</xdr:colOff>
                    <xdr:row>61</xdr:row>
                    <xdr:rowOff>28575</xdr:rowOff>
                  </from>
                  <to>
                    <xdr:col>0</xdr:col>
                    <xdr:colOff>609600</xdr:colOff>
                    <xdr:row>61</xdr:row>
                    <xdr:rowOff>209550</xdr:rowOff>
                  </to>
                </anchor>
              </controlPr>
            </control>
          </mc:Choice>
        </mc:AlternateContent>
        <mc:AlternateContent xmlns:mc="http://schemas.openxmlformats.org/markup-compatibility/2006">
          <mc:Choice Requires="x14">
            <control shapeId="50201" r:id="rId24" name="Button 25">
              <controlPr defaultSize="0" print="0" autoFill="0" autoPict="0" macro="[0]!DeleteRow">
                <anchor moveWithCells="1">
                  <from>
                    <xdr:col>0</xdr:col>
                    <xdr:colOff>66675</xdr:colOff>
                    <xdr:row>61</xdr:row>
                    <xdr:rowOff>219075</xdr:rowOff>
                  </from>
                  <to>
                    <xdr:col>0</xdr:col>
                    <xdr:colOff>609600</xdr:colOff>
                    <xdr:row>62</xdr:row>
                    <xdr:rowOff>171450</xdr:rowOff>
                  </to>
                </anchor>
              </controlPr>
            </control>
          </mc:Choice>
        </mc:AlternateContent>
        <mc:AlternateContent xmlns:mc="http://schemas.openxmlformats.org/markup-compatibility/2006">
          <mc:Choice Requires="x14">
            <control shapeId="50204" r:id="rId25" name="Button 28">
              <controlPr defaultSize="0" print="0" autoFill="0" autoPict="0" macro="[0]!AddRow">
                <anchor moveWithCells="1">
                  <from>
                    <xdr:col>0</xdr:col>
                    <xdr:colOff>66675</xdr:colOff>
                    <xdr:row>71</xdr:row>
                    <xdr:rowOff>9525</xdr:rowOff>
                  </from>
                  <to>
                    <xdr:col>0</xdr:col>
                    <xdr:colOff>609600</xdr:colOff>
                    <xdr:row>71</xdr:row>
                    <xdr:rowOff>190500</xdr:rowOff>
                  </to>
                </anchor>
              </controlPr>
            </control>
          </mc:Choice>
        </mc:AlternateContent>
        <mc:AlternateContent xmlns:mc="http://schemas.openxmlformats.org/markup-compatibility/2006">
          <mc:Choice Requires="x14">
            <control shapeId="50205" r:id="rId26" name="Button 29">
              <controlPr defaultSize="0" print="0" autoFill="0" autoPict="0" macro="[0]!DeleteRow">
                <anchor moveWithCells="1">
                  <from>
                    <xdr:col>0</xdr:col>
                    <xdr:colOff>66675</xdr:colOff>
                    <xdr:row>71</xdr:row>
                    <xdr:rowOff>200025</xdr:rowOff>
                  </from>
                  <to>
                    <xdr:col>0</xdr:col>
                    <xdr:colOff>609600</xdr:colOff>
                    <xdr:row>72</xdr:row>
                    <xdr:rowOff>152400</xdr:rowOff>
                  </to>
                </anchor>
              </controlPr>
            </control>
          </mc:Choice>
        </mc:AlternateContent>
        <mc:AlternateContent xmlns:mc="http://schemas.openxmlformats.org/markup-compatibility/2006">
          <mc:Choice Requires="x14">
            <control shapeId="50206" r:id="rId27" name="Button 30">
              <controlPr defaultSize="0" print="0" autoFill="0" autoPict="0" macro="[0]!AddRow">
                <anchor moveWithCells="1">
                  <from>
                    <xdr:col>0</xdr:col>
                    <xdr:colOff>66675</xdr:colOff>
                    <xdr:row>75</xdr:row>
                    <xdr:rowOff>28575</xdr:rowOff>
                  </from>
                  <to>
                    <xdr:col>0</xdr:col>
                    <xdr:colOff>609600</xdr:colOff>
                    <xdr:row>75</xdr:row>
                    <xdr:rowOff>209550</xdr:rowOff>
                  </to>
                </anchor>
              </controlPr>
            </control>
          </mc:Choice>
        </mc:AlternateContent>
        <mc:AlternateContent xmlns:mc="http://schemas.openxmlformats.org/markup-compatibility/2006">
          <mc:Choice Requires="x14">
            <control shapeId="50207" r:id="rId28" name="Button 31">
              <controlPr defaultSize="0" print="0" autoFill="0" autoPict="0" macro="[0]!DeleteRow">
                <anchor moveWithCells="1">
                  <from>
                    <xdr:col>0</xdr:col>
                    <xdr:colOff>66675</xdr:colOff>
                    <xdr:row>75</xdr:row>
                    <xdr:rowOff>219075</xdr:rowOff>
                  </from>
                  <to>
                    <xdr:col>0</xdr:col>
                    <xdr:colOff>609600</xdr:colOff>
                    <xdr:row>76</xdr:row>
                    <xdr:rowOff>171450</xdr:rowOff>
                  </to>
                </anchor>
              </controlPr>
            </control>
          </mc:Choice>
        </mc:AlternateContent>
        <mc:AlternateContent xmlns:mc="http://schemas.openxmlformats.org/markup-compatibility/2006">
          <mc:Choice Requires="x14">
            <control shapeId="50208" r:id="rId29" name="Button 32">
              <controlPr defaultSize="0" print="0" autoFill="0" autoPict="0" macro="[0]!AddRow">
                <anchor moveWithCells="1">
                  <from>
                    <xdr:col>0</xdr:col>
                    <xdr:colOff>66675</xdr:colOff>
                    <xdr:row>80</xdr:row>
                    <xdr:rowOff>57150</xdr:rowOff>
                  </from>
                  <to>
                    <xdr:col>0</xdr:col>
                    <xdr:colOff>609600</xdr:colOff>
                    <xdr:row>81</xdr:row>
                    <xdr:rowOff>9525</xdr:rowOff>
                  </to>
                </anchor>
              </controlPr>
            </control>
          </mc:Choice>
        </mc:AlternateContent>
        <mc:AlternateContent xmlns:mc="http://schemas.openxmlformats.org/markup-compatibility/2006">
          <mc:Choice Requires="x14">
            <control shapeId="50209" r:id="rId30" name="Button 33">
              <controlPr defaultSize="0" print="0" autoFill="0" autoPict="0" macro="[0]!DeleteRow">
                <anchor moveWithCells="1">
                  <from>
                    <xdr:col>0</xdr:col>
                    <xdr:colOff>66675</xdr:colOff>
                    <xdr:row>81</xdr:row>
                    <xdr:rowOff>19050</xdr:rowOff>
                  </from>
                  <to>
                    <xdr:col>0</xdr:col>
                    <xdr:colOff>609600</xdr:colOff>
                    <xdr:row>81</xdr:row>
                    <xdr:rowOff>200025</xdr:rowOff>
                  </to>
                </anchor>
              </controlPr>
            </control>
          </mc:Choice>
        </mc:AlternateContent>
        <mc:AlternateContent xmlns:mc="http://schemas.openxmlformats.org/markup-compatibility/2006">
          <mc:Choice Requires="x14">
            <control shapeId="50210" r:id="rId31" name="Button 34">
              <controlPr defaultSize="0" print="0" autoFill="0" autoPict="0" macro="[0]!AddRow">
                <anchor moveWithCells="1">
                  <from>
                    <xdr:col>0</xdr:col>
                    <xdr:colOff>66675</xdr:colOff>
                    <xdr:row>85</xdr:row>
                    <xdr:rowOff>57150</xdr:rowOff>
                  </from>
                  <to>
                    <xdr:col>0</xdr:col>
                    <xdr:colOff>609600</xdr:colOff>
                    <xdr:row>86</xdr:row>
                    <xdr:rowOff>9525</xdr:rowOff>
                  </to>
                </anchor>
              </controlPr>
            </control>
          </mc:Choice>
        </mc:AlternateContent>
        <mc:AlternateContent xmlns:mc="http://schemas.openxmlformats.org/markup-compatibility/2006">
          <mc:Choice Requires="x14">
            <control shapeId="50211" r:id="rId32" name="Button 35">
              <controlPr defaultSize="0" print="0" autoFill="0" autoPict="0" macro="[0]!DeleteRow">
                <anchor moveWithCells="1">
                  <from>
                    <xdr:col>0</xdr:col>
                    <xdr:colOff>66675</xdr:colOff>
                    <xdr:row>86</xdr:row>
                    <xdr:rowOff>19050</xdr:rowOff>
                  </from>
                  <to>
                    <xdr:col>0</xdr:col>
                    <xdr:colOff>609600</xdr:colOff>
                    <xdr:row>86</xdr:row>
                    <xdr:rowOff>200025</xdr:rowOff>
                  </to>
                </anchor>
              </controlPr>
            </control>
          </mc:Choice>
        </mc:AlternateContent>
        <mc:AlternateContent xmlns:mc="http://schemas.openxmlformats.org/markup-compatibility/2006">
          <mc:Choice Requires="x14">
            <control shapeId="50212" r:id="rId33" name="Button 36">
              <controlPr defaultSize="0" print="0" autoFill="0" autoPict="0" macro="[0]!AddRow">
                <anchor moveWithCells="1">
                  <from>
                    <xdr:col>0</xdr:col>
                    <xdr:colOff>66675</xdr:colOff>
                    <xdr:row>90</xdr:row>
                    <xdr:rowOff>57150</xdr:rowOff>
                  </from>
                  <to>
                    <xdr:col>0</xdr:col>
                    <xdr:colOff>609600</xdr:colOff>
                    <xdr:row>91</xdr:row>
                    <xdr:rowOff>9525</xdr:rowOff>
                  </to>
                </anchor>
              </controlPr>
            </control>
          </mc:Choice>
        </mc:AlternateContent>
        <mc:AlternateContent xmlns:mc="http://schemas.openxmlformats.org/markup-compatibility/2006">
          <mc:Choice Requires="x14">
            <control shapeId="50213" r:id="rId34" name="Button 37">
              <controlPr defaultSize="0" print="0" autoFill="0" autoPict="0" macro="[0]!DeleteRow">
                <anchor moveWithCells="1">
                  <from>
                    <xdr:col>0</xdr:col>
                    <xdr:colOff>66675</xdr:colOff>
                    <xdr:row>91</xdr:row>
                    <xdr:rowOff>19050</xdr:rowOff>
                  </from>
                  <to>
                    <xdr:col>0</xdr:col>
                    <xdr:colOff>609600</xdr:colOff>
                    <xdr:row>91</xdr:row>
                    <xdr:rowOff>200025</xdr:rowOff>
                  </to>
                </anchor>
              </controlPr>
            </control>
          </mc:Choice>
        </mc:AlternateContent>
        <mc:AlternateContent xmlns:mc="http://schemas.openxmlformats.org/markup-compatibility/2006">
          <mc:Choice Requires="x14">
            <control shapeId="50214" r:id="rId35" name="Button 38">
              <controlPr defaultSize="0" print="0" autoFill="0" autoPict="0" macro="[0]!AddRow">
                <anchor moveWithCells="1">
                  <from>
                    <xdr:col>0</xdr:col>
                    <xdr:colOff>66675</xdr:colOff>
                    <xdr:row>96</xdr:row>
                    <xdr:rowOff>47625</xdr:rowOff>
                  </from>
                  <to>
                    <xdr:col>0</xdr:col>
                    <xdr:colOff>609600</xdr:colOff>
                    <xdr:row>96</xdr:row>
                    <xdr:rowOff>228600</xdr:rowOff>
                  </to>
                </anchor>
              </controlPr>
            </control>
          </mc:Choice>
        </mc:AlternateContent>
        <mc:AlternateContent xmlns:mc="http://schemas.openxmlformats.org/markup-compatibility/2006">
          <mc:Choice Requires="x14">
            <control shapeId="50215" r:id="rId36" name="Button 39">
              <controlPr defaultSize="0" print="0" autoFill="0" autoPict="0" macro="[0]!DeleteRow">
                <anchor moveWithCells="1">
                  <from>
                    <xdr:col>0</xdr:col>
                    <xdr:colOff>66675</xdr:colOff>
                    <xdr:row>97</xdr:row>
                    <xdr:rowOff>9525</xdr:rowOff>
                  </from>
                  <to>
                    <xdr:col>0</xdr:col>
                    <xdr:colOff>609600</xdr:colOff>
                    <xdr:row>97</xdr:row>
                    <xdr:rowOff>190500</xdr:rowOff>
                  </to>
                </anchor>
              </controlPr>
            </control>
          </mc:Choice>
        </mc:AlternateContent>
        <mc:AlternateContent xmlns:mc="http://schemas.openxmlformats.org/markup-compatibility/2006">
          <mc:Choice Requires="x14">
            <control shapeId="50216" r:id="rId37" name="Button 40">
              <controlPr defaultSize="0" print="0" autoFill="0" autoPict="0" macro="[0]!AddRow">
                <anchor moveWithCells="1">
                  <from>
                    <xdr:col>0</xdr:col>
                    <xdr:colOff>66675</xdr:colOff>
                    <xdr:row>100</xdr:row>
                    <xdr:rowOff>19050</xdr:rowOff>
                  </from>
                  <to>
                    <xdr:col>0</xdr:col>
                    <xdr:colOff>609600</xdr:colOff>
                    <xdr:row>100</xdr:row>
                    <xdr:rowOff>200025</xdr:rowOff>
                  </to>
                </anchor>
              </controlPr>
            </control>
          </mc:Choice>
        </mc:AlternateContent>
        <mc:AlternateContent xmlns:mc="http://schemas.openxmlformats.org/markup-compatibility/2006">
          <mc:Choice Requires="x14">
            <control shapeId="50217" r:id="rId38" name="Button 41">
              <controlPr defaultSize="0" print="0" autoFill="0" autoPict="0" macro="[0]!DeleteRow">
                <anchor moveWithCells="1">
                  <from>
                    <xdr:col>0</xdr:col>
                    <xdr:colOff>66675</xdr:colOff>
                    <xdr:row>100</xdr:row>
                    <xdr:rowOff>209550</xdr:rowOff>
                  </from>
                  <to>
                    <xdr:col>0</xdr:col>
                    <xdr:colOff>609600</xdr:colOff>
                    <xdr:row>101</xdr:row>
                    <xdr:rowOff>161925</xdr:rowOff>
                  </to>
                </anchor>
              </controlPr>
            </control>
          </mc:Choice>
        </mc:AlternateContent>
        <mc:AlternateContent xmlns:mc="http://schemas.openxmlformats.org/markup-compatibility/2006">
          <mc:Choice Requires="x14">
            <control shapeId="50218" r:id="rId39" name="Button 42">
              <controlPr defaultSize="0" print="0" autoFill="0" autoPict="0" macro="[0]!AddRow">
                <anchor moveWithCells="1">
                  <from>
                    <xdr:col>0</xdr:col>
                    <xdr:colOff>66675</xdr:colOff>
                    <xdr:row>105</xdr:row>
                    <xdr:rowOff>19050</xdr:rowOff>
                  </from>
                  <to>
                    <xdr:col>0</xdr:col>
                    <xdr:colOff>609600</xdr:colOff>
                    <xdr:row>105</xdr:row>
                    <xdr:rowOff>200025</xdr:rowOff>
                  </to>
                </anchor>
              </controlPr>
            </control>
          </mc:Choice>
        </mc:AlternateContent>
        <mc:AlternateContent xmlns:mc="http://schemas.openxmlformats.org/markup-compatibility/2006">
          <mc:Choice Requires="x14">
            <control shapeId="50219" r:id="rId40" name="Button 43">
              <controlPr defaultSize="0" print="0" autoFill="0" autoPict="0" macro="[0]!DeleteRow">
                <anchor moveWithCells="1">
                  <from>
                    <xdr:col>0</xdr:col>
                    <xdr:colOff>66675</xdr:colOff>
                    <xdr:row>105</xdr:row>
                    <xdr:rowOff>209550</xdr:rowOff>
                  </from>
                  <to>
                    <xdr:col>0</xdr:col>
                    <xdr:colOff>609600</xdr:colOff>
                    <xdr:row>106</xdr:row>
                    <xdr:rowOff>161925</xdr:rowOff>
                  </to>
                </anchor>
              </controlPr>
            </control>
          </mc:Choice>
        </mc:AlternateContent>
        <mc:AlternateContent xmlns:mc="http://schemas.openxmlformats.org/markup-compatibility/2006">
          <mc:Choice Requires="x14">
            <control shapeId="50220" r:id="rId41" name="Button 44">
              <controlPr defaultSize="0" print="0" autoFill="0" autoPict="0" macro="[0]!AddRow">
                <anchor moveWithCells="1">
                  <from>
                    <xdr:col>0</xdr:col>
                    <xdr:colOff>66675</xdr:colOff>
                    <xdr:row>109</xdr:row>
                    <xdr:rowOff>95250</xdr:rowOff>
                  </from>
                  <to>
                    <xdr:col>0</xdr:col>
                    <xdr:colOff>609600</xdr:colOff>
                    <xdr:row>110</xdr:row>
                    <xdr:rowOff>47625</xdr:rowOff>
                  </to>
                </anchor>
              </controlPr>
            </control>
          </mc:Choice>
        </mc:AlternateContent>
        <mc:AlternateContent xmlns:mc="http://schemas.openxmlformats.org/markup-compatibility/2006">
          <mc:Choice Requires="x14">
            <control shapeId="50221" r:id="rId42" name="Button 45">
              <controlPr defaultSize="0" print="0" autoFill="0" autoPict="0" macro="[0]!DeleteRow">
                <anchor moveWithCells="1">
                  <from>
                    <xdr:col>0</xdr:col>
                    <xdr:colOff>66675</xdr:colOff>
                    <xdr:row>110</xdr:row>
                    <xdr:rowOff>57150</xdr:rowOff>
                  </from>
                  <to>
                    <xdr:col>0</xdr:col>
                    <xdr:colOff>609600</xdr:colOff>
                    <xdr:row>111</xdr:row>
                    <xdr:rowOff>9525</xdr:rowOff>
                  </to>
                </anchor>
              </controlPr>
            </control>
          </mc:Choice>
        </mc:AlternateContent>
        <mc:AlternateContent xmlns:mc="http://schemas.openxmlformats.org/markup-compatibility/2006">
          <mc:Choice Requires="x14">
            <control shapeId="50222" r:id="rId43" name="Button 46">
              <controlPr defaultSize="0" print="0" autoFill="0" autoPict="0" macro="[0]!AddRow">
                <anchor moveWithCells="1">
                  <from>
                    <xdr:col>0</xdr:col>
                    <xdr:colOff>66675</xdr:colOff>
                    <xdr:row>113</xdr:row>
                    <xdr:rowOff>76200</xdr:rowOff>
                  </from>
                  <to>
                    <xdr:col>0</xdr:col>
                    <xdr:colOff>609600</xdr:colOff>
                    <xdr:row>114</xdr:row>
                    <xdr:rowOff>28575</xdr:rowOff>
                  </to>
                </anchor>
              </controlPr>
            </control>
          </mc:Choice>
        </mc:AlternateContent>
        <mc:AlternateContent xmlns:mc="http://schemas.openxmlformats.org/markup-compatibility/2006">
          <mc:Choice Requires="x14">
            <control shapeId="50223" r:id="rId44" name="Button 47">
              <controlPr defaultSize="0" print="0" autoFill="0" autoPict="0" macro="[0]!DeleteRow">
                <anchor moveWithCells="1">
                  <from>
                    <xdr:col>0</xdr:col>
                    <xdr:colOff>66675</xdr:colOff>
                    <xdr:row>114</xdr:row>
                    <xdr:rowOff>38100</xdr:rowOff>
                  </from>
                  <to>
                    <xdr:col>0</xdr:col>
                    <xdr:colOff>609600</xdr:colOff>
                    <xdr:row>114</xdr:row>
                    <xdr:rowOff>219075</xdr:rowOff>
                  </to>
                </anchor>
              </controlPr>
            </control>
          </mc:Choice>
        </mc:AlternateContent>
        <mc:AlternateContent xmlns:mc="http://schemas.openxmlformats.org/markup-compatibility/2006">
          <mc:Choice Requires="x14">
            <control shapeId="50224" r:id="rId45" name="Button 48">
              <controlPr defaultSize="0" print="0" autoFill="0" autoPict="0" macro="[0]!AddRow">
                <anchor moveWithCells="1">
                  <from>
                    <xdr:col>0</xdr:col>
                    <xdr:colOff>66675</xdr:colOff>
                    <xdr:row>123</xdr:row>
                    <xdr:rowOff>38100</xdr:rowOff>
                  </from>
                  <to>
                    <xdr:col>0</xdr:col>
                    <xdr:colOff>609600</xdr:colOff>
                    <xdr:row>123</xdr:row>
                    <xdr:rowOff>219075</xdr:rowOff>
                  </to>
                </anchor>
              </controlPr>
            </control>
          </mc:Choice>
        </mc:AlternateContent>
        <mc:AlternateContent xmlns:mc="http://schemas.openxmlformats.org/markup-compatibility/2006">
          <mc:Choice Requires="x14">
            <control shapeId="50225" r:id="rId46" name="Button 49">
              <controlPr defaultSize="0" print="0" autoFill="0" autoPict="0" macro="[0]!DeleteRow">
                <anchor moveWithCells="1">
                  <from>
                    <xdr:col>0</xdr:col>
                    <xdr:colOff>66675</xdr:colOff>
                    <xdr:row>124</xdr:row>
                    <xdr:rowOff>0</xdr:rowOff>
                  </from>
                  <to>
                    <xdr:col>0</xdr:col>
                    <xdr:colOff>609600</xdr:colOff>
                    <xdr:row>124</xdr:row>
                    <xdr:rowOff>180975</xdr:rowOff>
                  </to>
                </anchor>
              </controlPr>
            </control>
          </mc:Choice>
        </mc:AlternateContent>
        <mc:AlternateContent xmlns:mc="http://schemas.openxmlformats.org/markup-compatibility/2006">
          <mc:Choice Requires="x14">
            <control shapeId="50226" r:id="rId47" name="Button 50">
              <controlPr defaultSize="0" print="0" autoFill="0" autoPict="0" macro="[0]!AddRow">
                <anchor moveWithCells="1">
                  <from>
                    <xdr:col>0</xdr:col>
                    <xdr:colOff>66675</xdr:colOff>
                    <xdr:row>127</xdr:row>
                    <xdr:rowOff>57150</xdr:rowOff>
                  </from>
                  <to>
                    <xdr:col>0</xdr:col>
                    <xdr:colOff>609600</xdr:colOff>
                    <xdr:row>128</xdr:row>
                    <xdr:rowOff>9525</xdr:rowOff>
                  </to>
                </anchor>
              </controlPr>
            </control>
          </mc:Choice>
        </mc:AlternateContent>
        <mc:AlternateContent xmlns:mc="http://schemas.openxmlformats.org/markup-compatibility/2006">
          <mc:Choice Requires="x14">
            <control shapeId="50227" r:id="rId48" name="Button 51">
              <controlPr defaultSize="0" print="0" autoFill="0" autoPict="0" macro="[0]!DeleteRow">
                <anchor moveWithCells="1">
                  <from>
                    <xdr:col>0</xdr:col>
                    <xdr:colOff>66675</xdr:colOff>
                    <xdr:row>128</xdr:row>
                    <xdr:rowOff>19050</xdr:rowOff>
                  </from>
                  <to>
                    <xdr:col>0</xdr:col>
                    <xdr:colOff>609600</xdr:colOff>
                    <xdr:row>128</xdr:row>
                    <xdr:rowOff>200025</xdr:rowOff>
                  </to>
                </anchor>
              </controlPr>
            </control>
          </mc:Choice>
        </mc:AlternateContent>
        <mc:AlternateContent xmlns:mc="http://schemas.openxmlformats.org/markup-compatibility/2006">
          <mc:Choice Requires="x14">
            <control shapeId="50228" r:id="rId49" name="Button 52">
              <controlPr defaultSize="0" print="0" autoFill="0" autoPict="0" macro="[0]!AddRow">
                <anchor moveWithCells="1">
                  <from>
                    <xdr:col>0</xdr:col>
                    <xdr:colOff>66675</xdr:colOff>
                    <xdr:row>132</xdr:row>
                    <xdr:rowOff>47625</xdr:rowOff>
                  </from>
                  <to>
                    <xdr:col>0</xdr:col>
                    <xdr:colOff>609600</xdr:colOff>
                    <xdr:row>132</xdr:row>
                    <xdr:rowOff>228600</xdr:rowOff>
                  </to>
                </anchor>
              </controlPr>
            </control>
          </mc:Choice>
        </mc:AlternateContent>
        <mc:AlternateContent xmlns:mc="http://schemas.openxmlformats.org/markup-compatibility/2006">
          <mc:Choice Requires="x14">
            <control shapeId="50229" r:id="rId50" name="Button 53">
              <controlPr defaultSize="0" print="0" autoFill="0" autoPict="0" macro="[0]!DeleteRow">
                <anchor moveWithCells="1">
                  <from>
                    <xdr:col>0</xdr:col>
                    <xdr:colOff>66675</xdr:colOff>
                    <xdr:row>133</xdr:row>
                    <xdr:rowOff>9525</xdr:rowOff>
                  </from>
                  <to>
                    <xdr:col>0</xdr:col>
                    <xdr:colOff>609600</xdr:colOff>
                    <xdr:row>133</xdr:row>
                    <xdr:rowOff>190500</xdr:rowOff>
                  </to>
                </anchor>
              </controlPr>
            </control>
          </mc:Choice>
        </mc:AlternateContent>
        <mc:AlternateContent xmlns:mc="http://schemas.openxmlformats.org/markup-compatibility/2006">
          <mc:Choice Requires="x14">
            <control shapeId="50230" r:id="rId51" name="Button 54">
              <controlPr defaultSize="0" print="0" autoFill="0" autoPict="0" macro="[0]!AddRow">
                <anchor moveWithCells="1">
                  <from>
                    <xdr:col>0</xdr:col>
                    <xdr:colOff>66675</xdr:colOff>
                    <xdr:row>156</xdr:row>
                    <xdr:rowOff>38100</xdr:rowOff>
                  </from>
                  <to>
                    <xdr:col>0</xdr:col>
                    <xdr:colOff>609600</xdr:colOff>
                    <xdr:row>156</xdr:row>
                    <xdr:rowOff>219075</xdr:rowOff>
                  </to>
                </anchor>
              </controlPr>
            </control>
          </mc:Choice>
        </mc:AlternateContent>
        <mc:AlternateContent xmlns:mc="http://schemas.openxmlformats.org/markup-compatibility/2006">
          <mc:Choice Requires="x14">
            <control shapeId="50231" r:id="rId52" name="Button 55">
              <controlPr defaultSize="0" print="0" autoFill="0" autoPict="0" macro="[0]!DeleteRow">
                <anchor moveWithCells="1">
                  <from>
                    <xdr:col>0</xdr:col>
                    <xdr:colOff>66675</xdr:colOff>
                    <xdr:row>157</xdr:row>
                    <xdr:rowOff>0</xdr:rowOff>
                  </from>
                  <to>
                    <xdr:col>0</xdr:col>
                    <xdr:colOff>609600</xdr:colOff>
                    <xdr:row>157</xdr:row>
                    <xdr:rowOff>180975</xdr:rowOff>
                  </to>
                </anchor>
              </controlPr>
            </control>
          </mc:Choice>
        </mc:AlternateContent>
        <mc:AlternateContent xmlns:mc="http://schemas.openxmlformats.org/markup-compatibility/2006">
          <mc:Choice Requires="x14">
            <control shapeId="50232" r:id="rId53" name="Button 56">
              <controlPr defaultSize="0" print="0" autoFill="0" autoPict="0" macro="[0]!AddRow">
                <anchor moveWithCells="1">
                  <from>
                    <xdr:col>0</xdr:col>
                    <xdr:colOff>66675</xdr:colOff>
                    <xdr:row>163</xdr:row>
                    <xdr:rowOff>76200</xdr:rowOff>
                  </from>
                  <to>
                    <xdr:col>0</xdr:col>
                    <xdr:colOff>609600</xdr:colOff>
                    <xdr:row>164</xdr:row>
                    <xdr:rowOff>28575</xdr:rowOff>
                  </to>
                </anchor>
              </controlPr>
            </control>
          </mc:Choice>
        </mc:AlternateContent>
        <mc:AlternateContent xmlns:mc="http://schemas.openxmlformats.org/markup-compatibility/2006">
          <mc:Choice Requires="x14">
            <control shapeId="50233" r:id="rId54" name="Button 57">
              <controlPr defaultSize="0" print="0" autoFill="0" autoPict="0" macro="[0]!DeleteRow">
                <anchor moveWithCells="1">
                  <from>
                    <xdr:col>0</xdr:col>
                    <xdr:colOff>66675</xdr:colOff>
                    <xdr:row>164</xdr:row>
                    <xdr:rowOff>38100</xdr:rowOff>
                  </from>
                  <to>
                    <xdr:col>0</xdr:col>
                    <xdr:colOff>609600</xdr:colOff>
                    <xdr:row>164</xdr:row>
                    <xdr:rowOff>219075</xdr:rowOff>
                  </to>
                </anchor>
              </controlPr>
            </control>
          </mc:Choice>
        </mc:AlternateContent>
        <mc:AlternateContent xmlns:mc="http://schemas.openxmlformats.org/markup-compatibility/2006">
          <mc:Choice Requires="x14">
            <control shapeId="15" r:id="rId55" name="Button 64">
              <controlPr defaultSize="0" print="0" autoFill="0" autoPict="0" macro="[0]!AddRow">
                <anchor moveWithCells="1" sizeWithCells="1">
                  <from>
                    <xdr:col>0</xdr:col>
                    <xdr:colOff>66675</xdr:colOff>
                    <xdr:row>197</xdr:row>
                    <xdr:rowOff>38100</xdr:rowOff>
                  </from>
                  <to>
                    <xdr:col>0</xdr:col>
                    <xdr:colOff>609600</xdr:colOff>
                    <xdr:row>197</xdr:row>
                    <xdr:rowOff>219075</xdr:rowOff>
                  </to>
                </anchor>
              </controlPr>
            </control>
          </mc:Choice>
        </mc:AlternateContent>
        <mc:AlternateContent xmlns:mc="http://schemas.openxmlformats.org/markup-compatibility/2006">
          <mc:Choice Requires="x14">
            <control shapeId="32" r:id="rId56" name="Button 65">
              <controlPr defaultSize="0" print="0" autoFill="0" autoPict="0" macro="[0]!DeleteRow">
                <anchor moveWithCells="1" sizeWithCells="1">
                  <from>
                    <xdr:col>0</xdr:col>
                    <xdr:colOff>66675</xdr:colOff>
                    <xdr:row>198</xdr:row>
                    <xdr:rowOff>0</xdr:rowOff>
                  </from>
                  <to>
                    <xdr:col>0</xdr:col>
                    <xdr:colOff>609600</xdr:colOff>
                    <xdr:row>198</xdr:row>
                    <xdr:rowOff>180975</xdr:rowOff>
                  </to>
                </anchor>
              </controlPr>
            </control>
          </mc:Choice>
        </mc:AlternateContent>
        <mc:AlternateContent xmlns:mc="http://schemas.openxmlformats.org/markup-compatibility/2006">
          <mc:Choice Requires="x14">
            <control shapeId="33" r:id="rId57" name="Button 68">
              <controlPr defaultSize="0" print="0" autoFill="0" autoPict="0" macro="[0]!AddRow">
                <anchor moveWithCells="1" sizeWithCells="1">
                  <from>
                    <xdr:col>0</xdr:col>
                    <xdr:colOff>66675</xdr:colOff>
                    <xdr:row>172</xdr:row>
                    <xdr:rowOff>38100</xdr:rowOff>
                  </from>
                  <to>
                    <xdr:col>0</xdr:col>
                    <xdr:colOff>609600</xdr:colOff>
                    <xdr:row>172</xdr:row>
                    <xdr:rowOff>219075</xdr:rowOff>
                  </to>
                </anchor>
              </controlPr>
            </control>
          </mc:Choice>
        </mc:AlternateContent>
        <mc:AlternateContent xmlns:mc="http://schemas.openxmlformats.org/markup-compatibility/2006">
          <mc:Choice Requires="x14">
            <control shapeId="34" r:id="rId58" name="Button 69">
              <controlPr defaultSize="0" print="0" autoFill="0" autoPict="0" macro="[0]!DeleteRow">
                <anchor moveWithCells="1" sizeWithCells="1">
                  <from>
                    <xdr:col>0</xdr:col>
                    <xdr:colOff>66675</xdr:colOff>
                    <xdr:row>173</xdr:row>
                    <xdr:rowOff>0</xdr:rowOff>
                  </from>
                  <to>
                    <xdr:col>0</xdr:col>
                    <xdr:colOff>609600</xdr:colOff>
                    <xdr:row>173</xdr:row>
                    <xdr:rowOff>180975</xdr:rowOff>
                  </to>
                </anchor>
              </controlPr>
            </control>
          </mc:Choice>
        </mc:AlternateContent>
        <mc:AlternateContent xmlns:mc="http://schemas.openxmlformats.org/markup-compatibility/2006">
          <mc:Choice Requires="x14">
            <control shapeId="35" r:id="rId59" name="Button 73">
              <controlPr defaultSize="0" print="0" autoFill="0" autoPict="0" macro="[0]!AddRow">
                <anchor moveWithCells="1" sizeWithCells="1">
                  <from>
                    <xdr:col>0</xdr:col>
                    <xdr:colOff>66675</xdr:colOff>
                    <xdr:row>177</xdr:row>
                    <xdr:rowOff>38100</xdr:rowOff>
                  </from>
                  <to>
                    <xdr:col>0</xdr:col>
                    <xdr:colOff>609600</xdr:colOff>
                    <xdr:row>177</xdr:row>
                    <xdr:rowOff>219075</xdr:rowOff>
                  </to>
                </anchor>
              </controlPr>
            </control>
          </mc:Choice>
        </mc:AlternateContent>
        <mc:AlternateContent xmlns:mc="http://schemas.openxmlformats.org/markup-compatibility/2006">
          <mc:Choice Requires="x14">
            <control shapeId="36" r:id="rId60" name="Button 74">
              <controlPr defaultSize="0" print="0" autoFill="0" autoPict="0" macro="[0]!DeleteRow">
                <anchor moveWithCells="1" sizeWithCells="1">
                  <from>
                    <xdr:col>0</xdr:col>
                    <xdr:colOff>66675</xdr:colOff>
                    <xdr:row>178</xdr:row>
                    <xdr:rowOff>0</xdr:rowOff>
                  </from>
                  <to>
                    <xdr:col>0</xdr:col>
                    <xdr:colOff>609600</xdr:colOff>
                    <xdr:row>178</xdr:row>
                    <xdr:rowOff>180975</xdr:rowOff>
                  </to>
                </anchor>
              </controlPr>
            </control>
          </mc:Choice>
        </mc:AlternateContent>
        <mc:AlternateContent xmlns:mc="http://schemas.openxmlformats.org/markup-compatibility/2006">
          <mc:Choice Requires="x14">
            <control shapeId="37" r:id="rId61" name="Button 89">
              <controlPr defaultSize="0" print="0" autoFill="0" autoPict="0" macro="[0]!AddRow">
                <anchor moveWithCells="1" sizeWithCells="1">
                  <from>
                    <xdr:col>0</xdr:col>
                    <xdr:colOff>66675</xdr:colOff>
                    <xdr:row>182</xdr:row>
                    <xdr:rowOff>38100</xdr:rowOff>
                  </from>
                  <to>
                    <xdr:col>0</xdr:col>
                    <xdr:colOff>609600</xdr:colOff>
                    <xdr:row>182</xdr:row>
                    <xdr:rowOff>219075</xdr:rowOff>
                  </to>
                </anchor>
              </controlPr>
            </control>
          </mc:Choice>
        </mc:AlternateContent>
        <mc:AlternateContent xmlns:mc="http://schemas.openxmlformats.org/markup-compatibility/2006">
          <mc:Choice Requires="x14">
            <control shapeId="38" r:id="rId62" name="Button 90">
              <controlPr defaultSize="0" print="0" autoFill="0" autoPict="0" macro="[0]!DeleteRow">
                <anchor moveWithCells="1" sizeWithCells="1">
                  <from>
                    <xdr:col>0</xdr:col>
                    <xdr:colOff>66675</xdr:colOff>
                    <xdr:row>183</xdr:row>
                    <xdr:rowOff>0</xdr:rowOff>
                  </from>
                  <to>
                    <xdr:col>0</xdr:col>
                    <xdr:colOff>609600</xdr:colOff>
                    <xdr:row>183</xdr:row>
                    <xdr:rowOff>180975</xdr:rowOff>
                  </to>
                </anchor>
              </controlPr>
            </control>
          </mc:Choice>
        </mc:AlternateContent>
        <mc:AlternateContent xmlns:mc="http://schemas.openxmlformats.org/markup-compatibility/2006">
          <mc:Choice Requires="x14">
            <control shapeId="50271" r:id="rId63" name="Button 95">
              <controlPr defaultSize="0" print="0" autoFill="0" autoPict="0" macro="[0]!AddRow">
                <anchor moveWithCells="1" sizeWithCells="1">
                  <from>
                    <xdr:col>0</xdr:col>
                    <xdr:colOff>590550</xdr:colOff>
                    <xdr:row>187</xdr:row>
                    <xdr:rowOff>0</xdr:rowOff>
                  </from>
                  <to>
                    <xdr:col>0</xdr:col>
                    <xdr:colOff>609600</xdr:colOff>
                    <xdr:row>187</xdr:row>
                    <xdr:rowOff>0</xdr:rowOff>
                  </to>
                </anchor>
              </controlPr>
            </control>
          </mc:Choice>
        </mc:AlternateContent>
        <mc:AlternateContent xmlns:mc="http://schemas.openxmlformats.org/markup-compatibility/2006">
          <mc:Choice Requires="x14">
            <control shapeId="50272" r:id="rId64" name="Button 96">
              <controlPr defaultSize="0" print="0" autoFill="0" autoPict="0" macro="[0]!DeleteRow">
                <anchor moveWithCells="1" sizeWithCells="1">
                  <from>
                    <xdr:col>0</xdr:col>
                    <xdr:colOff>66675</xdr:colOff>
                    <xdr:row>187</xdr:row>
                    <xdr:rowOff>0</xdr:rowOff>
                  </from>
                  <to>
                    <xdr:col>0</xdr:col>
                    <xdr:colOff>85725</xdr:colOff>
                    <xdr:row>187</xdr:row>
                    <xdr:rowOff>0</xdr:rowOff>
                  </to>
                </anchor>
              </controlPr>
            </control>
          </mc:Choice>
        </mc:AlternateContent>
        <mc:AlternateContent xmlns:mc="http://schemas.openxmlformats.org/markup-compatibility/2006">
          <mc:Choice Requires="x14">
            <control shapeId="39" r:id="rId65" name="Button 101">
              <controlPr defaultSize="0" print="0" autoFill="0" autoPict="0" macro="[0]!AddRow">
                <anchor moveWithCells="1" sizeWithCells="1">
                  <from>
                    <xdr:col>0</xdr:col>
                    <xdr:colOff>66675</xdr:colOff>
                    <xdr:row>187</xdr:row>
                    <xdr:rowOff>38100</xdr:rowOff>
                  </from>
                  <to>
                    <xdr:col>0</xdr:col>
                    <xdr:colOff>609600</xdr:colOff>
                    <xdr:row>187</xdr:row>
                    <xdr:rowOff>219075</xdr:rowOff>
                  </to>
                </anchor>
              </controlPr>
            </control>
          </mc:Choice>
        </mc:AlternateContent>
        <mc:AlternateContent xmlns:mc="http://schemas.openxmlformats.org/markup-compatibility/2006">
          <mc:Choice Requires="x14">
            <control shapeId="40" r:id="rId66" name="Button 102">
              <controlPr defaultSize="0" print="0" autoFill="0" autoPict="0" macro="[0]!DeleteRow">
                <anchor moveWithCells="1" sizeWithCells="1">
                  <from>
                    <xdr:col>0</xdr:col>
                    <xdr:colOff>66675</xdr:colOff>
                    <xdr:row>188</xdr:row>
                    <xdr:rowOff>0</xdr:rowOff>
                  </from>
                  <to>
                    <xdr:col>0</xdr:col>
                    <xdr:colOff>609600</xdr:colOff>
                    <xdr:row>188</xdr:row>
                    <xdr:rowOff>180975</xdr:rowOff>
                  </to>
                </anchor>
              </controlPr>
            </control>
          </mc:Choice>
        </mc:AlternateContent>
        <mc:AlternateContent xmlns:mc="http://schemas.openxmlformats.org/markup-compatibility/2006">
          <mc:Choice Requires="x14">
            <control shapeId="41" r:id="rId67" name="Button 107">
              <controlPr defaultSize="0" print="0" autoFill="0" autoPict="0" macro="[0]!AddRow">
                <anchor moveWithCells="1" sizeWithCells="1">
                  <from>
                    <xdr:col>0</xdr:col>
                    <xdr:colOff>66675</xdr:colOff>
                    <xdr:row>192</xdr:row>
                    <xdr:rowOff>38100</xdr:rowOff>
                  </from>
                  <to>
                    <xdr:col>0</xdr:col>
                    <xdr:colOff>609600</xdr:colOff>
                    <xdr:row>192</xdr:row>
                    <xdr:rowOff>219075</xdr:rowOff>
                  </to>
                </anchor>
              </controlPr>
            </control>
          </mc:Choice>
        </mc:AlternateContent>
        <mc:AlternateContent xmlns:mc="http://schemas.openxmlformats.org/markup-compatibility/2006">
          <mc:Choice Requires="x14">
            <control shapeId="42" r:id="rId68" name="Button 108">
              <controlPr defaultSize="0" print="0" autoFill="0" autoPict="0" macro="[0]!DeleteRow">
                <anchor moveWithCells="1" sizeWithCells="1">
                  <from>
                    <xdr:col>0</xdr:col>
                    <xdr:colOff>66675</xdr:colOff>
                    <xdr:row>193</xdr:row>
                    <xdr:rowOff>0</xdr:rowOff>
                  </from>
                  <to>
                    <xdr:col>0</xdr:col>
                    <xdr:colOff>609600</xdr:colOff>
                    <xdr:row>193</xdr:row>
                    <xdr:rowOff>180975</xdr:rowOff>
                  </to>
                </anchor>
              </controlPr>
            </control>
          </mc:Choice>
        </mc:AlternateContent>
      </controls>
    </mc:Choice>
  </mc:AlternateContent>
  <tableParts count="34">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s>
  <extLst>
    <ext xmlns:x14="http://schemas.microsoft.com/office/spreadsheetml/2009/9/main" uri="{78C0D931-6437-407d-A8EE-F0AAD7539E65}">
      <x14:conditionalFormattings>
        <x14:conditionalFormatting xmlns:xm="http://schemas.microsoft.com/office/excel/2006/main">
          <x14:cfRule type="expression" priority="66" id="{8FDBA642-DE3F-4297-8F37-5F29D79C75AB}">
            <xm:f>Security!$A$1="NO VBA"</xm:f>
            <x14:dxf>
              <font>
                <color theme="0"/>
              </font>
              <border>
                <vertical/>
                <horizontal/>
              </border>
            </x14:dxf>
          </x14:cfRule>
          <xm:sqref>C6:O6 B50:O50 B54:O54 B59:O59 B51:P52 B55:P57 B63:O63 B68:O68 B73:O73 B77:O77 B82:O82 B87:O87 B92:O92 B98:O98 B102:O102 B107:O107 B111:O111 B115:O115 B120:O120 B125:O125 B129:O129 B134:O134 B139:O139 B146:O146 B152:O152 B158:C158 B199:O199 B163:P163 B166:P166 B168:P168 B171:P172 B170 Q2:Q3 F4:Q5 Q1:R1 U1:V1 Y1:XFD1 B60:P61 B64:P66 B69:P71 B108:P109 B112:P113 B126:P127 B153:P156 A4:D5 T47:T48 T2:XFD3 A6:A52 U6:U52 Y6:XFD52 Q6:Q52 R49:T52 Q54:XFD57 A54:A57 A59:A61 Q59:XFD61 Q63:XFD66 A63:A66 A68:A71 Q68:XFD71 Q73:XFD75 A73:A75 A77:A79 Q77:XFD79 Q81:XFD83 A81:A83 A85:A87 Q85:XFD87 Q89:XFD91 A89:A91 Q97:XFD99 A97:A99 A101:A103 Q101:XFD103 A109:A111 Q109:XFD111 Q113:XFD116 A113:A116 A126:A128 Q126:XFD128 Q130:XFD134 A130:A134 Q141:XFD145 A141:A145 A147:A152 Q147:XFD152 Q154:XFD157 A154:A157 B74:P75 B78:P78 B80:P80 B83:P83 B85:P85 B88:P88 B90:P90 A118:A120 Q118:XFD120 A93:XFD94 A95 Q95:XFD95 B96:P96 A136:A139 Q136:XFD139 B105:P105 A159:XFD161 A105:A107 Q105:XFD107 B103:P103 B99:P100 A122:A124 Q122:XFD124 B121:P123 B116:P116 B118:P118 B132:P132 B135:P135 B137:P137 B140:P142 B144:P144 B147:P148 B150:P150 B200:P200 B177:P177 B174:B175 C175:P175 B182:P182 B179:B180 C180:P180 B187:P187 B185:P185 B192:P192 B189:B190 C190:P190 B197:P197 B194:B195 B202:H202 J202:P202 B203:P1048576 B195:P195 Q163:XFD1048576 A163:A1048576 R7:T46 V7:X52 B130:P130 B7:P48 T5:XFD5 U4:XFD4 A1:O3</xm:sqref>
        </x14:conditionalFormatting>
        <x14:conditionalFormatting xmlns:xm="http://schemas.microsoft.com/office/excel/2006/main">
          <x14:cfRule type="expression" priority="65" id="{8B3CE750-FD21-4A3E-A662-9FC6CF6DF54E}">
            <xm:f>Security!$A$1="NO VBA"</xm:f>
            <x14:dxf>
              <font>
                <color theme="0"/>
              </font>
              <border>
                <vertical/>
                <horizontal/>
              </border>
            </x14:dxf>
          </x14:cfRule>
          <xm:sqref>P6</xm:sqref>
        </x14:conditionalFormatting>
        <x14:conditionalFormatting xmlns:xm="http://schemas.microsoft.com/office/excel/2006/main">
          <x14:cfRule type="expression" priority="64" id="{27A67DF0-42FA-4AED-B5F2-39F20D48E4B2}">
            <xm:f>Security!$A$1="NO VBA"</xm:f>
            <x14:dxf>
              <font>
                <color theme="0"/>
              </font>
              <border>
                <vertical/>
                <horizontal/>
              </border>
            </x14:dxf>
          </x14:cfRule>
          <xm:sqref>P50</xm:sqref>
        </x14:conditionalFormatting>
        <x14:conditionalFormatting xmlns:xm="http://schemas.microsoft.com/office/excel/2006/main">
          <x14:cfRule type="expression" priority="63" id="{3738111B-B3D6-4679-9737-B6E001D6A241}">
            <xm:f>Security!$A$1="NO VBA"</xm:f>
            <x14:dxf>
              <font>
                <color theme="0"/>
              </font>
              <border>
                <vertical/>
                <horizontal/>
              </border>
            </x14:dxf>
          </x14:cfRule>
          <xm:sqref>P54</xm:sqref>
        </x14:conditionalFormatting>
        <x14:conditionalFormatting xmlns:xm="http://schemas.microsoft.com/office/excel/2006/main">
          <x14:cfRule type="expression" priority="62" id="{2F5F0532-5D5F-4E60-A862-808F997170FD}">
            <xm:f>Security!$A$1="NO VBA"</xm:f>
            <x14:dxf>
              <font>
                <color theme="0"/>
              </font>
              <border>
                <vertical/>
                <horizontal/>
              </border>
            </x14:dxf>
          </x14:cfRule>
          <xm:sqref>P59</xm:sqref>
        </x14:conditionalFormatting>
        <x14:conditionalFormatting xmlns:xm="http://schemas.microsoft.com/office/excel/2006/main">
          <x14:cfRule type="expression" priority="61" id="{4DADBD3D-0766-4CE2-83A1-DE2AC3295260}">
            <xm:f>Security!$A$1="NO VBA"</xm:f>
            <x14:dxf>
              <font>
                <color theme="0"/>
              </font>
              <border>
                <vertical/>
                <horizontal/>
              </border>
            </x14:dxf>
          </x14:cfRule>
          <xm:sqref>T6</xm:sqref>
        </x14:conditionalFormatting>
        <x14:conditionalFormatting xmlns:xm="http://schemas.microsoft.com/office/excel/2006/main">
          <x14:cfRule type="expression" priority="60" id="{F8F177BC-0617-4B1D-865F-B06DFB944222}">
            <xm:f>Security!$A$1="NO VBA"</xm:f>
            <x14:dxf>
              <font>
                <color theme="0"/>
              </font>
              <border>
                <vertical/>
                <horizontal/>
              </border>
            </x14:dxf>
          </x14:cfRule>
          <xm:sqref>X6</xm:sqref>
        </x14:conditionalFormatting>
        <x14:conditionalFormatting xmlns:xm="http://schemas.microsoft.com/office/excel/2006/main">
          <x14:cfRule type="expression" priority="59" id="{593DBDB1-6C15-4492-B086-A4D535D57A29}">
            <xm:f>Security!$A$1="NO VBA"</xm:f>
            <x14:dxf>
              <font>
                <color theme="0"/>
              </font>
              <border>
                <vertical/>
                <horizontal/>
              </border>
            </x14:dxf>
          </x14:cfRule>
          <xm:sqref>R6:S6</xm:sqref>
        </x14:conditionalFormatting>
        <x14:conditionalFormatting xmlns:xm="http://schemas.microsoft.com/office/excel/2006/main">
          <x14:cfRule type="expression" priority="58" id="{A29D879D-8CAA-4F1B-8592-B0374AC2F983}">
            <xm:f>Security!$A$1="NO VBA"</xm:f>
            <x14:dxf>
              <font>
                <color theme="0"/>
              </font>
              <border>
                <vertical/>
                <horizontal/>
              </border>
            </x14:dxf>
          </x14:cfRule>
          <xm:sqref>V6</xm:sqref>
        </x14:conditionalFormatting>
        <x14:conditionalFormatting xmlns:xm="http://schemas.microsoft.com/office/excel/2006/main">
          <x14:cfRule type="expression" priority="57"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50" id="{57EA9CB5-4A03-4848-930B-9D985A56D6D6}">
            <xm:f>Security!$A$1="NO VBA"</xm:f>
            <x14:dxf>
              <font>
                <color theme="0"/>
              </font>
              <border>
                <vertical/>
                <horizontal/>
              </border>
            </x14:dxf>
          </x14:cfRule>
          <xm:sqref>P63</xm:sqref>
        </x14:conditionalFormatting>
        <x14:conditionalFormatting xmlns:xm="http://schemas.microsoft.com/office/excel/2006/main">
          <x14:cfRule type="expression" priority="49" id="{73C94914-A139-4648-91CD-80AAA8BF9D66}">
            <xm:f>Security!$A$1="NO VBA"</xm:f>
            <x14:dxf>
              <font>
                <color theme="0"/>
              </font>
              <border>
                <vertical/>
                <horizontal/>
              </border>
            </x14:dxf>
          </x14:cfRule>
          <xm:sqref>P68</xm:sqref>
        </x14:conditionalFormatting>
        <x14:conditionalFormatting xmlns:xm="http://schemas.microsoft.com/office/excel/2006/main">
          <x14:cfRule type="expression" priority="48" id="{DB82F2D6-F053-41F7-AAFC-16CC469EF4C2}">
            <xm:f>Security!$A$1="NO VBA"</xm:f>
            <x14:dxf>
              <font>
                <color theme="0"/>
              </font>
              <border>
                <vertical/>
                <horizontal/>
              </border>
            </x14:dxf>
          </x14:cfRule>
          <xm:sqref>P73</xm:sqref>
        </x14:conditionalFormatting>
        <x14:conditionalFormatting xmlns:xm="http://schemas.microsoft.com/office/excel/2006/main">
          <x14:cfRule type="expression" priority="47" id="{97E18889-0B1D-4CF4-9806-8A12D7442620}">
            <xm:f>Security!$A$1="NO VBA"</xm:f>
            <x14:dxf>
              <font>
                <color theme="0"/>
              </font>
              <border>
                <vertical/>
                <horizontal/>
              </border>
            </x14:dxf>
          </x14:cfRule>
          <xm:sqref>P77</xm:sqref>
        </x14:conditionalFormatting>
        <x14:conditionalFormatting xmlns:xm="http://schemas.microsoft.com/office/excel/2006/main">
          <x14:cfRule type="expression" priority="46" id="{A79EEE6B-3808-469C-9667-8F4F4BD2F973}">
            <xm:f>Security!$A$1="NO VBA"</xm:f>
            <x14:dxf>
              <font>
                <color theme="0"/>
              </font>
              <border>
                <vertical/>
                <horizontal/>
              </border>
            </x14:dxf>
          </x14:cfRule>
          <xm:sqref>P82</xm:sqref>
        </x14:conditionalFormatting>
        <x14:conditionalFormatting xmlns:xm="http://schemas.microsoft.com/office/excel/2006/main">
          <x14:cfRule type="expression" priority="45" id="{06C818ED-40A0-4EEE-B6B7-E4813360AABF}">
            <xm:f>Security!$A$1="NO VBA"</xm:f>
            <x14:dxf>
              <font>
                <color theme="0"/>
              </font>
              <border>
                <vertical/>
                <horizontal/>
              </border>
            </x14:dxf>
          </x14:cfRule>
          <xm:sqref>P87</xm:sqref>
        </x14:conditionalFormatting>
        <x14:conditionalFormatting xmlns:xm="http://schemas.microsoft.com/office/excel/2006/main">
          <x14:cfRule type="expression" priority="44" id="{D135D4BA-7832-4C9E-98A2-D4A94665A57E}">
            <xm:f>Security!$A$1="NO VBA"</xm:f>
            <x14:dxf>
              <font>
                <color theme="0"/>
              </font>
              <border>
                <vertical/>
                <horizontal/>
              </border>
            </x14:dxf>
          </x14:cfRule>
          <xm:sqref>P92</xm:sqref>
        </x14:conditionalFormatting>
        <x14:conditionalFormatting xmlns:xm="http://schemas.microsoft.com/office/excel/2006/main">
          <x14:cfRule type="expression" priority="43" id="{8D60DA36-23E8-481A-B237-80A434031EAA}">
            <xm:f>Security!$A$1="NO VBA"</xm:f>
            <x14:dxf>
              <font>
                <color theme="0"/>
              </font>
              <border>
                <vertical/>
                <horizontal/>
              </border>
            </x14:dxf>
          </x14:cfRule>
          <xm:sqref>P98</xm:sqref>
        </x14:conditionalFormatting>
        <x14:conditionalFormatting xmlns:xm="http://schemas.microsoft.com/office/excel/2006/main">
          <x14:cfRule type="expression" priority="42" id="{6C78D690-3438-42C1-86AD-037AC753EB27}">
            <xm:f>Security!$A$1="NO VBA"</xm:f>
            <x14:dxf>
              <font>
                <color theme="0"/>
              </font>
              <border>
                <vertical/>
                <horizontal/>
              </border>
            </x14:dxf>
          </x14:cfRule>
          <xm:sqref>P102</xm:sqref>
        </x14:conditionalFormatting>
        <x14:conditionalFormatting xmlns:xm="http://schemas.microsoft.com/office/excel/2006/main">
          <x14:cfRule type="expression" priority="41" id="{E68582C2-EB54-46C5-8F2B-60709A105FA2}">
            <xm:f>Security!$A$1="NO VBA"</xm:f>
            <x14:dxf>
              <font>
                <color theme="0"/>
              </font>
              <border>
                <vertical/>
                <horizontal/>
              </border>
            </x14:dxf>
          </x14:cfRule>
          <xm:sqref>P107</xm:sqref>
        </x14:conditionalFormatting>
        <x14:conditionalFormatting xmlns:xm="http://schemas.microsoft.com/office/excel/2006/main">
          <x14:cfRule type="expression" priority="40" id="{50B1FB18-4CBC-4A27-A4AE-BDCBBCCABE9D}">
            <xm:f>Security!$A$1="NO VBA"</xm:f>
            <x14:dxf>
              <font>
                <color theme="0"/>
              </font>
              <border>
                <vertical/>
                <horizontal/>
              </border>
            </x14:dxf>
          </x14:cfRule>
          <xm:sqref>P111</xm:sqref>
        </x14:conditionalFormatting>
        <x14:conditionalFormatting xmlns:xm="http://schemas.microsoft.com/office/excel/2006/main">
          <x14:cfRule type="expression" priority="39" id="{E1F1352F-0A5F-4ADC-B417-5312CA7D3049}">
            <xm:f>Security!$A$1="NO VBA"</xm:f>
            <x14:dxf>
              <font>
                <color theme="0"/>
              </font>
              <border>
                <vertical/>
                <horizontal/>
              </border>
            </x14:dxf>
          </x14:cfRule>
          <xm:sqref>P115</xm:sqref>
        </x14:conditionalFormatting>
        <x14:conditionalFormatting xmlns:xm="http://schemas.microsoft.com/office/excel/2006/main">
          <x14:cfRule type="expression" priority="38" id="{0C48B664-FF57-4E7D-88BA-BFC94AB9A0D6}">
            <xm:f>Security!$A$1="NO VBA"</xm:f>
            <x14:dxf>
              <font>
                <color theme="0"/>
              </font>
              <border>
                <vertical/>
                <horizontal/>
              </border>
            </x14:dxf>
          </x14:cfRule>
          <xm:sqref>P120</xm:sqref>
        </x14:conditionalFormatting>
        <x14:conditionalFormatting xmlns:xm="http://schemas.microsoft.com/office/excel/2006/main">
          <x14:cfRule type="expression" priority="37" id="{981165A7-C1B0-447B-B86C-58CFF89704E4}">
            <xm:f>Security!$A$1="NO VBA"</xm:f>
            <x14:dxf>
              <font>
                <color theme="0"/>
              </font>
              <border>
                <vertical/>
                <horizontal/>
              </border>
            </x14:dxf>
          </x14:cfRule>
          <xm:sqref>P125</xm:sqref>
        </x14:conditionalFormatting>
        <x14:conditionalFormatting xmlns:xm="http://schemas.microsoft.com/office/excel/2006/main">
          <x14:cfRule type="expression" priority="36" id="{A5F8DDDA-1BF9-4FE4-B91D-6552E39EE139}">
            <xm:f>Security!$A$1="NO VBA"</xm:f>
            <x14:dxf>
              <font>
                <color theme="0"/>
              </font>
              <border>
                <vertical/>
                <horizontal/>
              </border>
            </x14:dxf>
          </x14:cfRule>
          <xm:sqref>P129</xm:sqref>
        </x14:conditionalFormatting>
        <x14:conditionalFormatting xmlns:xm="http://schemas.microsoft.com/office/excel/2006/main">
          <x14:cfRule type="expression" priority="35" id="{A3486581-7C78-4B0F-869F-0F739C31464F}">
            <xm:f>Security!$A$1="NO VBA"</xm:f>
            <x14:dxf>
              <font>
                <color theme="0"/>
              </font>
              <border>
                <vertical/>
                <horizontal/>
              </border>
            </x14:dxf>
          </x14:cfRule>
          <xm:sqref>P134</xm:sqref>
        </x14:conditionalFormatting>
        <x14:conditionalFormatting xmlns:xm="http://schemas.microsoft.com/office/excel/2006/main">
          <x14:cfRule type="expression" priority="34" id="{DD2A23B2-1EE1-47E2-8B68-003771148DEA}">
            <xm:f>Security!$A$1="NO VBA"</xm:f>
            <x14:dxf>
              <font>
                <color theme="0"/>
              </font>
              <border>
                <vertical/>
                <horizontal/>
              </border>
            </x14:dxf>
          </x14:cfRule>
          <xm:sqref>P139</xm:sqref>
        </x14:conditionalFormatting>
        <x14:conditionalFormatting xmlns:xm="http://schemas.microsoft.com/office/excel/2006/main">
          <x14:cfRule type="expression" priority="33" id="{D76DC358-6F52-4A0E-8C9F-BA80314D82C0}">
            <xm:f>Security!$A$1="NO VBA"</xm:f>
            <x14:dxf>
              <font>
                <color theme="0"/>
              </font>
              <border>
                <vertical/>
                <horizontal/>
              </border>
            </x14:dxf>
          </x14:cfRule>
          <xm:sqref>P146</xm:sqref>
        </x14:conditionalFormatting>
        <x14:conditionalFormatting xmlns:xm="http://schemas.microsoft.com/office/excel/2006/main">
          <x14:cfRule type="expression" priority="32" id="{C3A42E95-3140-4C9B-94E4-AC4E3AA624FF}">
            <xm:f>Security!$A$1="NO VBA"</xm:f>
            <x14:dxf>
              <font>
                <color theme="0"/>
              </font>
              <border>
                <vertical/>
                <horizontal/>
              </border>
            </x14:dxf>
          </x14:cfRule>
          <xm:sqref>P152</xm:sqref>
        </x14:conditionalFormatting>
        <x14:conditionalFormatting xmlns:xm="http://schemas.microsoft.com/office/excel/2006/main">
          <x14:cfRule type="expression" priority="30" id="{8D7CB896-4D90-4EB2-808E-28F93E91A3E0}">
            <xm:f>Security!$A$1="NO VBA"</xm:f>
            <x14:dxf>
              <font>
                <color theme="0"/>
              </font>
              <border>
                <vertical/>
                <horizontal/>
              </border>
            </x14:dxf>
          </x14:cfRule>
          <xm:sqref>P199</xm:sqref>
        </x14:conditionalFormatting>
        <x14:conditionalFormatting xmlns:xm="http://schemas.microsoft.com/office/excel/2006/main">
          <x14:cfRule type="expression" priority="29" id="{0E875358-084C-427B-9FD6-477C9D10318E}">
            <xm:f>Security!$A$1="NO VBA"</xm:f>
            <x14:dxf>
              <font>
                <color theme="0"/>
              </font>
              <border>
                <vertical/>
                <horizontal/>
              </border>
            </x14:dxf>
          </x14:cfRule>
          <xm:sqref>D158:O158</xm:sqref>
        </x14:conditionalFormatting>
        <x14:conditionalFormatting xmlns:xm="http://schemas.microsoft.com/office/excel/2006/main">
          <x14:cfRule type="expression" priority="28" id="{D9BA7C7B-B73B-4592-8B51-EAEF65199CFD}">
            <xm:f>Security!$A$1="NO VBA"</xm:f>
            <x14:dxf>
              <font>
                <color theme="0"/>
              </font>
              <border>
                <vertical/>
                <horizontal/>
              </border>
            </x14:dxf>
          </x14:cfRule>
          <xm:sqref>P158</xm:sqref>
        </x14:conditionalFormatting>
        <x14:conditionalFormatting xmlns:xm="http://schemas.microsoft.com/office/excel/2006/main">
          <x14:cfRule type="expression" priority="27" id="{FDC44543-CF9C-43F0-A9B8-D47D23DA5A50}">
            <xm:f>Security!$A$1="NO VBA"</xm:f>
            <x14:dxf>
              <font>
                <color theme="0"/>
              </font>
              <border>
                <vertical/>
                <horizontal/>
              </border>
            </x14:dxf>
          </x14:cfRule>
          <xm:sqref>B165:C165</xm:sqref>
        </x14:conditionalFormatting>
        <x14:conditionalFormatting xmlns:xm="http://schemas.microsoft.com/office/excel/2006/main">
          <x14:cfRule type="expression" priority="26" id="{717AC35C-36FA-48FA-8858-91F77AF2A102}">
            <xm:f>Security!$A$1="NO VBA"</xm:f>
            <x14:dxf>
              <font>
                <color theme="0"/>
              </font>
              <border>
                <vertical/>
                <horizontal/>
              </border>
            </x14:dxf>
          </x14:cfRule>
          <xm:sqref>D165:O165</xm:sqref>
        </x14:conditionalFormatting>
        <x14:conditionalFormatting xmlns:xm="http://schemas.microsoft.com/office/excel/2006/main">
          <x14:cfRule type="expression" priority="25" id="{57E83F62-33A9-4706-91CD-EF4E7AE8419A}">
            <xm:f>Security!$A$1="NO VBA"</xm:f>
            <x14:dxf>
              <font>
                <color theme="0"/>
              </font>
              <border>
                <vertical/>
                <horizontal/>
              </border>
            </x14:dxf>
          </x14:cfRule>
          <xm:sqref>P165</xm:sqref>
        </x14:conditionalFormatting>
        <x14:conditionalFormatting xmlns:xm="http://schemas.microsoft.com/office/excel/2006/main">
          <x14:cfRule type="expression" priority="24" id="{1D71745C-7079-4D0B-BCCE-2F705E8B2B16}">
            <xm:f>Security!$A$1="NO VBA"</xm:f>
            <x14:dxf>
              <font>
                <color theme="0"/>
              </font>
              <border>
                <vertical/>
                <horizontal/>
              </border>
            </x14:dxf>
          </x14:cfRule>
          <xm:sqref>C170</xm:sqref>
        </x14:conditionalFormatting>
        <x14:conditionalFormatting xmlns:xm="http://schemas.microsoft.com/office/excel/2006/main">
          <x14:cfRule type="expression" priority="23" id="{573DFCAF-4F10-46AE-9809-6A819C393F31}">
            <xm:f>Security!$A$1="NO VBA"</xm:f>
            <x14:dxf>
              <font>
                <color theme="0"/>
              </font>
              <border>
                <vertical/>
                <horizontal/>
              </border>
            </x14:dxf>
          </x14:cfRule>
          <xm:sqref>D170:O170</xm:sqref>
        </x14:conditionalFormatting>
        <x14:conditionalFormatting xmlns:xm="http://schemas.microsoft.com/office/excel/2006/main">
          <x14:cfRule type="expression" priority="22" id="{08BC403E-5645-48B3-B223-6338ECF5B35A}">
            <xm:f>Security!$A$1="NO VBA"</xm:f>
            <x14:dxf>
              <font>
                <color theme="0"/>
              </font>
              <border>
                <vertical/>
                <horizontal/>
              </border>
            </x14:dxf>
          </x14:cfRule>
          <xm:sqref>P170</xm:sqref>
        </x14:conditionalFormatting>
        <x14:conditionalFormatting xmlns:xm="http://schemas.microsoft.com/office/excel/2006/main">
          <x14:cfRule type="expression" priority="21" id="{CDB7CB22-32C3-4DA7-9BB7-55321B7168DE}">
            <xm:f>Security!$A$1="NO VBA"</xm:f>
            <x14:dxf>
              <font>
                <color theme="0"/>
              </font>
              <border>
                <vertical/>
                <horizontal/>
              </border>
            </x14:dxf>
          </x14:cfRule>
          <xm:sqref>W6</xm:sqref>
        </x14:conditionalFormatting>
        <x14:conditionalFormatting xmlns:xm="http://schemas.microsoft.com/office/excel/2006/main">
          <x14:cfRule type="expression" priority="19" id="{50E087D5-036F-44A5-BBB3-8289586706AF}">
            <xm:f>Security!$A$1="NO VBA"</xm:f>
            <x14:dxf>
              <font>
                <color theme="0"/>
              </font>
              <border>
                <vertical/>
                <horizontal/>
              </border>
            </x14:dxf>
          </x14:cfRule>
          <xm:sqref>C174</xm:sqref>
        </x14:conditionalFormatting>
        <x14:conditionalFormatting xmlns:xm="http://schemas.microsoft.com/office/excel/2006/main">
          <x14:cfRule type="expression" priority="18" id="{2C4C2525-7C21-4170-A323-4E962FDBF38E}">
            <xm:f>Security!$A$1="NO VBA"</xm:f>
            <x14:dxf>
              <font>
                <color theme="0"/>
              </font>
              <border>
                <vertical/>
                <horizontal/>
              </border>
            </x14:dxf>
          </x14:cfRule>
          <xm:sqref>D174:O174</xm:sqref>
        </x14:conditionalFormatting>
        <x14:conditionalFormatting xmlns:xm="http://schemas.microsoft.com/office/excel/2006/main">
          <x14:cfRule type="expression" priority="17" id="{BA6E6235-10B3-4F86-8F42-B8A3E0B12AAA}">
            <xm:f>Security!$A$1="NO VBA"</xm:f>
            <x14:dxf>
              <font>
                <color theme="0"/>
              </font>
              <border>
                <vertical/>
                <horizontal/>
              </border>
            </x14:dxf>
          </x14:cfRule>
          <xm:sqref>P174</xm:sqref>
        </x14:conditionalFormatting>
        <x14:conditionalFormatting xmlns:xm="http://schemas.microsoft.com/office/excel/2006/main">
          <x14:cfRule type="expression" priority="16" id="{DF1DD268-E783-4C6F-9F51-39A066F73B49}">
            <xm:f>Security!$A$1="NO VBA"</xm:f>
            <x14:dxf>
              <font>
                <color theme="0"/>
              </font>
              <border>
                <vertical/>
                <horizontal/>
              </border>
            </x14:dxf>
          </x14:cfRule>
          <xm:sqref>C179</xm:sqref>
        </x14:conditionalFormatting>
        <x14:conditionalFormatting xmlns:xm="http://schemas.microsoft.com/office/excel/2006/main">
          <x14:cfRule type="expression" priority="15" id="{9FABA559-A8CA-4CFA-B7FD-FD07EF371D95}">
            <xm:f>Security!$A$1="NO VBA"</xm:f>
            <x14:dxf>
              <font>
                <color theme="0"/>
              </font>
              <border>
                <vertical/>
                <horizontal/>
              </border>
            </x14:dxf>
          </x14:cfRule>
          <xm:sqref>D179:O179</xm:sqref>
        </x14:conditionalFormatting>
        <x14:conditionalFormatting xmlns:xm="http://schemas.microsoft.com/office/excel/2006/main">
          <x14:cfRule type="expression" priority="14" id="{0BA0C8C3-CE56-4ACA-90C0-A2ACDDF6FA21}">
            <xm:f>Security!$A$1="NO VBA"</xm:f>
            <x14:dxf>
              <font>
                <color theme="0"/>
              </font>
              <border>
                <vertical/>
                <horizontal/>
              </border>
            </x14:dxf>
          </x14:cfRule>
          <xm:sqref>P179</xm:sqref>
        </x14:conditionalFormatting>
        <x14:conditionalFormatting xmlns:xm="http://schemas.microsoft.com/office/excel/2006/main">
          <x14:cfRule type="expression" priority="13" id="{AC2C341A-A4E0-4EA4-808E-31C51EB153B9}">
            <xm:f>Security!$A$1="NO VBA"</xm:f>
            <x14:dxf>
              <font>
                <color theme="0"/>
              </font>
              <border>
                <vertical/>
                <horizontal/>
              </border>
            </x14:dxf>
          </x14:cfRule>
          <xm:sqref>C184</xm:sqref>
        </x14:conditionalFormatting>
        <x14:conditionalFormatting xmlns:xm="http://schemas.microsoft.com/office/excel/2006/main">
          <x14:cfRule type="expression" priority="12" id="{48BA94AC-B811-473F-B96E-C3FBA3B16212}">
            <xm:f>Security!$A$1="NO VBA"</xm:f>
            <x14:dxf>
              <font>
                <color theme="0"/>
              </font>
              <border>
                <vertical/>
                <horizontal/>
              </border>
            </x14:dxf>
          </x14:cfRule>
          <xm:sqref>D184:O184</xm:sqref>
        </x14:conditionalFormatting>
        <x14:conditionalFormatting xmlns:xm="http://schemas.microsoft.com/office/excel/2006/main">
          <x14:cfRule type="expression" priority="11" id="{12794AC0-F5A1-4CA8-98B1-60ED6E350A56}">
            <xm:f>Security!$A$1="NO VBA"</xm:f>
            <x14:dxf>
              <font>
                <color theme="0"/>
              </font>
              <border>
                <vertical/>
                <horizontal/>
              </border>
            </x14:dxf>
          </x14:cfRule>
          <xm:sqref>P184</xm:sqref>
        </x14:conditionalFormatting>
        <x14:conditionalFormatting xmlns:xm="http://schemas.microsoft.com/office/excel/2006/main">
          <x14:cfRule type="expression" priority="7" id="{9A2C555B-40D9-451C-97E5-4798563A0A53}">
            <xm:f>Security!$A$1="NO VBA"</xm:f>
            <x14:dxf>
              <font>
                <color theme="0"/>
              </font>
              <border>
                <vertical/>
                <horizontal/>
              </border>
            </x14:dxf>
          </x14:cfRule>
          <xm:sqref>C189</xm:sqref>
        </x14:conditionalFormatting>
        <x14:conditionalFormatting xmlns:xm="http://schemas.microsoft.com/office/excel/2006/main">
          <x14:cfRule type="expression" priority="6" id="{7E368F59-BDA0-4502-8249-54FC031257BB}">
            <xm:f>Security!$A$1="NO VBA"</xm:f>
            <x14:dxf>
              <font>
                <color theme="0"/>
              </font>
              <border>
                <vertical/>
                <horizontal/>
              </border>
            </x14:dxf>
          </x14:cfRule>
          <xm:sqref>D189:O189</xm:sqref>
        </x14:conditionalFormatting>
        <x14:conditionalFormatting xmlns:xm="http://schemas.microsoft.com/office/excel/2006/main">
          <x14:cfRule type="expression" priority="5" id="{6EB0E0A4-00E8-4643-8B23-4DD6D3CC989B}">
            <xm:f>Security!$A$1="NO VBA"</xm:f>
            <x14:dxf>
              <font>
                <color theme="0"/>
              </font>
              <border>
                <vertical/>
                <horizontal/>
              </border>
            </x14:dxf>
          </x14:cfRule>
          <xm:sqref>P189</xm:sqref>
        </x14:conditionalFormatting>
        <x14:conditionalFormatting xmlns:xm="http://schemas.microsoft.com/office/excel/2006/main">
          <x14:cfRule type="expression" priority="3" id="{3D33BADA-6010-4525-BB4A-7ADAA75274F2}">
            <xm:f>Security!$A$1="NO VBA"</xm:f>
            <x14:dxf>
              <font>
                <color theme="0"/>
              </font>
              <border>
                <vertical/>
                <horizontal/>
              </border>
            </x14:dxf>
          </x14:cfRule>
          <xm:sqref>D194:O194</xm:sqref>
        </x14:conditionalFormatting>
        <x14:conditionalFormatting xmlns:xm="http://schemas.microsoft.com/office/excel/2006/main">
          <x14:cfRule type="expression" priority="2" id="{E77E04FE-29F4-4567-B7BE-58687ADDE315}">
            <xm:f>Security!$A$1="NO VBA"</xm:f>
            <x14:dxf>
              <font>
                <color theme="0"/>
              </font>
              <border>
                <vertical/>
                <horizontal/>
              </border>
            </x14:dxf>
          </x14:cfRule>
          <xm:sqref>P194</xm:sqref>
        </x14:conditionalFormatting>
        <x14:conditionalFormatting xmlns:xm="http://schemas.microsoft.com/office/excel/2006/main">
          <x14:cfRule type="expression" priority="1" id="{4A8FBDCB-EB97-497E-9149-C491172A9C9C}">
            <xm:f>Security!$A$1="NO VBA"</xm:f>
            <x14:dxf>
              <font>
                <color theme="0"/>
              </font>
              <border>
                <vertical/>
                <horizontal/>
              </border>
            </x14:dxf>
          </x14:cfRule>
          <xm:sqref>C194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771351B2-004C-4306-ADA0-02C528AA95BA}">
          <x14:formula1>
            <xm:f>Sheet_ChiPhiKD!$G$14:$G$18</xm:f>
          </x14:formula1>
          <xm:sqref>B93:B94 B88 B90:B91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V57"/>
  <sheetViews>
    <sheetView showGridLines="0" tabSelected="1" topLeftCell="A16" workbookViewId="0">
      <selection activeCell="C16" sqref="C16"/>
    </sheetView>
  </sheetViews>
  <sheetFormatPr defaultRowHeight="18" customHeight="1" outlineLevelRow="2" x14ac:dyDescent="0.3"/>
  <cols>
    <col min="1" max="1" width="9.625" style="7" customWidth="1"/>
    <col min="2" max="2" width="31.125" style="7" customWidth="1"/>
    <col min="3" max="3" width="11.75" style="7" bestFit="1" customWidth="1"/>
    <col min="4" max="4" width="10.625" style="7" bestFit="1" customWidth="1"/>
    <col min="5" max="6" width="10.5" style="7" bestFit="1" customWidth="1"/>
    <col min="7" max="7" width="11" style="7" bestFit="1" customWidth="1"/>
    <col min="8" max="8" width="10.375" style="7" bestFit="1" customWidth="1"/>
    <col min="9" max="10" width="10.5" style="7" bestFit="1" customWidth="1"/>
    <col min="11" max="11" width="10.75" style="7" bestFit="1" customWidth="1"/>
    <col min="12" max="12" width="10.375" style="7" bestFit="1" customWidth="1"/>
    <col min="13" max="13" width="10.875" style="7" bestFit="1" customWidth="1"/>
    <col min="14" max="14" width="11" style="7" bestFit="1" customWidth="1"/>
    <col min="15" max="15" width="10.875" style="7" bestFit="1" customWidth="1"/>
    <col min="16" max="17" width="9" style="7"/>
    <col min="18" max="18" width="26.125" style="7" bestFit="1" customWidth="1"/>
    <col min="19" max="20" width="9" style="7"/>
    <col min="21" max="21" width="26.125" style="7" bestFit="1" customWidth="1"/>
    <col min="22" max="16384" width="9" style="7"/>
  </cols>
  <sheetData>
    <row r="1" spans="2:22" ht="18" customHeight="1" x14ac:dyDescent="0.3">
      <c r="B1" s="242"/>
      <c r="C1" s="7" t="s">
        <v>2</v>
      </c>
      <c r="D1" s="242">
        <v>1</v>
      </c>
      <c r="E1" s="242">
        <v>2</v>
      </c>
      <c r="F1" s="242">
        <v>3</v>
      </c>
      <c r="G1" s="242">
        <v>4</v>
      </c>
      <c r="H1" s="242">
        <v>5</v>
      </c>
      <c r="I1" s="242">
        <v>6</v>
      </c>
      <c r="J1" s="242">
        <v>7</v>
      </c>
      <c r="K1" s="242">
        <v>8</v>
      </c>
      <c r="L1" s="242">
        <v>9</v>
      </c>
      <c r="M1" s="242">
        <v>10</v>
      </c>
      <c r="N1" s="242">
        <v>11</v>
      </c>
      <c r="O1" s="242">
        <v>12</v>
      </c>
      <c r="P1" s="242">
        <v>13</v>
      </c>
      <c r="Q1" s="242"/>
      <c r="R1" s="242"/>
      <c r="S1" s="323"/>
      <c r="T1" s="242"/>
      <c r="U1" s="242"/>
      <c r="V1" s="324"/>
    </row>
    <row r="2" spans="2:22" ht="18" customHeight="1" x14ac:dyDescent="0.3">
      <c r="B2" s="242"/>
      <c r="C2" s="323"/>
      <c r="D2" s="84">
        <f>DATE($C$2,D1,1)</f>
        <v>1</v>
      </c>
      <c r="E2" s="84">
        <f t="shared" ref="E2:P2" si="0">DATE($C$2,E1,1)</f>
        <v>32</v>
      </c>
      <c r="F2" s="84">
        <f t="shared" si="0"/>
        <v>61</v>
      </c>
      <c r="G2" s="84">
        <f t="shared" si="0"/>
        <v>92</v>
      </c>
      <c r="H2" s="84">
        <f t="shared" si="0"/>
        <v>122</v>
      </c>
      <c r="I2" s="84">
        <f t="shared" si="0"/>
        <v>153</v>
      </c>
      <c r="J2" s="84">
        <f t="shared" si="0"/>
        <v>183</v>
      </c>
      <c r="K2" s="84">
        <f t="shared" si="0"/>
        <v>214</v>
      </c>
      <c r="L2" s="84">
        <f t="shared" si="0"/>
        <v>245</v>
      </c>
      <c r="M2" s="84">
        <f t="shared" si="0"/>
        <v>275</v>
      </c>
      <c r="N2" s="84">
        <f t="shared" si="0"/>
        <v>306</v>
      </c>
      <c r="O2" s="84">
        <f t="shared" si="0"/>
        <v>336</v>
      </c>
      <c r="P2" s="84">
        <f t="shared" si="0"/>
        <v>367</v>
      </c>
      <c r="Q2" s="242"/>
      <c r="R2" s="242"/>
    </row>
    <row r="3" spans="2:22" ht="18" customHeight="1" x14ac:dyDescent="0.3">
      <c r="B3" s="4" t="s">
        <v>884</v>
      </c>
      <c r="C3" s="4" t="s">
        <v>353</v>
      </c>
      <c r="D3" s="16" t="s">
        <v>269</v>
      </c>
      <c r="E3" s="16" t="s">
        <v>270</v>
      </c>
      <c r="F3" s="16" t="s">
        <v>271</v>
      </c>
      <c r="G3" s="16" t="s">
        <v>272</v>
      </c>
      <c r="H3" s="16" t="s">
        <v>273</v>
      </c>
      <c r="I3" s="16" t="s">
        <v>274</v>
      </c>
      <c r="J3" s="16" t="s">
        <v>275</v>
      </c>
      <c r="K3" s="16" t="s">
        <v>276</v>
      </c>
      <c r="L3" s="16" t="s">
        <v>277</v>
      </c>
      <c r="M3" s="16" t="s">
        <v>278</v>
      </c>
      <c r="N3" s="16" t="s">
        <v>279</v>
      </c>
      <c r="O3" s="16" t="s">
        <v>280</v>
      </c>
      <c r="P3" s="4" t="s">
        <v>281</v>
      </c>
      <c r="Q3" s="242"/>
      <c r="R3" s="4" t="s">
        <v>884</v>
      </c>
      <c r="S3" s="4" t="s">
        <v>883</v>
      </c>
      <c r="T3" s="242"/>
      <c r="U3" s="4" t="s">
        <v>884</v>
      </c>
      <c r="V3" s="4" t="s">
        <v>883</v>
      </c>
    </row>
    <row r="4" spans="2:22" ht="18" customHeight="1" x14ac:dyDescent="0.3">
      <c r="B4" s="74" t="s">
        <v>354</v>
      </c>
      <c r="C4" s="325"/>
      <c r="D4" s="326"/>
      <c r="E4" s="326"/>
      <c r="F4" s="326"/>
      <c r="G4" s="326"/>
      <c r="H4" s="326"/>
      <c r="I4" s="326"/>
      <c r="J4" s="326"/>
      <c r="K4" s="326"/>
      <c r="L4" s="326"/>
      <c r="M4" s="326"/>
      <c r="N4" s="326"/>
      <c r="O4" s="326"/>
      <c r="P4" s="327"/>
      <c r="Q4" s="242"/>
      <c r="R4" s="74" t="s">
        <v>354</v>
      </c>
      <c r="S4" s="326"/>
      <c r="T4" s="242"/>
      <c r="U4" s="74" t="s">
        <v>354</v>
      </c>
      <c r="V4" s="326"/>
    </row>
    <row r="5" spans="2:22" ht="18" customHeight="1" outlineLevel="1" x14ac:dyDescent="0.3">
      <c r="B5" s="74" t="s">
        <v>73</v>
      </c>
      <c r="C5" s="328" cm="1">
        <f t="array" ref="C5">+IFERROR(SUM(
_xlfn._xlws.FILTER(Table_Main[Số lượng],
NOT(ISBLANK(Table_Main[Đơn bán]))*
(Table_Main[Loại] = "Xuất")*
(Table_Main[Ngày lên đơn] &gt;= D$2)*
(Table_Main[Ngày lên đơn] &lt;P$2)
)),0)
-IFERROR(SUM(
_xlfn._xlws.FILTER(Table_Main[Số lượng],
NOT(ISBLANK(Table_Main[Đơn bán]))*
(Table_Main[Loại] = "Nhập")*
(Table_Main[Ngày lên đơn] &gt;= D$2)*
(Table_Main[Ngày lên đơn] &lt; P$2)
)),0)</f>
        <v>0</v>
      </c>
      <c r="D5" s="328" cm="1">
        <f t="array" ref="D5">+IFERROR(SUM(
_xlfn._xlws.FILTER(Table_Main[Số lượng],
NOT(ISBLANK(Table_Main[Đơn bán]))*
(Table_Main[Loại] = "Xuất")*
(Table_Main[Ngày lên đơn] &gt;= D$2)*
(Table_Main[Ngày lên đơn] &lt;E$2)
)),0)
-IFERROR(SUM(
_xlfn._xlws.FILTER(Table_Main[Số lượng],
NOT(ISBLANK(Table_Main[Đơn bán]))*
(Table_Main[Loại] = "Nhập")*
(Table_Main[Ngày lên đơn] &gt;= D$2)*
(Table_Main[Ngày lên đơn] &lt; E$2)
)),0)</f>
        <v>0</v>
      </c>
      <c r="E5" s="328" cm="1">
        <f t="array" ref="E5">+IFERROR(SUM(
_xlfn._xlws.FILTER(Table_Main[Số lượng],
NOT(ISBLANK(Table_Main[Đơn bán]))*
(Table_Main[Loại] = "Xuất")*
(Table_Main[Ngày lên đơn] &gt;= E$2)*
(Table_Main[Ngày lên đơn] &lt;F$2)
)),0)
-IFERROR(SUM(
_xlfn._xlws.FILTER(Table_Main[Số lượng],
NOT(ISBLANK(Table_Main[Đơn bán]))*
(Table_Main[Loại] = "Nhập")*
(Table_Main[Ngày lên đơn] &gt;= E$2)*
(Table_Main[Ngày lên đơn] &lt; F$2)
)),0)</f>
        <v>0</v>
      </c>
      <c r="F5" s="328" cm="1">
        <f t="array" ref="F5">+IFERROR(SUM(
_xlfn._xlws.FILTER(Table_Main[Số lượng],
NOT(ISBLANK(Table_Main[Đơn bán]))*
(Table_Main[Loại] = "Xuất")*
(Table_Main[Ngày lên đơn] &gt;= F$2)*
(Table_Main[Ngày lên đơn] &lt;G$2)
)),0)
-IFERROR(SUM(
_xlfn._xlws.FILTER(Table_Main[Số lượng],
NOT(ISBLANK(Table_Main[Đơn bán]))*
(Table_Main[Loại] = "Nhập")*
(Table_Main[Ngày lên đơn] &gt;= F$2)*
(Table_Main[Ngày lên đơn] &lt; G$2)
)),0)</f>
        <v>0</v>
      </c>
      <c r="G5" s="328" cm="1">
        <f t="array" ref="G5">+IFERROR(SUM(
_xlfn._xlws.FILTER(Table_Main[Số lượng],
NOT(ISBLANK(Table_Main[Đơn bán]))*
(Table_Main[Loại] = "Xuất")*
(Table_Main[Ngày lên đơn] &gt;= G$2)*
(Table_Main[Ngày lên đơn] &lt;H$2)
)),0)
-IFERROR(SUM(
_xlfn._xlws.FILTER(Table_Main[Số lượng],
NOT(ISBLANK(Table_Main[Đơn bán]))*
(Table_Main[Loại] = "Nhập")*
(Table_Main[Ngày lên đơn] &gt;= G$2)*
(Table_Main[Ngày lên đơn] &lt; H$2)
)),0)</f>
        <v>0</v>
      </c>
      <c r="H5" s="328" cm="1">
        <f t="array" ref="H5">+IFERROR(SUM(
_xlfn._xlws.FILTER(Table_Main[Số lượng],
NOT(ISBLANK(Table_Main[Đơn bán]))*
(Table_Main[Loại] = "Xuất")*
(Table_Main[Ngày lên đơn] &gt;= H$2)*
(Table_Main[Ngày lên đơn] &lt;I$2)
)),0)
-IFERROR(SUM(
_xlfn._xlws.FILTER(Table_Main[Số lượng],
NOT(ISBLANK(Table_Main[Đơn bán]))*
(Table_Main[Loại] = "Nhập")*
(Table_Main[Ngày lên đơn] &gt;= H$2)*
(Table_Main[Ngày lên đơn] &lt; I$2)
)),0)</f>
        <v>0</v>
      </c>
      <c r="I5" s="328" cm="1">
        <f t="array" ref="I5">+IFERROR(SUM(
_xlfn._xlws.FILTER(Table_Main[Số lượng],
NOT(ISBLANK(Table_Main[Đơn bán]))*
(Table_Main[Loại] = "Xuất")*
(Table_Main[Ngày lên đơn] &gt;= I$2)*
(Table_Main[Ngày lên đơn] &lt;J$2)
)),0)
-IFERROR(SUM(
_xlfn._xlws.FILTER(Table_Main[Số lượng],
NOT(ISBLANK(Table_Main[Đơn bán]))*
(Table_Main[Loại] = "Nhập")*
(Table_Main[Ngày lên đơn] &gt;= I$2)*
(Table_Main[Ngày lên đơn] &lt; J$2)
)),0)</f>
        <v>0</v>
      </c>
      <c r="J5" s="328" cm="1">
        <f t="array" ref="J5">+IFERROR(SUM(
_xlfn._xlws.FILTER(Table_Main[Số lượng],
NOT(ISBLANK(Table_Main[Đơn bán]))*
(Table_Main[Loại] = "Xuất")*
(Table_Main[Ngày lên đơn] &gt;= J$2)*
(Table_Main[Ngày lên đơn] &lt;K$2)
)),0)
-IFERROR(SUM(
_xlfn._xlws.FILTER(Table_Main[Số lượng],
NOT(ISBLANK(Table_Main[Đơn bán]))*
(Table_Main[Loại] = "Nhập")*
(Table_Main[Ngày lên đơn] &gt;= J$2)*
(Table_Main[Ngày lên đơn] &lt; K$2)
)),0)</f>
        <v>0</v>
      </c>
      <c r="K5" s="328" cm="1">
        <f t="array" ref="K5">+IFERROR(SUM(
_xlfn._xlws.FILTER(Table_Main[Số lượng],
NOT(ISBLANK(Table_Main[Đơn bán]))*
(Table_Main[Loại] = "Xuất")*
(Table_Main[Ngày lên đơn] &gt;= K$2)*
(Table_Main[Ngày lên đơn] &lt;L$2)
)),0)
-IFERROR(SUM(
_xlfn._xlws.FILTER(Table_Main[Số lượng],
NOT(ISBLANK(Table_Main[Đơn bán]))*
(Table_Main[Loại] = "Nhập")*
(Table_Main[Ngày lên đơn] &gt;= K$2)*
(Table_Main[Ngày lên đơn] &lt; L$2)
)),0)</f>
        <v>0</v>
      </c>
      <c r="L5" s="328" cm="1">
        <f t="array" ref="L5">+IFERROR(SUM(
_xlfn._xlws.FILTER(Table_Main[Số lượng],
NOT(ISBLANK(Table_Main[Đơn bán]))*
(Table_Main[Loại] = "Xuất")*
(Table_Main[Ngày lên đơn] &gt;= L$2)*
(Table_Main[Ngày lên đơn] &lt;M$2)
)),0)
-IFERROR(SUM(
_xlfn._xlws.FILTER(Table_Main[Số lượng],
NOT(ISBLANK(Table_Main[Đơn bán]))*
(Table_Main[Loại] = "Nhập")*
(Table_Main[Ngày lên đơn] &gt;= L$2)*
(Table_Main[Ngày lên đơn] &lt; M$2)
)),0)</f>
        <v>0</v>
      </c>
      <c r="M5" s="328" cm="1">
        <f t="array" ref="M5">+IFERROR(SUM(
_xlfn._xlws.FILTER(Table_Main[Số lượng],
NOT(ISBLANK(Table_Main[Đơn bán]))*
(Table_Main[Loại] = "Xuất")*
(Table_Main[Ngày lên đơn] &gt;= M$2)*
(Table_Main[Ngày lên đơn] &lt;N$2)
)),0)
-IFERROR(SUM(
_xlfn._xlws.FILTER(Table_Main[Số lượng],
NOT(ISBLANK(Table_Main[Đơn bán]))*
(Table_Main[Loại] = "Nhập")*
(Table_Main[Ngày lên đơn] &gt;= M$2)*
(Table_Main[Ngày lên đơn] &lt; N$2)
)),0)</f>
        <v>0</v>
      </c>
      <c r="N5" s="328" cm="1">
        <f t="array" ref="N5">+IFERROR(SUM(
_xlfn._xlws.FILTER(Table_Main[Số lượng],
NOT(ISBLANK(Table_Main[Đơn bán]))*
(Table_Main[Loại] = "Xuất")*
(Table_Main[Ngày lên đơn] &gt;= N$2)*
(Table_Main[Ngày lên đơn] &lt;O$2)
)),0)
-IFERROR(SUM(
_xlfn._xlws.FILTER(Table_Main[Số lượng],
NOT(ISBLANK(Table_Main[Đơn bán]))*
(Table_Main[Loại] = "Nhập")*
(Table_Main[Ngày lên đơn] &gt;= N$2)*
(Table_Main[Ngày lên đơn] &lt; O$2)
)),0)</f>
        <v>0</v>
      </c>
      <c r="O5" s="328" cm="1">
        <f t="array" ref="O5">+IFERROR(SUM(
_xlfn._xlws.FILTER(Table_Main[Số lượng],
NOT(ISBLANK(Table_Main[Đơn bán]))*
(Table_Main[Loại] = "Xuất")*
(Table_Main[Ngày lên đơn] &gt;= O$2)*
(Table_Main[Ngày lên đơn] &lt;P$2)
)),0)
-IFERROR(SUM(
_xlfn._xlws.FILTER(Table_Main[Số lượng],
NOT(ISBLANK(Table_Main[Đơn bán]))*
(Table_Main[Loại] = "Nhập")*
(Table_Main[Ngày lên đơn] &gt;= O$2)*
(Table_Main[Ngày lên đơn] &lt; P$2)
)),0)</f>
        <v>0</v>
      </c>
      <c r="P5" s="326"/>
      <c r="Q5" s="242"/>
      <c r="R5" s="74" t="s">
        <v>73</v>
      </c>
      <c r="S5" s="328" cm="1">
        <f t="array" ref="S5">+IFERROR(SUM(
_xlfn._xlws.FILTER(Table_Main[Số lượng],
NOT(ISBLANK(Table_Main[Đơn bán]))*
(Table_Main[Loại] = "Xuất")*
(Table_Main[Ngày lên đơn] &gt;= DATE(S$1,1,1))*
(Table_Main[Ngày lên đơn] &lt;DATE(S$1+1,1,1))
)),0)
-IFERROR(SUM(
_xlfn._xlws.FILTER(Table_Main[Số lượng],
NOT(ISBLANK(Table_Main[Đơn bán]))*
(Table_Main[Loại] = "Nhập")*
(Table_Main[Ngày lên đơn] &gt;= DATE(S$1,1,1))*
(Table_Main[Ngày lên đơn] &lt;DATE(S$1+1,1,1))
)),0)</f>
        <v>0</v>
      </c>
      <c r="T5" s="242"/>
      <c r="U5" s="74" t="s">
        <v>73</v>
      </c>
      <c r="V5" s="328" cm="1">
        <f t="array" ref="V5">+IFERROR(SUM(
_xlfn._xlws.FILTER(Table_Main[Số lượng],
NOT(ISBLANK(Table_Main[Đơn bán]))*
(Table_Main[Loại] = "Xuất")*
(Table_Main[Ngày lên đơn] &gt;= V$1)*
(Table_Main[Ngày lên đơn] &lt;DATE(YEAR(V$1),MONTH(V$1)+1,1))
)),0)
-IFERROR(SUM(
_xlfn._xlws.FILTER(Table_Main[Số lượng],
NOT(ISBLANK(Table_Main[Đơn bán]))*
(Table_Main[Loại] = "Nhập")*
(Table_Main[Ngày lên đơn] &gt;= V$1)*
(Table_Main[Ngày lên đơn] &lt;DATE(YEAR(V$1),MONTH(V$1)+1,1))
)),0)</f>
        <v>0</v>
      </c>
    </row>
    <row r="6" spans="2:22" ht="18" customHeight="1" outlineLevel="1" x14ac:dyDescent="0.3">
      <c r="B6" s="87" t="s">
        <v>282</v>
      </c>
      <c r="C6" s="104" t="e">
        <f>(-C21/(C19/C5))/12</f>
        <v>#DIV/0!</v>
      </c>
      <c r="D6" s="104" t="e">
        <f t="shared" ref="D6:O6" si="1">(-D21/(D19/D5))</f>
        <v>#DIV/0!</v>
      </c>
      <c r="E6" s="104" t="e">
        <f t="shared" si="1"/>
        <v>#DIV/0!</v>
      </c>
      <c r="F6" s="104" t="e">
        <f t="shared" si="1"/>
        <v>#DIV/0!</v>
      </c>
      <c r="G6" s="104" t="e">
        <f t="shared" si="1"/>
        <v>#DIV/0!</v>
      </c>
      <c r="H6" s="104" t="e">
        <f t="shared" si="1"/>
        <v>#DIV/0!</v>
      </c>
      <c r="I6" s="104" t="e">
        <f t="shared" si="1"/>
        <v>#DIV/0!</v>
      </c>
      <c r="J6" s="104" t="e">
        <f t="shared" si="1"/>
        <v>#DIV/0!</v>
      </c>
      <c r="K6" s="104" t="e">
        <f t="shared" si="1"/>
        <v>#DIV/0!</v>
      </c>
      <c r="L6" s="104" t="e">
        <f t="shared" si="1"/>
        <v>#DIV/0!</v>
      </c>
      <c r="M6" s="104" t="e">
        <f t="shared" si="1"/>
        <v>#DIV/0!</v>
      </c>
      <c r="N6" s="104" t="e">
        <f t="shared" si="1"/>
        <v>#DIV/0!</v>
      </c>
      <c r="O6" s="104" t="e">
        <f t="shared" si="1"/>
        <v>#DIV/0!</v>
      </c>
      <c r="P6" s="329"/>
      <c r="Q6" s="242"/>
      <c r="R6" s="87" t="s">
        <v>282</v>
      </c>
      <c r="S6" s="104" t="e">
        <f>(-S21/(S19/S5))/12</f>
        <v>#DIV/0!</v>
      </c>
      <c r="T6" s="242"/>
      <c r="U6" s="87" t="s">
        <v>282</v>
      </c>
      <c r="V6" s="104" t="e">
        <f>(-V21/(V19/V5))</f>
        <v>#DIV/0!</v>
      </c>
    </row>
    <row r="7" spans="2:22" ht="18" customHeight="1" outlineLevel="1" x14ac:dyDescent="0.3">
      <c r="B7" s="87" t="s">
        <v>283</v>
      </c>
      <c r="C7" s="104" t="e">
        <f>(-C21/(C19/C5))/365</f>
        <v>#DIV/0!</v>
      </c>
      <c r="D7" s="104" t="e">
        <f t="shared" ref="D7:O7" si="2">D6/_xlfn.DAYS(E2,D2)</f>
        <v>#DIV/0!</v>
      </c>
      <c r="E7" s="104" t="e">
        <f t="shared" si="2"/>
        <v>#DIV/0!</v>
      </c>
      <c r="F7" s="104" t="e">
        <f t="shared" si="2"/>
        <v>#DIV/0!</v>
      </c>
      <c r="G7" s="104" t="e">
        <f t="shared" si="2"/>
        <v>#DIV/0!</v>
      </c>
      <c r="H7" s="104" t="e">
        <f t="shared" si="2"/>
        <v>#DIV/0!</v>
      </c>
      <c r="I7" s="104" t="e">
        <f t="shared" si="2"/>
        <v>#DIV/0!</v>
      </c>
      <c r="J7" s="104" t="e">
        <f t="shared" si="2"/>
        <v>#DIV/0!</v>
      </c>
      <c r="K7" s="104" t="e">
        <f t="shared" si="2"/>
        <v>#DIV/0!</v>
      </c>
      <c r="L7" s="104" t="e">
        <f t="shared" si="2"/>
        <v>#DIV/0!</v>
      </c>
      <c r="M7" s="104" t="e">
        <f t="shared" si="2"/>
        <v>#DIV/0!</v>
      </c>
      <c r="N7" s="104" t="e">
        <f t="shared" si="2"/>
        <v>#DIV/0!</v>
      </c>
      <c r="O7" s="104" t="e">
        <f t="shared" si="2"/>
        <v>#DIV/0!</v>
      </c>
      <c r="P7" s="329"/>
      <c r="Q7" s="242"/>
      <c r="R7" s="87" t="s">
        <v>283</v>
      </c>
      <c r="S7" s="104" t="e">
        <f>S6/(365.25/12)</f>
        <v>#DIV/0!</v>
      </c>
      <c r="T7" s="242"/>
      <c r="U7" s="87" t="s">
        <v>283</v>
      </c>
      <c r="V7" s="104" t="e">
        <f>V6/_xlfn.DAYS(DATE(YEAR(V$1),MONTH(V$1)+1,1),V$1)</f>
        <v>#DIV/0!</v>
      </c>
    </row>
    <row r="8" spans="2:22" ht="18" customHeight="1" outlineLevel="1" x14ac:dyDescent="0.3">
      <c r="B8" s="54" t="s">
        <v>75</v>
      </c>
      <c r="C8" s="101" t="e">
        <f>(C5/365)/C7-1</f>
        <v>#DIV/0!</v>
      </c>
      <c r="D8" s="101" t="e">
        <f t="shared" ref="D8:O8" si="3">(D5/_xlfn.DAYS(E2,D2))/D7-1</f>
        <v>#DIV/0!</v>
      </c>
      <c r="E8" s="101" t="e">
        <f t="shared" si="3"/>
        <v>#DIV/0!</v>
      </c>
      <c r="F8" s="101" t="e">
        <f t="shared" si="3"/>
        <v>#DIV/0!</v>
      </c>
      <c r="G8" s="101" t="e">
        <f t="shared" si="3"/>
        <v>#DIV/0!</v>
      </c>
      <c r="H8" s="101" t="e">
        <f t="shared" si="3"/>
        <v>#DIV/0!</v>
      </c>
      <c r="I8" s="101" t="e">
        <f t="shared" si="3"/>
        <v>#DIV/0!</v>
      </c>
      <c r="J8" s="101" t="e">
        <f t="shared" si="3"/>
        <v>#DIV/0!</v>
      </c>
      <c r="K8" s="101" t="e">
        <f t="shared" si="3"/>
        <v>#DIV/0!</v>
      </c>
      <c r="L8" s="101" t="e">
        <f t="shared" si="3"/>
        <v>#DIV/0!</v>
      </c>
      <c r="M8" s="101" t="e">
        <f t="shared" si="3"/>
        <v>#DIV/0!</v>
      </c>
      <c r="N8" s="101" t="e">
        <f t="shared" si="3"/>
        <v>#DIV/0!</v>
      </c>
      <c r="O8" s="101" t="e">
        <f t="shared" si="3"/>
        <v>#DIV/0!</v>
      </c>
      <c r="P8" s="329"/>
      <c r="Q8" s="242"/>
      <c r="R8" s="54" t="s">
        <v>75</v>
      </c>
      <c r="S8" s="210" t="e">
        <f>(S5/_xlfn.DAYS(DATE(S1+1,1,1), DATE(S1,1,1)))/S7-1</f>
        <v>#DIV/0!</v>
      </c>
      <c r="T8" s="242"/>
      <c r="U8" s="54" t="s">
        <v>75</v>
      </c>
      <c r="V8" s="110" t="e">
        <f>(V5/_xlfn.DAYS(DATE(YEAR(V$1),MONTH(V$1)+1,1),V$1))/V7-1</f>
        <v>#DIV/0!</v>
      </c>
    </row>
    <row r="9" spans="2:22" ht="18" customHeight="1" outlineLevel="1" x14ac:dyDescent="0.3">
      <c r="B9" s="74" t="s">
        <v>33</v>
      </c>
      <c r="C9" s="330" cm="1">
        <f t="array" ref="C9">IFERROR(SUM(
_xlfn._xlws.FILTER(Table_Main[Thành tiền niêm yết],
NOT(ISBLANK(Table_Main[Đơn bán]))*
(Table_Main[Ngày lên đơn] &gt;= D2)*
(Table_Main[Ngày lên đơn] &lt; P2)
)),0)</f>
        <v>0</v>
      </c>
      <c r="D9" s="330" cm="1">
        <f t="array" ref="D9">IFERROR(SUM(
_xlfn._xlws.FILTER(Table_Main[Thành tiền niêm yết],
NOT(ISBLANK(Table_Main[Đơn bán]))*
(Table_Main[Ngày lên đơn] &gt;= D2)*
(Table_Main[Ngày lên đơn] &lt; E2)
)),0)</f>
        <v>0</v>
      </c>
      <c r="E9" s="330" cm="1">
        <f t="array" ref="E9">IFERROR(SUM(
_xlfn._xlws.FILTER(Table_Main[Thành tiền niêm yết],
NOT(ISBLANK(Table_Main[Đơn bán]))*
(Table_Main[Ngày lên đơn] &gt;= E2)*
(Table_Main[Ngày lên đơn] &lt; F2)
)),0)</f>
        <v>0</v>
      </c>
      <c r="F9" s="330" cm="1">
        <f t="array" ref="F9">IFERROR(SUM(
_xlfn._xlws.FILTER(Table_Main[Thành tiền niêm yết],
NOT(ISBLANK(Table_Main[Đơn bán]))*
(Table_Main[Ngày lên đơn] &gt;= F2)*
(Table_Main[Ngày lên đơn] &lt; G2)
)),0)</f>
        <v>0</v>
      </c>
      <c r="G9" s="330" cm="1">
        <f t="array" ref="G9">IFERROR(SUM(
_xlfn._xlws.FILTER(Table_Main[Thành tiền niêm yết],
NOT(ISBLANK(Table_Main[Đơn bán]))*
(Table_Main[Ngày lên đơn] &gt;= G2)*
(Table_Main[Ngày lên đơn] &lt; H2)
)),0)</f>
        <v>0</v>
      </c>
      <c r="H9" s="330" cm="1">
        <f t="array" ref="H9">IFERROR(SUM(
_xlfn._xlws.FILTER(Table_Main[Thành tiền niêm yết],
NOT(ISBLANK(Table_Main[Đơn bán]))*
(Table_Main[Ngày lên đơn] &gt;= H2)*
(Table_Main[Ngày lên đơn] &lt; I2)
)),0)</f>
        <v>0</v>
      </c>
      <c r="I9" s="330" cm="1">
        <f t="array" ref="I9">IFERROR(SUM(
_xlfn._xlws.FILTER(Table_Main[Thành tiền niêm yết],
NOT(ISBLANK(Table_Main[Đơn bán]))*
(Table_Main[Ngày lên đơn] &gt;= I2)*
(Table_Main[Ngày lên đơn] &lt; J2)
)),0)</f>
        <v>0</v>
      </c>
      <c r="J9" s="330" cm="1">
        <f t="array" ref="J9">IFERROR(SUM(
_xlfn._xlws.FILTER(Table_Main[Thành tiền niêm yết],
NOT(ISBLANK(Table_Main[Đơn bán]))*
(Table_Main[Ngày lên đơn] &gt;= J2)*
(Table_Main[Ngày lên đơn] &lt; K2)
)),0)</f>
        <v>0</v>
      </c>
      <c r="K9" s="330" cm="1">
        <f t="array" ref="K9">IFERROR(SUM(
_xlfn._xlws.FILTER(Table_Main[Thành tiền niêm yết],
NOT(ISBLANK(Table_Main[Đơn bán]))*
(Table_Main[Ngày lên đơn] &gt;= K2)*
(Table_Main[Ngày lên đơn] &lt; L2)
)),0)</f>
        <v>0</v>
      </c>
      <c r="L9" s="330" cm="1">
        <f t="array" ref="L9">IFERROR(SUM(
_xlfn._xlws.FILTER(Table_Main[Thành tiền niêm yết],
NOT(ISBLANK(Table_Main[Đơn bán]))*
(Table_Main[Ngày lên đơn] &gt;= L2)*
(Table_Main[Ngày lên đơn] &lt; M2)
)),0)</f>
        <v>0</v>
      </c>
      <c r="M9" s="330" cm="1">
        <f t="array" ref="M9">IFERROR(SUM(
_xlfn._xlws.FILTER(Table_Main[Thành tiền niêm yết],
NOT(ISBLANK(Table_Main[Đơn bán]))*
(Table_Main[Ngày lên đơn] &gt;= M2)*
(Table_Main[Ngày lên đơn] &lt; N2)
)),0)</f>
        <v>0</v>
      </c>
      <c r="N9" s="330" cm="1">
        <f t="array" ref="N9">IFERROR(SUM(
_xlfn._xlws.FILTER(Table_Main[Thành tiền niêm yết],
NOT(ISBLANK(Table_Main[Đơn bán]))*
(Table_Main[Ngày lên đơn] &gt;= N2)*
(Table_Main[Ngày lên đơn] &lt; O2)
)),0)</f>
        <v>0</v>
      </c>
      <c r="O9" s="330" cm="1">
        <f t="array" ref="O9">IFERROR(SUM(
_xlfn._xlws.FILTER(Table_Main[Thành tiền niêm yết],
NOT(ISBLANK(Table_Main[Đơn bán]))*
(Table_Main[Ngày lên đơn] &gt;= O2)*
(Table_Main[Ngày lên đơn] &lt; P2)
)),0)</f>
        <v>0</v>
      </c>
      <c r="P9" s="326"/>
      <c r="Q9" s="242"/>
      <c r="R9" s="74" t="s">
        <v>33</v>
      </c>
      <c r="S9" s="330" cm="1">
        <f t="array" ref="S9">IFERROR(SUM(
_xlfn._xlws.FILTER(Table_Main[Thành tiền niêm yết],
NOT(ISBLANK(Table_Main[Đơn bán]))*
(Table_Main[Ngày lên đơn] &gt;= DATE(S$1,1,1))*
(Table_Main[Ngày lên đơn] &lt;DATE(S$1+1,1,1))
)),0)</f>
        <v>0</v>
      </c>
      <c r="T9" s="242"/>
      <c r="U9" s="74" t="s">
        <v>33</v>
      </c>
      <c r="V9" s="103" cm="1">
        <f t="array" ref="V9">IFERROR(SUM(
_xlfn._xlws.FILTER(Table_Main[Thành tiền niêm yết],
NOT(ISBLANK(Table_Main[Đơn bán]))*
(Table_Main[Ngày lên đơn] &gt;= V$1)*
(Table_Main[Ngày lên đơn] &lt;DATE(YEAR(V$1),MONTH(V$1)+1,1))
)),0)</f>
        <v>0</v>
      </c>
    </row>
    <row r="10" spans="2:22" ht="18" customHeight="1" outlineLevel="1" x14ac:dyDescent="0.3">
      <c r="B10" s="99" t="s">
        <v>284</v>
      </c>
      <c r="C10" s="109">
        <f>IFERROR((C9+C11)/C9,0)</f>
        <v>0</v>
      </c>
      <c r="D10" s="109">
        <f t="shared" ref="D10:O10" si="4">IFERROR((D9+D11)/D9,0)</f>
        <v>0</v>
      </c>
      <c r="E10" s="109">
        <f t="shared" si="4"/>
        <v>0</v>
      </c>
      <c r="F10" s="109">
        <f t="shared" si="4"/>
        <v>0</v>
      </c>
      <c r="G10" s="109">
        <f t="shared" si="4"/>
        <v>0</v>
      </c>
      <c r="H10" s="109">
        <f t="shared" si="4"/>
        <v>0</v>
      </c>
      <c r="I10" s="109">
        <f t="shared" si="4"/>
        <v>0</v>
      </c>
      <c r="J10" s="109">
        <f t="shared" si="4"/>
        <v>0</v>
      </c>
      <c r="K10" s="109">
        <f t="shared" si="4"/>
        <v>0</v>
      </c>
      <c r="L10" s="109">
        <f t="shared" si="4"/>
        <v>0</v>
      </c>
      <c r="M10" s="109">
        <f t="shared" si="4"/>
        <v>0</v>
      </c>
      <c r="N10" s="109">
        <f t="shared" si="4"/>
        <v>0</v>
      </c>
      <c r="O10" s="109">
        <f t="shared" si="4"/>
        <v>0</v>
      </c>
      <c r="P10" s="326"/>
      <c r="Q10" s="242"/>
      <c r="R10" s="99" t="s">
        <v>284</v>
      </c>
      <c r="S10" s="109">
        <f>IFERROR((S9+S11)/S9,0)</f>
        <v>0</v>
      </c>
      <c r="T10" s="242"/>
      <c r="U10" s="99" t="s">
        <v>284</v>
      </c>
      <c r="V10" s="109">
        <f>IFERROR((V9+V11)/V9,0)</f>
        <v>0</v>
      </c>
    </row>
    <row r="11" spans="2:22" ht="18" customHeight="1" outlineLevel="1" x14ac:dyDescent="0.3">
      <c r="B11" s="54" t="s">
        <v>77</v>
      </c>
      <c r="C11" s="325">
        <f t="shared" ref="C11:O11" si="5">SUM(C12:C18)</f>
        <v>0</v>
      </c>
      <c r="D11" s="325">
        <f t="shared" si="5"/>
        <v>0</v>
      </c>
      <c r="E11" s="325">
        <f t="shared" si="5"/>
        <v>0</v>
      </c>
      <c r="F11" s="325">
        <f t="shared" si="5"/>
        <v>0</v>
      </c>
      <c r="G11" s="325">
        <f t="shared" si="5"/>
        <v>0</v>
      </c>
      <c r="H11" s="325">
        <f t="shared" si="5"/>
        <v>0</v>
      </c>
      <c r="I11" s="325">
        <f t="shared" si="5"/>
        <v>0</v>
      </c>
      <c r="J11" s="325">
        <f t="shared" si="5"/>
        <v>0</v>
      </c>
      <c r="K11" s="325">
        <f t="shared" si="5"/>
        <v>0</v>
      </c>
      <c r="L11" s="325">
        <f t="shared" si="5"/>
        <v>0</v>
      </c>
      <c r="M11" s="325">
        <f t="shared" si="5"/>
        <v>0</v>
      </c>
      <c r="N11" s="325">
        <f t="shared" si="5"/>
        <v>0</v>
      </c>
      <c r="O11" s="325">
        <f t="shared" si="5"/>
        <v>0</v>
      </c>
      <c r="P11" s="326"/>
      <c r="Q11" s="242"/>
      <c r="R11" s="54" t="s">
        <v>77</v>
      </c>
      <c r="S11" s="325">
        <f>SUM(S12:S18)</f>
        <v>0</v>
      </c>
      <c r="T11" s="242"/>
      <c r="U11" s="54" t="s">
        <v>77</v>
      </c>
      <c r="V11" s="325">
        <f>SUM(V12:V18)</f>
        <v>0</v>
      </c>
    </row>
    <row r="12" spans="2:22" ht="18" customHeight="1" outlineLevel="2" x14ac:dyDescent="0.3">
      <c r="B12" s="73" t="s">
        <v>285</v>
      </c>
      <c r="C12" s="331" cm="1">
        <f t="array" ref="C12">-IFERROR(SUM(
_xlfn._xlws.FILTER(Table_Main[Giá trị CK],
NOT(ISBLANK(Table_Main[Đơn bán]))*
(Table_Main[Ngày lên đơn] &gt;= D2)*
(Table_Main[Ngày lên đơn] &lt; P2)
)),0)
-IFERROR(SUM(
_xlfn._xlws.FILTER(Table_DonBan[Giá trị CK],
( Table_DonBan[Ngày lập]&gt;= D2)*
(Table_DonBan[Ngày lập] &lt; P2)
)),0)</f>
        <v>0</v>
      </c>
      <c r="D12" s="331" cm="1">
        <f t="array" ref="D12">-IFERROR(SUM(
_xlfn._xlws.FILTER(Table_Main[Giá trị CK],
NOT(ISBLANK(Table_Main[Đơn bán]))*
(Table_Main[Ngày lên đơn] &gt;= D2)*
(Table_Main[Ngày lên đơn] &lt; E2)
)),0)
-IFERROR(SUM(
_xlfn._xlws.FILTER(Table_DonBan[Giá trị CK],
( Table_DonBan[Ngày lập]&gt;= D2)*
(Table_DonBan[Ngày lập] &lt; E2)
)),0)</f>
        <v>0</v>
      </c>
      <c r="E12" s="331" cm="1">
        <f t="array" ref="E12">-IFERROR(SUM(
_xlfn._xlws.FILTER(Table_Main[Giá trị CK],
NOT(ISBLANK(Table_Main[Đơn bán]))*
(Table_Main[Ngày lên đơn] &gt;= E2)*
(Table_Main[Ngày lên đơn] &lt; F2)
)),0)
-IFERROR(SUM(
_xlfn._xlws.FILTER(Table_DonBan[Giá trị CK],
( Table_DonBan[Ngày lập]&gt;= E2)*
(Table_DonBan[Ngày lập] &lt; F2)
)),0)</f>
        <v>0</v>
      </c>
      <c r="F12" s="331" cm="1">
        <f t="array" ref="F12">-IFERROR(SUM(
_xlfn._xlws.FILTER(Table_Main[Giá trị CK],
NOT(ISBLANK(Table_Main[Đơn bán]))*
(Table_Main[Ngày lên đơn] &gt;= F2)*
(Table_Main[Ngày lên đơn] &lt; G2)
)),0)
-IFERROR(SUM(
_xlfn._xlws.FILTER(Table_DonBan[Giá trị CK],
( Table_DonBan[Ngày lập]&gt;= F2)*
(Table_DonBan[Ngày lập] &lt; G2)
)),0)</f>
        <v>0</v>
      </c>
      <c r="G12" s="331" cm="1">
        <f t="array" ref="G12">-IFERROR(SUM(
_xlfn._xlws.FILTER(Table_Main[Giá trị CK],
NOT(ISBLANK(Table_Main[Đơn bán]))*
(Table_Main[Ngày lên đơn] &gt;= G2)*
(Table_Main[Ngày lên đơn] &lt; H2)
)),0)
-IFERROR(SUM(
_xlfn._xlws.FILTER(Table_DonBan[Giá trị CK],
( Table_DonBan[Ngày lập]&gt;= G2)*
(Table_DonBan[Ngày lập] &lt; H2)
)),0)</f>
        <v>0</v>
      </c>
      <c r="H12" s="331" cm="1">
        <f t="array" ref="H12">-IFERROR(SUM(
_xlfn._xlws.FILTER(Table_Main[Giá trị CK],
NOT(ISBLANK(Table_Main[Đơn bán]))*
(Table_Main[Ngày lên đơn] &gt;= H2)*
(Table_Main[Ngày lên đơn] &lt; I2)
)),0)
-IFERROR(SUM(
_xlfn._xlws.FILTER(Table_DonBan[Giá trị CK],
( Table_DonBan[Ngày lập]&gt;= H2)*
(Table_DonBan[Ngày lập] &lt; I2)
)),0)</f>
        <v>0</v>
      </c>
      <c r="I12" s="331" cm="1">
        <f t="array" ref="I12">-IFERROR(SUM(
_xlfn._xlws.FILTER(Table_Main[Giá trị CK],
NOT(ISBLANK(Table_Main[Đơn bán]))*
(Table_Main[Ngày lên đơn] &gt;= I2)*
(Table_Main[Ngày lên đơn] &lt; J2)
)),0)
-IFERROR(SUM(
_xlfn._xlws.FILTER(Table_DonBan[Giá trị CK],
( Table_DonBan[Ngày lập]&gt;= I2)*
(Table_DonBan[Ngày lập] &lt; J2)
)),0)</f>
        <v>0</v>
      </c>
      <c r="J12" s="331" cm="1">
        <f t="array" ref="J12">-IFERROR(SUM(
_xlfn._xlws.FILTER(Table_Main[Giá trị CK],
NOT(ISBLANK(Table_Main[Đơn bán]))*
(Table_Main[Ngày lên đơn] &gt;= J2)*
(Table_Main[Ngày lên đơn] &lt; K2)
)),0)
-IFERROR(SUM(
_xlfn._xlws.FILTER(Table_DonBan[Giá trị CK],
( Table_DonBan[Ngày lập]&gt;= J2)*
(Table_DonBan[Ngày lập] &lt; K2)
)),0)</f>
        <v>0</v>
      </c>
      <c r="K12" s="331" cm="1">
        <f t="array" ref="K12">-IFERROR(SUM(
_xlfn._xlws.FILTER(Table_Main[Giá trị CK],
NOT(ISBLANK(Table_Main[Đơn bán]))*
(Table_Main[Ngày lên đơn] &gt;= K2)*
(Table_Main[Ngày lên đơn] &lt; L2)
)),0)
-IFERROR(SUM(
_xlfn._xlws.FILTER(Table_DonBan[Giá trị CK],
( Table_DonBan[Ngày lập]&gt;= K2)*
(Table_DonBan[Ngày lập] &lt; L2)
)),0)</f>
        <v>0</v>
      </c>
      <c r="L12" s="331" cm="1">
        <f t="array" ref="L12">-IFERROR(SUM(
_xlfn._xlws.FILTER(Table_Main[Giá trị CK],
NOT(ISBLANK(Table_Main[Đơn bán]))*
(Table_Main[Ngày lên đơn] &gt;= L2)*
(Table_Main[Ngày lên đơn] &lt; M2)
)),0)
-IFERROR(SUM(
_xlfn._xlws.FILTER(Table_DonBan[Giá trị CK],
( Table_DonBan[Ngày lập]&gt;= L2)*
(Table_DonBan[Ngày lập] &lt; M2)
)),0)</f>
        <v>0</v>
      </c>
      <c r="M12" s="331" cm="1">
        <f t="array" ref="M12">-IFERROR(SUM(
_xlfn._xlws.FILTER(Table_Main[Giá trị CK],
NOT(ISBLANK(Table_Main[Đơn bán]))*
(Table_Main[Ngày lên đơn] &gt;= M2)*
(Table_Main[Ngày lên đơn] &lt; N2)
)),0)
-IFERROR(SUM(
_xlfn._xlws.FILTER(Table_DonBan[Giá trị CK],
( Table_DonBan[Ngày lập]&gt;= M2)*
(Table_DonBan[Ngày lập] &lt; N2)
)),0)</f>
        <v>0</v>
      </c>
      <c r="N12" s="331" cm="1">
        <f t="array" ref="N12">-IFERROR(SUM(
_xlfn._xlws.FILTER(Table_Main[Giá trị CK],
NOT(ISBLANK(Table_Main[Đơn bán]))*
(Table_Main[Ngày lên đơn] &gt;= N2)*
(Table_Main[Ngày lên đơn] &lt; O2)
)),0)
-IFERROR(SUM(
_xlfn._xlws.FILTER(Table_DonBan[Giá trị CK],
( Table_DonBan[Ngày lập]&gt;= N2)*
(Table_DonBan[Ngày lập] &lt; O2)
)),0)</f>
        <v>0</v>
      </c>
      <c r="O12" s="331" cm="1">
        <f t="array" ref="O12">-IFERROR(SUM(
_xlfn._xlws.FILTER(Table_Main[Giá trị CK],
NOT(ISBLANK(Table_Main[Đơn bán]))*
(Table_Main[Ngày lên đơn] &gt;= O2)*
(Table_Main[Ngày lên đơn] &lt; P2)
)),0)
-IFERROR(SUM(
_xlfn._xlws.FILTER(Table_DonBan[Giá trị CK],
( Table_DonBan[Ngày lập]&gt;= O2)*
(Table_DonBan[Ngày lập] &lt; P2)
)),0)</f>
        <v>0</v>
      </c>
      <c r="P12" s="327"/>
      <c r="Q12" s="242"/>
      <c r="R12" s="73" t="s">
        <v>285</v>
      </c>
      <c r="S12" s="331" cm="1">
        <f t="array" ref="S12">-IFERROR(SUM(
_xlfn._xlws.FILTER(Table_Main[Giá trị CK],
NOT(ISBLANK(Table_Main[Đơn bán]))*
(Table_Main[Ngày lên đơn] &gt;= DATE(S$1,1,1))*
(Table_Main[Ngày lên đơn] &lt; DATE(S$1+1,1,1))
)),0)
-IFERROR(SUM(
_xlfn._xlws.FILTER(Table_DonBan[Giá trị CK],
( Table_DonBan[Ngày lập]&gt;= DATE(S$1,1,1))*
(Table_DonBan[Ngày lập] &lt; DATE(S$1+1,1,1))
)),0)</f>
        <v>0</v>
      </c>
      <c r="T12" s="242"/>
      <c r="U12" s="73" t="s">
        <v>285</v>
      </c>
      <c r="V12" s="331" cm="1">
        <f t="array" ref="V12">-IFERROR(SUM(
_xlfn._xlws.FILTER(Table_Main[Giá trị CK],
NOT(ISBLANK(Table_Main[Đơn bán]))*
(Table_Main[Ngày lên đơn] &gt;= V$1)*
(Table_Main[Ngày lên đơn] &lt; DATE(YEAR(V$1),MONTH(V$1)+1,1))
)),0)
-IFERROR(SUM(
_xlfn._xlws.FILTER(Table_DonBan[Giá trị CK],
( Table_DonBan[Ngày lập]&gt;= V$1)*
(Table_DonBan[Ngày lập] &lt; DATE(YEAR(V$1),MONTH(V$1)+1,1))
)),0)</f>
        <v>0</v>
      </c>
    </row>
    <row r="13" spans="2:22" ht="18" customHeight="1" outlineLevel="2" x14ac:dyDescent="0.3">
      <c r="B13" s="73" t="s">
        <v>286</v>
      </c>
      <c r="C13" s="331" cm="1">
        <f t="array" ref="C13">-IFERROR(
SUM(_xlfn._xlws.FILTER(Table_TonKho[Chi phí ghi nhận],
(Table_TonKho[Kỳ]&gt;= D2) *
(Table_TonKho[Kỳ] &lt; P2) *
(Table_TonKho[Chức năng] = "Nguyên liệu")
)),0)
-IFERROR(
SUM(_xlfn._xlws.FILTER(Table_TonKho[Chi phí ghi nhận],
(Table_TonKho[Kỳ]&gt;= D2) *
(Table_TonKho[Kỳ] &lt; P2) *
(Table_TonKho[Chức năng] = "")
)),0)
-IFERROR(
SUM(_xlfn._xlws.FILTER(Table_TonKho[Chi phí ghi nhận],
(Table_TonKho[Kỳ]&gt;= D2) *
(Table_TonKho[Kỳ] &lt; P2) *
(Table_TonKho[Chức năng] = "Sản xuất")
)),0)
-IFERROR(
SUM(_xlfn._xlws.FILTER(Table_TonKho[Chi phí ghi nhận],
(Table_TonKho[Kỳ]&gt;= D2) *
(Table_TonKho[Kỳ] &lt; P2) *
(Table_TonKho[Chức năng] = "Bán hàng")
)),0)</f>
        <v>0</v>
      </c>
      <c r="D13" s="331" cm="1">
        <f t="array" ref="D13">-IFERROR(
SUM(_xlfn._xlws.FILTER(Table_TonKho[Chi phí ghi nhận],
(Table_TonKho[Kỳ]&gt;= D2) *
(Table_TonKho[Kỳ] &lt; E2) *
(Table_TonKho[Chức năng] = "Nguyên liệu")
)),0)
-IFERROR(
SUM(_xlfn._xlws.FILTER(Table_TonKho[Chi phí ghi nhận],
(Table_TonKho[Kỳ]&gt;= D2) *
(Table_TonKho[Kỳ] &lt; E2) *
(Table_TonKho[Chức năng] = "")
)),0)
-IFERROR(
SUM(_xlfn._xlws.FILTER(Table_TonKho[Chi phí ghi nhận],
(Table_TonKho[Kỳ]&gt;= D2) *
(Table_TonKho[Kỳ] &lt; E2) *
(Table_TonKho[Chức năng] = "Sản xuất")
)),0)
-IFERROR(
SUM(_xlfn._xlws.FILTER(Table_TonKho[Chi phí ghi nhận],
(Table_TonKho[Kỳ]&gt;= D2) *
(Table_TonKho[Kỳ] &lt; E2) *
(Table_TonKho[Chức năng] = "Bán hàng")
)),0)</f>
        <v>0</v>
      </c>
      <c r="E13" s="331" cm="1">
        <f t="array" ref="E13">-IFERROR(
SUM(_xlfn._xlws.FILTER(Table_TonKho[Chi phí ghi nhận],
(Table_TonKho[Kỳ]&gt;= E2) *
(Table_TonKho[Kỳ] &lt; F2) *
(Table_TonKho[Chức năng] = "Nguyên liệu")
)),0)
-IFERROR(
SUM(_xlfn._xlws.FILTER(Table_TonKho[Chi phí ghi nhận],
(Table_TonKho[Kỳ]&gt;= E2) *
(Table_TonKho[Kỳ] &lt; F2) *
(Table_TonKho[Chức năng] = "")
)),0)
-IFERROR(
SUM(_xlfn._xlws.FILTER(Table_TonKho[Chi phí ghi nhận],
(Table_TonKho[Kỳ]&gt;= E2) *
(Table_TonKho[Kỳ] &lt; F2) *
(Table_TonKho[Chức năng] = "Sản xuất")
)),0)
-IFERROR(
SUM(_xlfn._xlws.FILTER(Table_TonKho[Chi phí ghi nhận],
(Table_TonKho[Kỳ]&gt;= E2) *
(Table_TonKho[Kỳ] &lt; F2) *
(Table_TonKho[Chức năng] = "Bán hàng")
)),0)</f>
        <v>0</v>
      </c>
      <c r="F13" s="331" cm="1">
        <f t="array" ref="F13">-IFERROR(
SUM(_xlfn._xlws.FILTER(Table_TonKho[Chi phí ghi nhận],
(Table_TonKho[Kỳ]&gt;= F2) *
(Table_TonKho[Kỳ] &lt; G2) *
(Table_TonKho[Chức năng] = "Nguyên liệu")
)),0)
-IFERROR(
SUM(_xlfn._xlws.FILTER(Table_TonKho[Chi phí ghi nhận],
(Table_TonKho[Kỳ]&gt;= F2) *
(Table_TonKho[Kỳ] &lt; G2) *
(Table_TonKho[Chức năng] = "")
)),0)
-IFERROR(
SUM(_xlfn._xlws.FILTER(Table_TonKho[Chi phí ghi nhận],
(Table_TonKho[Kỳ]&gt;= F2) *
(Table_TonKho[Kỳ] &lt; G2) *
(Table_TonKho[Chức năng] = "Sản xuất")
)),0)
-IFERROR(
SUM(_xlfn._xlws.FILTER(Table_TonKho[Chi phí ghi nhận],
(Table_TonKho[Kỳ]&gt;= F2) *
(Table_TonKho[Kỳ] &lt; G2) *
(Table_TonKho[Chức năng] = "Bán hàng")
)),0)</f>
        <v>0</v>
      </c>
      <c r="G13" s="331" cm="1">
        <f t="array" ref="G13">-IFERROR(
SUM(_xlfn._xlws.FILTER(Table_TonKho[Chi phí ghi nhận],
(Table_TonKho[Kỳ]&gt;= G2) *
(Table_TonKho[Kỳ] &lt; H2) *
(Table_TonKho[Chức năng] = "Nguyên liệu")
)),0)
-IFERROR(
SUM(_xlfn._xlws.FILTER(Table_TonKho[Chi phí ghi nhận],
(Table_TonKho[Kỳ]&gt;= G2) *
(Table_TonKho[Kỳ] &lt; H2) *
(Table_TonKho[Chức năng] = "")
)),0)
-IFERROR(
SUM(_xlfn._xlws.FILTER(Table_TonKho[Chi phí ghi nhận],
(Table_TonKho[Kỳ]&gt;= G2) *
(Table_TonKho[Kỳ] &lt; H2) *
(Table_TonKho[Chức năng] = "Sản xuất")
)),0)
-IFERROR(
SUM(_xlfn._xlws.FILTER(Table_TonKho[Chi phí ghi nhận],
(Table_TonKho[Kỳ]&gt;= G2) *
(Table_TonKho[Kỳ] &lt; H2) *
(Table_TonKho[Chức năng] = "Bán hàng")
)),0)</f>
        <v>0</v>
      </c>
      <c r="H13" s="331" cm="1">
        <f t="array" ref="H13">-IFERROR(
SUM(_xlfn._xlws.FILTER(Table_TonKho[Chi phí ghi nhận],
(Table_TonKho[Kỳ]&gt;= H2) *
(Table_TonKho[Kỳ] &lt; I2) *
(Table_TonKho[Chức năng] = "Nguyên liệu")
)),0)
-IFERROR(
SUM(_xlfn._xlws.FILTER(Table_TonKho[Chi phí ghi nhận],
(Table_TonKho[Kỳ]&gt;= H2) *
(Table_TonKho[Kỳ] &lt; I2) *
(Table_TonKho[Chức năng] = "")
)),0)
-IFERROR(
SUM(_xlfn._xlws.FILTER(Table_TonKho[Chi phí ghi nhận],
(Table_TonKho[Kỳ]&gt;= H2) *
(Table_TonKho[Kỳ] &lt; I2) *
(Table_TonKho[Chức năng] = "Sản xuất")
)),0)
-IFERROR(
SUM(_xlfn._xlws.FILTER(Table_TonKho[Chi phí ghi nhận],
(Table_TonKho[Kỳ]&gt;= H2) *
(Table_TonKho[Kỳ] &lt; I2) *
(Table_TonKho[Chức năng] = "Bán hàng")
)),0)</f>
        <v>0</v>
      </c>
      <c r="I13" s="331" cm="1">
        <f t="array" ref="I13">-IFERROR(
SUM(_xlfn._xlws.FILTER(Table_TonKho[Chi phí ghi nhận],
(Table_TonKho[Kỳ]&gt;= I2) *
(Table_TonKho[Kỳ] &lt; J2) *
(Table_TonKho[Chức năng] = "Nguyên liệu")
)),0)
-IFERROR(
SUM(_xlfn._xlws.FILTER(Table_TonKho[Chi phí ghi nhận],
(Table_TonKho[Kỳ]&gt;= I2) *
(Table_TonKho[Kỳ] &lt; J2) *
(Table_TonKho[Chức năng] = "")
)),0)
-IFERROR(
SUM(_xlfn._xlws.FILTER(Table_TonKho[Chi phí ghi nhận],
(Table_TonKho[Kỳ]&gt;= I2) *
(Table_TonKho[Kỳ] &lt; J2) *
(Table_TonKho[Chức năng] = "Sản xuất")
)),0)
-IFERROR(
SUM(_xlfn._xlws.FILTER(Table_TonKho[Chi phí ghi nhận],
(Table_TonKho[Kỳ]&gt;= I2) *
(Table_TonKho[Kỳ] &lt; J2) *
(Table_TonKho[Chức năng] = "Bán hàng")
)),0)</f>
        <v>0</v>
      </c>
      <c r="J13" s="331" cm="1">
        <f t="array" ref="J13">-IFERROR(
SUM(_xlfn._xlws.FILTER(Table_TonKho[Chi phí ghi nhận],
(Table_TonKho[Kỳ]&gt;= J2) *
(Table_TonKho[Kỳ] &lt; K2) *
(Table_TonKho[Chức năng] = "Nguyên liệu")
)),0)
-IFERROR(
SUM(_xlfn._xlws.FILTER(Table_TonKho[Chi phí ghi nhận],
(Table_TonKho[Kỳ]&gt;= J2) *
(Table_TonKho[Kỳ] &lt; K2) *
(Table_TonKho[Chức năng] = "")
)),0)
-IFERROR(
SUM(_xlfn._xlws.FILTER(Table_TonKho[Chi phí ghi nhận],
(Table_TonKho[Kỳ]&gt;= J2) *
(Table_TonKho[Kỳ] &lt; K2) *
(Table_TonKho[Chức năng] = "Sản xuất")
)),0)
-IFERROR(
SUM(_xlfn._xlws.FILTER(Table_TonKho[Chi phí ghi nhận],
(Table_TonKho[Kỳ]&gt;= J2) *
(Table_TonKho[Kỳ] &lt; K2) *
(Table_TonKho[Chức năng] = "Bán hàng")
)),0)</f>
        <v>0</v>
      </c>
      <c r="K13" s="331" cm="1">
        <f t="array" ref="K13">-IFERROR(
SUM(_xlfn._xlws.FILTER(Table_TonKho[Chi phí ghi nhận],
(Table_TonKho[Kỳ]&gt;= K2) *
(Table_TonKho[Kỳ] &lt; L2) *
(Table_TonKho[Chức năng] = "Nguyên liệu")
)),0)
-IFERROR(
SUM(_xlfn._xlws.FILTER(Table_TonKho[Chi phí ghi nhận],
(Table_TonKho[Kỳ]&gt;= K2) *
(Table_TonKho[Kỳ] &lt; L2) *
(Table_TonKho[Chức năng] = "")
)),0)
-IFERROR(
SUM(_xlfn._xlws.FILTER(Table_TonKho[Chi phí ghi nhận],
(Table_TonKho[Kỳ]&gt;= K2) *
(Table_TonKho[Kỳ] &lt; L2) *
(Table_TonKho[Chức năng] = "Sản xuất")
)),0)
-IFERROR(
SUM(_xlfn._xlws.FILTER(Table_TonKho[Chi phí ghi nhận],
(Table_TonKho[Kỳ]&gt;= K2) *
(Table_TonKho[Kỳ] &lt; L2) *
(Table_TonKho[Chức năng] = "Bán hàng")
)),0)</f>
        <v>0</v>
      </c>
      <c r="L13" s="331" cm="1">
        <f t="array" ref="L13">-IFERROR(
SUM(_xlfn._xlws.FILTER(Table_TonKho[Chi phí ghi nhận],
(Table_TonKho[Kỳ]&gt;= L2) *
(Table_TonKho[Kỳ] &lt; M2) *
(Table_TonKho[Chức năng] = "Nguyên liệu")
)),0)
-IFERROR(
SUM(_xlfn._xlws.FILTER(Table_TonKho[Chi phí ghi nhận],
(Table_TonKho[Kỳ]&gt;= L2) *
(Table_TonKho[Kỳ] &lt; M2) *
(Table_TonKho[Chức năng] = "")
)),0)
-IFERROR(
SUM(_xlfn._xlws.FILTER(Table_TonKho[Chi phí ghi nhận],
(Table_TonKho[Kỳ]&gt;= L2) *
(Table_TonKho[Kỳ] &lt; M2) *
(Table_TonKho[Chức năng] = "Sản xuất")
)),0)
-IFERROR(
SUM(_xlfn._xlws.FILTER(Table_TonKho[Chi phí ghi nhận],
(Table_TonKho[Kỳ]&gt;= L2) *
(Table_TonKho[Kỳ] &lt; M2) *
(Table_TonKho[Chức năng] = "Bán hàng")
)),0)</f>
        <v>0</v>
      </c>
      <c r="M13" s="331" cm="1">
        <f t="array" ref="M13">-IFERROR(
SUM(_xlfn._xlws.FILTER(Table_TonKho[Chi phí ghi nhận],
(Table_TonKho[Kỳ]&gt;= M2) *
(Table_TonKho[Kỳ] &lt; N2) *
(Table_TonKho[Chức năng] = "Nguyên liệu")
)),0)
-IFERROR(
SUM(_xlfn._xlws.FILTER(Table_TonKho[Chi phí ghi nhận],
(Table_TonKho[Kỳ]&gt;= M2) *
(Table_TonKho[Kỳ] &lt; N2) *
(Table_TonKho[Chức năng] = "")
)),0)
-IFERROR(
SUM(_xlfn._xlws.FILTER(Table_TonKho[Chi phí ghi nhận],
(Table_TonKho[Kỳ]&gt;= M2) *
(Table_TonKho[Kỳ] &lt; N2) *
(Table_TonKho[Chức năng] = "Sản xuất")
)),0)
-IFERROR(
SUM(_xlfn._xlws.FILTER(Table_TonKho[Chi phí ghi nhận],
(Table_TonKho[Kỳ]&gt;= M2) *
(Table_TonKho[Kỳ] &lt; N2) *
(Table_TonKho[Chức năng] = "Bán hàng")
)),0)</f>
        <v>0</v>
      </c>
      <c r="N13" s="331" cm="1">
        <f t="array" ref="N13">-IFERROR(
SUM(_xlfn._xlws.FILTER(Table_TonKho[Chi phí ghi nhận],
(Table_TonKho[Kỳ]&gt;= N2) *
(Table_TonKho[Kỳ] &lt; O2) *
(Table_TonKho[Chức năng] = "Nguyên liệu")
)),0)
-IFERROR(
SUM(_xlfn._xlws.FILTER(Table_TonKho[Chi phí ghi nhận],
(Table_TonKho[Kỳ]&gt;= N2) *
(Table_TonKho[Kỳ] &lt; O2) *
(Table_TonKho[Chức năng] = "")
)),0)
-IFERROR(
SUM(_xlfn._xlws.FILTER(Table_TonKho[Chi phí ghi nhận],
(Table_TonKho[Kỳ]&gt;= N2) *
(Table_TonKho[Kỳ] &lt; O2) *
(Table_TonKho[Chức năng] = "Sản xuất")
)),0)
-IFERROR(
SUM(_xlfn._xlws.FILTER(Table_TonKho[Chi phí ghi nhận],
(Table_TonKho[Kỳ]&gt;= N2) *
(Table_TonKho[Kỳ] &lt; O2) *
(Table_TonKho[Chức năng] = "Bán hàng")
)),0)</f>
        <v>0</v>
      </c>
      <c r="O13" s="331" cm="1">
        <f t="array" ref="O13">-IFERROR(
SUM(_xlfn._xlws.FILTER(Table_TonKho[Chi phí ghi nhận],
(Table_TonKho[Kỳ]&gt;= O2) *
(Table_TonKho[Kỳ] &lt; P2) *
(Table_TonKho[Chức năng] = "Nguyên liệu")
)),0)
-IFERROR(
SUM(_xlfn._xlws.FILTER(Table_TonKho[Chi phí ghi nhận],
(Table_TonKho[Kỳ]&gt;= O2) *
(Table_TonKho[Kỳ] &lt; P2) *
(Table_TonKho[Chức năng] = "")
)),0)
-IFERROR(
SUM(_xlfn._xlws.FILTER(Table_TonKho[Chi phí ghi nhận],
(Table_TonKho[Kỳ]&gt;= O2) *
(Table_TonKho[Kỳ] &lt; P2) *
(Table_TonKho[Chức năng] = "Sản xuất")
)),0)
-IFERROR(
SUM(_xlfn._xlws.FILTER(Table_TonKho[Chi phí ghi nhận],
(Table_TonKho[Kỳ]&gt;= O2) *
(Table_TonKho[Kỳ] &lt; P2) *
(Table_TonKho[Chức năng] = "Bán hàng")
)),0)</f>
        <v>0</v>
      </c>
      <c r="P13" s="326"/>
      <c r="Q13" s="242"/>
      <c r="R13" s="73" t="s">
        <v>286</v>
      </c>
      <c r="S13" s="331" cm="1">
        <f t="array" ref="S13">-IFERROR(
SUM(_xlfn._xlws.FILTER(Table_TonKho[Chi phí ghi nhận],
(Table_TonKho[Kỳ]&gt;= DATE(S$1,1,1)) *
(Table_TonKho[Kỳ] &lt; DATE(S$1+1,1,1)) *
(Table_TonKho[Chức năng] = "Nguyên liệu")
)),0)
-IFERROR(
SUM(_xlfn._xlws.FILTER(Table_TonKho[Chi phí ghi nhận],
(Table_TonKho[Kỳ]&gt;= DATE(S$1,1,1)) *
(Table_TonKho[Kỳ] &lt; DATE(S$1+1,1,1)) *
(Table_TonKho[Chức năng] = "")
)),0)
-IFERROR(
SUM(_xlfn._xlws.FILTER(Table_TonKho[Chi phí ghi nhận],
(Table_TonKho[Kỳ]&gt;= DATE(S$1,1,1)) *
(Table_TonKho[Kỳ] &lt; DATE(S$1+1,1,1)) *
(Table_TonKho[Chức năng] = "Sản xuất")
)),0)
-IFERROR(
SUM(_xlfn._xlws.FILTER(Table_TonKho[Chi phí ghi nhận],
(Table_TonKho[Kỳ]&gt;= DATE(S$1,1,1)) *
(Table_TonKho[Kỳ] &lt; DATE(S$1+1,1,1)) *
(Table_TonKho[Chức năng] = "Bán hàng")
)),0)</f>
        <v>0</v>
      </c>
      <c r="T13" s="242"/>
      <c r="U13" s="73" t="s">
        <v>286</v>
      </c>
      <c r="V13" s="331" cm="1">
        <f t="array" ref="V13">-IFERROR(
SUM(_xlfn._xlws.FILTER(Table_TonKho[Chi phí ghi nhận],
(Table_TonKho[Kỳ]&gt;= V$1) *
(Table_TonKho[Kỳ] &lt; DATE(YEAR(V$1),MONTH(V$1)+1,1)) *
(Table_TonKho[Chức năng] = "Nguyên liệu")
)),0)
-IFERROR(
SUM(_xlfn._xlws.FILTER(Table_TonKho[Chi phí ghi nhận],
(Table_TonKho[Kỳ]&gt;= V$1) *
(Table_TonKho[Kỳ] &lt; DATE(YEAR(V$1),MONTH(V$1)+1,1)) *
(Table_TonKho[Chức năng] = "")
)),0)
-IFERROR(
SUM(_xlfn._xlws.FILTER(Table_TonKho[Chi phí ghi nhận],
(Table_TonKho[Kỳ]&gt;= V$1) *
(Table_TonKho[Kỳ] &lt;  DATE(YEAR(V$1),MONTH(V$1)+1,1)) *
(Table_TonKho[Chức năng] = "Sản xuất")
)),0)
-IFERROR(
SUM(_xlfn._xlws.FILTER(Table_TonKho[Chi phí ghi nhận],
(Table_TonKho[Kỳ]&gt;= V$1) *
(Table_TonKho[Kỳ] &lt;  DATE(YEAR(V$1),MONTH(V$1)+1,1)) *
(Table_TonKho[Chức năng] = "Bán hàng")
)),0)</f>
        <v>0</v>
      </c>
    </row>
    <row r="14" spans="2:22" ht="18" customHeight="1" outlineLevel="2" x14ac:dyDescent="0.3">
      <c r="B14" s="73" t="s">
        <v>287</v>
      </c>
      <c r="C14" s="331" cm="1">
        <f t="array" ref="C14" xml:space="preserve">
-IFERROR(
SUMPRODUCT(
_xlfn._xlws.FILTER(Table_ChiPhiKD[Giá trị],
(Table_ChiPhiKD[Năm] = C$2) *
(NOT(ISBLANK(Table_ChiPhiKD[Tháng])))*
(VLOOKUP(
Table_ChiPhiKD[Nhóm chi phí],
Table_ChiPhiKD_PhanNhom[],
COUNTA(Table_ChiPhiKD_PhanNhom[[#Headers],[Nhóm chi phí]:[Chức năng]]),
0) = "Chưa phân bổ" )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14" s="332" cm="1">
        <f t="array" ref="D14">-
IFERROR(
SUMPRODUCT(
_xlfn._xlws.FILTER(Table_ChiPhiKD[Giá trị],
(Table_ChiPhiKD[Kỳ] = D$2) *
(NOT(ISBLANK(Table_ChiPhiKD[Tháng])))*
(VLOOKUP(Table_ChiPhiKD[Nhóm chi phí],Table_ChiPhiKD_PhanNhom[],Sheet_ChiPhiKD!$H$2,0) = "Chưa phân bổ"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E$2)*
(Table_ChiPhiKD[Phân bổ đến] &gt; D$2)*
(VLOOKUP(Table_ChiPhiKD[Nhóm chi phí],Table_ChiPhiKD_PhanNhom[],Sheet_ChiPhiKD!$H$2,0) = "Chưa phân bổ" )),
_xlfn._xlws.FILTER(Table_ChiPhiKD_PhanBo[Tỷ lệ phân bổ],
(ISBLANK(Table_ChiPhiKD_PhanBo[Tháng])) *
(Table_ChiPhiKD_PhanBo[Phân bổ từ] &lt; E$2)*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E$2)*
(Table_ChiPhiKD[Phân bổ đến] &gt; D$2)*
(VLOOKUP(Table_ChiPhiKD[Nhóm chi phí],Table_ChiPhiKD_PhanNhom[],Sheet_ChiPhiKD!$H$2,0) = "Chưa phân bổ" ))
), 0)</f>
        <v>0</v>
      </c>
      <c r="E14" s="332" cm="1">
        <f t="array" ref="E14">-
IFERROR(
SUMPRODUCT(
_xlfn._xlws.FILTER(Table_ChiPhiKD[Giá trị],
(Table_ChiPhiKD[Kỳ] = E$2) *
(NOT(ISBLANK(Table_ChiPhiKD[Tháng])))*
(VLOOKUP(Table_ChiPhiKD[Nhóm chi phí],Table_ChiPhiKD_PhanNhom[],Sheet_ChiPhiKD!$H$2,0) = "Chưa phân bổ"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F$2)*
(Table_ChiPhiKD[Phân bổ đến] &gt; E$2)*
(VLOOKUP(Table_ChiPhiKD[Nhóm chi phí],Table_ChiPhiKD_PhanNhom[],Sheet_ChiPhiKD!$H$2,0) = "Chưa phân bổ" )),
_xlfn._xlws.FILTER(Table_ChiPhiKD_PhanBo[Tỷ lệ phân bổ],
(ISBLANK(Table_ChiPhiKD_PhanBo[Tháng])) *
(Table_ChiPhiKD_PhanBo[Phân bổ từ] &lt; F$2)*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F$2)*
(Table_ChiPhiKD[Phân bổ đến] &gt; E$2)*
(VLOOKUP(Table_ChiPhiKD[Nhóm chi phí],Table_ChiPhiKD_PhanNhom[],Sheet_ChiPhiKD!$H$2,0) = "Chưa phân bổ" ))
), 0)</f>
        <v>0</v>
      </c>
      <c r="F14" s="332" cm="1">
        <f t="array" ref="F14">-
IFERROR(
SUMPRODUCT(
_xlfn._xlws.FILTER(Table_ChiPhiKD[Giá trị],
(Table_ChiPhiKD[Kỳ] = F$2) *
(NOT(ISBLANK(Table_ChiPhiKD[Tháng])))*
(VLOOKUP(Table_ChiPhiKD[Nhóm chi phí],Table_ChiPhiKD_PhanNhom[],Sheet_ChiPhiKD!$H$2,0) = "Chưa phân bổ"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G$2)*
(Table_ChiPhiKD[Phân bổ đến] &gt; F$2)*
(VLOOKUP(Table_ChiPhiKD[Nhóm chi phí],Table_ChiPhiKD_PhanNhom[],Sheet_ChiPhiKD!$H$2,0) = "Chưa phân bổ" )),
_xlfn._xlws.FILTER(Table_ChiPhiKD_PhanBo[Tỷ lệ phân bổ],
(ISBLANK(Table_ChiPhiKD_PhanBo[Tháng])) *
(Table_ChiPhiKD_PhanBo[Phân bổ từ] &lt; G$2)*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G$2)*
(Table_ChiPhiKD[Phân bổ đến] &gt; F$2)*
(VLOOKUP(Table_ChiPhiKD[Nhóm chi phí],Table_ChiPhiKD_PhanNhom[],Sheet_ChiPhiKD!$H$2,0) = "Chưa phân bổ" ))
), 0)</f>
        <v>0</v>
      </c>
      <c r="G14" s="332" cm="1">
        <f t="array" ref="G14">-
IFERROR(
SUMPRODUCT(
_xlfn._xlws.FILTER(Table_ChiPhiKD[Giá trị],
(Table_ChiPhiKD[Kỳ] = G$2) *
(NOT(ISBLANK(Table_ChiPhiKD[Tháng])))*
(VLOOKUP(Table_ChiPhiKD[Nhóm chi phí],Table_ChiPhiKD_PhanNhom[],Sheet_ChiPhiKD!$H$2,0) = "Chưa phân bổ"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H$2)*
(Table_ChiPhiKD[Phân bổ đến] &gt; G$2)*
(VLOOKUP(Table_ChiPhiKD[Nhóm chi phí],Table_ChiPhiKD_PhanNhom[],Sheet_ChiPhiKD!$H$2,0) = "Chưa phân bổ" )),
_xlfn._xlws.FILTER(Table_ChiPhiKD_PhanBo[Tỷ lệ phân bổ],
(ISBLANK(Table_ChiPhiKD_PhanBo[Tháng])) *
(Table_ChiPhiKD_PhanBo[Phân bổ từ] &lt; H$2)*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H$2)*
(Table_ChiPhiKD[Phân bổ đến] &gt; G$2)*
(VLOOKUP(Table_ChiPhiKD[Nhóm chi phí],Table_ChiPhiKD_PhanNhom[],Sheet_ChiPhiKD!$H$2,0) = "Chưa phân bổ" ))
), 0)</f>
        <v>0</v>
      </c>
      <c r="H14" s="332" cm="1">
        <f t="array" ref="H14">-
IFERROR(
SUMPRODUCT(
_xlfn._xlws.FILTER(Table_ChiPhiKD[Giá trị],
(Table_ChiPhiKD[Kỳ] = H$2) *
(NOT(ISBLANK(Table_ChiPhiKD[Tháng])))*
(VLOOKUP(Table_ChiPhiKD[Nhóm chi phí],Table_ChiPhiKD_PhanNhom[],Sheet_ChiPhiKD!$H$2,0) = "Chưa phân bổ"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I$2)*
(Table_ChiPhiKD[Phân bổ đến] &gt; H$2)*
(VLOOKUP(Table_ChiPhiKD[Nhóm chi phí],Table_ChiPhiKD_PhanNhom[],Sheet_ChiPhiKD!$H$2,0) = "Chưa phân bổ" )),
_xlfn._xlws.FILTER(Table_ChiPhiKD_PhanBo[Tỷ lệ phân bổ],
(ISBLANK(Table_ChiPhiKD_PhanBo[Tháng])) *
(Table_ChiPhiKD_PhanBo[Phân bổ từ] &lt; I$2)*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I$2)*
(Table_ChiPhiKD[Phân bổ đến] &gt; H$2)*
(VLOOKUP(Table_ChiPhiKD[Nhóm chi phí],Table_ChiPhiKD_PhanNhom[],Sheet_ChiPhiKD!$H$2,0) = "Chưa phân bổ" ))
), 0)</f>
        <v>0</v>
      </c>
      <c r="I14" s="332" cm="1">
        <f t="array" ref="I14">-
IFERROR(
SUMPRODUCT(
_xlfn._xlws.FILTER(Table_ChiPhiKD[Giá trị],
(Table_ChiPhiKD[Kỳ] = I$2) *
(NOT(ISBLANK(Table_ChiPhiKD[Tháng])))*
(VLOOKUP(Table_ChiPhiKD[Nhóm chi phí],Table_ChiPhiKD_PhanNhom[],Sheet_ChiPhiKD!$H$2,0) = "Chưa phân bổ"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J$2)*
(Table_ChiPhiKD[Phân bổ đến] &gt; I$2)*
(VLOOKUP(Table_ChiPhiKD[Nhóm chi phí],Table_ChiPhiKD_PhanNhom[],Sheet_ChiPhiKD!$H$2,0) = "Chưa phân bổ" )),
_xlfn._xlws.FILTER(Table_ChiPhiKD_PhanBo[Tỷ lệ phân bổ],
(ISBLANK(Table_ChiPhiKD_PhanBo[Tháng])) *
(Table_ChiPhiKD_PhanBo[Phân bổ từ] &lt; J$2)*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J$2)*
(Table_ChiPhiKD[Phân bổ đến] &gt; I$2)*
(VLOOKUP(Table_ChiPhiKD[Nhóm chi phí],Table_ChiPhiKD_PhanNhom[],Sheet_ChiPhiKD!$H$2,0) = "Chưa phân bổ" ))
), 0)</f>
        <v>0</v>
      </c>
      <c r="J14" s="332" cm="1">
        <f t="array" ref="J14">-
IFERROR(
SUMPRODUCT(
_xlfn._xlws.FILTER(Table_ChiPhiKD[Giá trị],
(Table_ChiPhiKD[Kỳ] = J$2) *
(NOT(ISBLANK(Table_ChiPhiKD[Tháng])))*
(VLOOKUP(Table_ChiPhiKD[Nhóm chi phí],Table_ChiPhiKD_PhanNhom[],Sheet_ChiPhiKD!$H$2,0) = "Chưa phân bổ"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K$2)*
(Table_ChiPhiKD[Phân bổ đến] &gt; J$2)*
(VLOOKUP(Table_ChiPhiKD[Nhóm chi phí],Table_ChiPhiKD_PhanNhom[],Sheet_ChiPhiKD!$H$2,0) = "Chưa phân bổ" )),
_xlfn._xlws.FILTER(Table_ChiPhiKD_PhanBo[Tỷ lệ phân bổ],
(ISBLANK(Table_ChiPhiKD_PhanBo[Tháng])) *
(Table_ChiPhiKD_PhanBo[Phân bổ từ] &lt; K$2)*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K$2)*
(Table_ChiPhiKD[Phân bổ đến] &gt; J$2)*
(VLOOKUP(Table_ChiPhiKD[Nhóm chi phí],Table_ChiPhiKD_PhanNhom[],Sheet_ChiPhiKD!$H$2,0) = "Chưa phân bổ" ))
), 0)</f>
        <v>0</v>
      </c>
      <c r="K14" s="332" cm="1">
        <f t="array" ref="K14">-
IFERROR(
SUMPRODUCT(
_xlfn._xlws.FILTER(Table_ChiPhiKD[Giá trị],
(Table_ChiPhiKD[Kỳ] = K$2) *
(NOT(ISBLANK(Table_ChiPhiKD[Tháng])))*
(VLOOKUP(Table_ChiPhiKD[Nhóm chi phí],Table_ChiPhiKD_PhanNhom[],Sheet_ChiPhiKD!$H$2,0) = "Chưa phân bổ"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L$2)*
(Table_ChiPhiKD[Phân bổ đến] &gt; K$2)*
(VLOOKUP(Table_ChiPhiKD[Nhóm chi phí],Table_ChiPhiKD_PhanNhom[],Sheet_ChiPhiKD!$H$2,0) = "Chưa phân bổ" )),
_xlfn._xlws.FILTER(Table_ChiPhiKD_PhanBo[Tỷ lệ phân bổ],
(ISBLANK(Table_ChiPhiKD_PhanBo[Tháng])) *
(Table_ChiPhiKD_PhanBo[Phân bổ từ] &lt; L$2)*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L$2)*
(Table_ChiPhiKD[Phân bổ đến] &gt; K$2)*
(VLOOKUP(Table_ChiPhiKD[Nhóm chi phí],Table_ChiPhiKD_PhanNhom[],Sheet_ChiPhiKD!$H$2,0) = "Chưa phân bổ" ))
), 0)</f>
        <v>0</v>
      </c>
      <c r="L14" s="332" cm="1">
        <f t="array" ref="L14">-
IFERROR(
SUMPRODUCT(
_xlfn._xlws.FILTER(Table_ChiPhiKD[Giá trị],
(Table_ChiPhiKD[Kỳ] = L$2) *
(NOT(ISBLANK(Table_ChiPhiKD[Tháng])))*
(VLOOKUP(Table_ChiPhiKD[Nhóm chi phí],Table_ChiPhiKD_PhanNhom[],Sheet_ChiPhiKD!$H$2,0) = "Chưa phân bổ"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M$2)*
(Table_ChiPhiKD[Phân bổ đến] &gt; L$2)*
(VLOOKUP(Table_ChiPhiKD[Nhóm chi phí],Table_ChiPhiKD_PhanNhom[],Sheet_ChiPhiKD!$H$2,0) = "Chưa phân bổ" )),
_xlfn._xlws.FILTER(Table_ChiPhiKD_PhanBo[Tỷ lệ phân bổ],
(ISBLANK(Table_ChiPhiKD_PhanBo[Tháng])) *
(Table_ChiPhiKD_PhanBo[Phân bổ từ] &lt; M$2)*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M$2)*
(Table_ChiPhiKD[Phân bổ đến] &gt; L$2)*
(VLOOKUP(Table_ChiPhiKD[Nhóm chi phí],Table_ChiPhiKD_PhanNhom[],Sheet_ChiPhiKD!$H$2,0) = "Chưa phân bổ" ))
), 0)</f>
        <v>0</v>
      </c>
      <c r="M14" s="332" cm="1">
        <f t="array" ref="M14">-
IFERROR(
SUMPRODUCT(
_xlfn._xlws.FILTER(Table_ChiPhiKD[Giá trị],
(Table_ChiPhiKD[Kỳ] = M$2) *
(NOT(ISBLANK(Table_ChiPhiKD[Tháng])))*
(VLOOKUP(Table_ChiPhiKD[Nhóm chi phí],Table_ChiPhiKD_PhanNhom[],Sheet_ChiPhiKD!$H$2,0) = "Chưa phân bổ"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N$2)*
(Table_ChiPhiKD[Phân bổ đến] &gt; M$2)*
(VLOOKUP(Table_ChiPhiKD[Nhóm chi phí],Table_ChiPhiKD_PhanNhom[],Sheet_ChiPhiKD!$H$2,0) = "Chưa phân bổ" )),
_xlfn._xlws.FILTER(Table_ChiPhiKD_PhanBo[Tỷ lệ phân bổ],
(ISBLANK(Table_ChiPhiKD_PhanBo[Tháng])) *
(Table_ChiPhiKD_PhanBo[Phân bổ từ] &lt; N$2)*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N$2)*
(Table_ChiPhiKD[Phân bổ đến] &gt; M$2)*
(VLOOKUP(Table_ChiPhiKD[Nhóm chi phí],Table_ChiPhiKD_PhanNhom[],Sheet_ChiPhiKD!$H$2,0) = "Chưa phân bổ" ))
), 0)</f>
        <v>0</v>
      </c>
      <c r="N14" s="332" cm="1">
        <f t="array" ref="N14">-
IFERROR(
SUMPRODUCT(
_xlfn._xlws.FILTER(Table_ChiPhiKD[Giá trị],
(Table_ChiPhiKD[Kỳ] = N$2) *
(NOT(ISBLANK(Table_ChiPhiKD[Tháng])))*
(VLOOKUP(Table_ChiPhiKD[Nhóm chi phí],Table_ChiPhiKD_PhanNhom[],Sheet_ChiPhiKD!$H$2,0) = "Chưa phân bổ"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O$2)*
(Table_ChiPhiKD[Phân bổ đến] &gt; N$2)*
(VLOOKUP(Table_ChiPhiKD[Nhóm chi phí],Table_ChiPhiKD_PhanNhom[],Sheet_ChiPhiKD!$H$2,0) = "Chưa phân bổ" )),
_xlfn._xlws.FILTER(Table_ChiPhiKD_PhanBo[Tỷ lệ phân bổ],
(ISBLANK(Table_ChiPhiKD_PhanBo[Tháng])) *
(Table_ChiPhiKD_PhanBo[Phân bổ từ] &lt; O$2)*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O$2)*
(Table_ChiPhiKD[Phân bổ đến] &gt; N$2)*
(VLOOKUP(Table_ChiPhiKD[Nhóm chi phí],Table_ChiPhiKD_PhanNhom[],Sheet_ChiPhiKD!$H$2,0) = "Chưa phân bổ" ))
), 0)</f>
        <v>0</v>
      </c>
      <c r="O14" s="332" cm="1">
        <f t="array" ref="O14">-
IFERROR(
SUMPRODUCT(
_xlfn._xlws.FILTER(Table_ChiPhiKD[Giá trị],
(Table_ChiPhiKD[Kỳ] = O$2) *
(NOT(ISBLANK(Table_ChiPhiKD[Tháng])))*
(VLOOKUP(Table_ChiPhiKD[Nhóm chi phí],Table_ChiPhiKD_PhanNhom[],Sheet_ChiPhiKD!$H$2,0) = "Chưa phân bổ"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P$2)*
(Table_ChiPhiKD[Phân bổ đến] &gt; O$2)*
(VLOOKUP(Table_ChiPhiKD[Nhóm chi phí],Table_ChiPhiKD_PhanNhom[],Sheet_ChiPhiKD!$H$2,0) = "Chưa phân bổ" )),
_xlfn._xlws.FILTER(Table_ChiPhiKD_PhanBo[Tỷ lệ phân bổ],
(ISBLANK(Table_ChiPhiKD_PhanBo[Tháng])) *
(Table_ChiPhiKD_PhanBo[Phân bổ từ] &lt; P$2)*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P$2)*
(Table_ChiPhiKD[Phân bổ đến] &gt; O$2)*
(VLOOKUP(Table_ChiPhiKD[Nhóm chi phí],Table_ChiPhiKD_PhanNhom[],Sheet_ChiPhiKD!$H$2,0) = "Chưa phân bổ" ))
), 0)</f>
        <v>0</v>
      </c>
      <c r="P14" s="326"/>
      <c r="Q14" s="242"/>
      <c r="R14" s="73" t="s">
        <v>287</v>
      </c>
      <c r="S14" s="331" cm="1">
        <f t="array" ref="S14" xml:space="preserve">
-IFERROR(
SUMPRODUCT(
_xlfn._xlws.FILTER(Table_ChiPhiKD[Giá trị],
(Table_ChiPhiKD[Năm] = S$1) *
(NOT(ISBLANK(Table_ChiPhiKD[Tháng])))*
(VLOOKUP(
Table_ChiPhiKD[Nhóm chi phí],
Table_ChiPhiKD_PhanNhom[],
COUNTA(Table_ChiPhiKD_PhanNhom[[#Headers],[Nhóm chi phí]:[Chức năng]]),
0) = "Chưa phân bổ" )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14" s="242"/>
      <c r="U14" s="73" t="s">
        <v>287</v>
      </c>
      <c r="V14" s="332" cm="1">
        <f t="array" ref="V14">-
IFERROR(
SUMPRODUCT(
_xlfn._xlws.FILTER(Table_ChiPhiKD[Giá trị],
(Table_ChiPhiKD[Kỳ] = V$1) *
(NOT(ISBLANK(Table_ChiPhiKD[Tháng])))*
(VLOOKUP(Table_ChiPhiKD[Nhóm chi phí],Table_ChiPhiKD_PhanNhom[],Sheet_ChiPhiKD!$H$2,0) = "Chưa phân bổ"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15" spans="2:22" ht="18" customHeight="1" outlineLevel="2" x14ac:dyDescent="0.3">
      <c r="B15" s="73" t="s">
        <v>288</v>
      </c>
      <c r="C15" s="331" cm="1">
        <f t="array" ref="C15">-IFERROR(SUM(
_xlfn._xlws.FILTER(Table_Main[Hoa hồng],
(Table_Main[Ngày lên đơn] &gt;= DATE(C$2,1,1))*
(Table_Main[Ngày lên đơn] &lt; DATE(C$2+1,1,1))
)),0)
-IFERROR(SUM(
_xlfn._xlws.FILTER(Table_Main[CK kênh],
(Table_Main[Ngày lên đơn] &gt;= DATE(C$2,1,1))*
(Table_Main[Ngày lên đơn] &lt; DATE(C$2+1,1,1))
)),0)</f>
        <v>0</v>
      </c>
      <c r="D15" s="331" cm="1">
        <f t="array" ref="D15">-IFERROR(SUM(
_xlfn._xlws.FILTER(Table_Main[Hoa hồng],
(Table_Main[Ngày lên đơn] &gt;= D$2)*
(Table_Main[Ngày lên đơn] &lt; DATE(YEAR(D$2),MONTH(D$2)+1,1))
)),0)
-IFERROR(SUM(
_xlfn._xlws.FILTER(Table_Main[CK kênh],
(Table_Main[Ngày lên đơn] &gt;= D$2)*
(Table_Main[Ngày lên đơn] &lt; DATE(YEAR(D$2),MONTH(D$2)+1,1))
)),0)</f>
        <v>0</v>
      </c>
      <c r="E15" s="331" cm="1">
        <f t="array" ref="E15">-IFERROR(SUM(
_xlfn._xlws.FILTER(Table_Main[Hoa hồng],
(Table_Main[Ngày lên đơn] &gt;= E$2)*
(Table_Main[Ngày lên đơn] &lt; DATE(YEAR(E$2),MONTH(E$2)+1,1))
)),0)
-IFERROR(SUM(
_xlfn._xlws.FILTER(Table_Main[CK kênh],
(Table_Main[Ngày lên đơn] &gt;= E$2)*
(Table_Main[Ngày lên đơn] &lt; DATE(YEAR(E$2),MONTH(E$2)+1,1))
)),0)</f>
        <v>0</v>
      </c>
      <c r="F15" s="331" cm="1">
        <f t="array" ref="F15">-IFERROR(SUM(
_xlfn._xlws.FILTER(Table_Main[Hoa hồng],
(Table_Main[Ngày lên đơn] &gt;= F$2)*
(Table_Main[Ngày lên đơn] &lt; DATE(YEAR(F$2),MONTH(F$2)+1,1))
)),0)
-IFERROR(SUM(
_xlfn._xlws.FILTER(Table_Main[CK kênh],
(Table_Main[Ngày lên đơn] &gt;= F$2)*
(Table_Main[Ngày lên đơn] &lt; DATE(YEAR(F$2),MONTH(F$2)+1,1))
)),0)</f>
        <v>0</v>
      </c>
      <c r="G15" s="331" cm="1">
        <f t="array" ref="G15">-IFERROR(SUM(
_xlfn._xlws.FILTER(Table_Main[Hoa hồng],
(Table_Main[Ngày lên đơn] &gt;= G$2)*
(Table_Main[Ngày lên đơn] &lt; DATE(YEAR(G$2),MONTH(G$2)+1,1))
)),0)
-IFERROR(SUM(
_xlfn._xlws.FILTER(Table_Main[CK kênh],
(Table_Main[Ngày lên đơn] &gt;= G$2)*
(Table_Main[Ngày lên đơn] &lt; DATE(YEAR(G$2),MONTH(G$2)+1,1))
)),0)</f>
        <v>0</v>
      </c>
      <c r="H15" s="331" cm="1">
        <f t="array" ref="H15">-IFERROR(SUM(
_xlfn._xlws.FILTER(Table_Main[Hoa hồng],
(Table_Main[Ngày lên đơn] &gt;= H$2)*
(Table_Main[Ngày lên đơn] &lt; DATE(YEAR(H$2),MONTH(H$2)+1,1))
)),0)
-IFERROR(SUM(
_xlfn._xlws.FILTER(Table_Main[CK kênh],
(Table_Main[Ngày lên đơn] &gt;= H$2)*
(Table_Main[Ngày lên đơn] &lt; DATE(YEAR(H$2),MONTH(H$2)+1,1))
)),0)</f>
        <v>0</v>
      </c>
      <c r="I15" s="331" cm="1">
        <f t="array" ref="I15">-IFERROR(SUM(
_xlfn._xlws.FILTER(Table_Main[Hoa hồng],
(Table_Main[Ngày lên đơn] &gt;= I$2)*
(Table_Main[Ngày lên đơn] &lt; DATE(YEAR(I$2),MONTH(I$2)+1,1))
)),0)
-IFERROR(SUM(
_xlfn._xlws.FILTER(Table_Main[CK kênh],
(Table_Main[Ngày lên đơn] &gt;= I$2)*
(Table_Main[Ngày lên đơn] &lt; DATE(YEAR(I$2),MONTH(I$2)+1,1))
)),0)</f>
        <v>0</v>
      </c>
      <c r="J15" s="331" cm="1">
        <f t="array" ref="J15">-IFERROR(SUM(
_xlfn._xlws.FILTER(Table_Main[Hoa hồng],
(Table_Main[Ngày lên đơn] &gt;= J$2)*
(Table_Main[Ngày lên đơn] &lt; DATE(YEAR(J$2),MONTH(J$2)+1,1))
)),0)
-IFERROR(SUM(
_xlfn._xlws.FILTER(Table_Main[CK kênh],
(Table_Main[Ngày lên đơn] &gt;= J$2)*
(Table_Main[Ngày lên đơn] &lt; DATE(YEAR(J$2),MONTH(J$2)+1,1))
)),0)</f>
        <v>0</v>
      </c>
      <c r="K15" s="331" cm="1">
        <f t="array" ref="K15">-IFERROR(SUM(
_xlfn._xlws.FILTER(Table_Main[Hoa hồng],
(Table_Main[Ngày lên đơn] &gt;= K$2)*
(Table_Main[Ngày lên đơn] &lt; DATE(YEAR(K$2),MONTH(K$2)+1,1))
)),0)
-IFERROR(SUM(
_xlfn._xlws.FILTER(Table_Main[CK kênh],
(Table_Main[Ngày lên đơn] &gt;= K$2)*
(Table_Main[Ngày lên đơn] &lt; DATE(YEAR(K$2),MONTH(K$2)+1,1))
)),0)</f>
        <v>0</v>
      </c>
      <c r="L15" s="331" cm="1">
        <f t="array" ref="L15">-IFERROR(SUM(
_xlfn._xlws.FILTER(Table_Main[Hoa hồng],
(Table_Main[Ngày lên đơn] &gt;= L$2)*
(Table_Main[Ngày lên đơn] &lt; DATE(YEAR(L$2),MONTH(L$2)+1,1))
)),0)
-IFERROR(SUM(
_xlfn._xlws.FILTER(Table_Main[CK kênh],
(Table_Main[Ngày lên đơn] &gt;= L$2)*
(Table_Main[Ngày lên đơn] &lt; DATE(YEAR(L$2),MONTH(L$2)+1,1))
)),0)</f>
        <v>0</v>
      </c>
      <c r="M15" s="331" cm="1">
        <f t="array" ref="M15">-IFERROR(SUM(
_xlfn._xlws.FILTER(Table_Main[Hoa hồng],
(Table_Main[Ngày lên đơn] &gt;= M$2)*
(Table_Main[Ngày lên đơn] &lt; DATE(YEAR(M$2),MONTH(M$2)+1,1))
)),0)
-IFERROR(SUM(
_xlfn._xlws.FILTER(Table_Main[CK kênh],
(Table_Main[Ngày lên đơn] &gt;= M$2)*
(Table_Main[Ngày lên đơn] &lt; DATE(YEAR(M$2),MONTH(M$2)+1,1))
)),0)</f>
        <v>0</v>
      </c>
      <c r="N15" s="331" cm="1">
        <f t="array" ref="N15">-IFERROR(SUM(
_xlfn._xlws.FILTER(Table_Main[Hoa hồng],
(Table_Main[Ngày lên đơn] &gt;= N$2)*
(Table_Main[Ngày lên đơn] &lt; DATE(YEAR(N$2),MONTH(N$2)+1,1))
)),0)
-IFERROR(SUM(
_xlfn._xlws.FILTER(Table_Main[CK kênh],
(Table_Main[Ngày lên đơn] &gt;= N$2)*
(Table_Main[Ngày lên đơn] &lt; DATE(YEAR(N$2),MONTH(N$2)+1,1))
)),0)</f>
        <v>0</v>
      </c>
      <c r="O15" s="331" cm="1">
        <f t="array" ref="O15">-IFERROR(SUM(
_xlfn._xlws.FILTER(Table_Main[Hoa hồng],
(Table_Main[Ngày lên đơn] &gt;= O$2)*
(Table_Main[Ngày lên đơn] &lt; DATE(YEAR(O$2),MONTH(O$2)+1,1))
)),0)
-IFERROR(SUM(
_xlfn._xlws.FILTER(Table_Main[CK kênh],
(Table_Main[Ngày lên đơn] &gt;= O$2)*
(Table_Main[Ngày lên đơn] &lt; DATE(YEAR(O$2),MONTH(O$2)+1,1))
)),0)</f>
        <v>0</v>
      </c>
      <c r="P15" s="326"/>
      <c r="Q15" s="242"/>
      <c r="R15" s="73" t="s">
        <v>224</v>
      </c>
      <c r="S15" s="331" cm="1">
        <f t="array" ref="S15">-IFERROR(SUM(
_xlfn._xlws.FILTER(Table_Main[Hoa hồng],
(Table_Main[Ngày lên đơn] &gt;= DATE(S$1,1,1))*
(Table_Main[Ngày lên đơn] &lt; DATE(S$1+1,1,1))
)),0)
-IFERROR(SUM(
_xlfn._xlws.FILTER(Table_Main[CK kênh],
(Table_Main[Ngày lên đơn] &gt;= DATE(S$1,1,1))*
(Table_Main[Ngày lên đơn] &lt; DATE(S$1+1,1,1))
)),0)</f>
        <v>0</v>
      </c>
      <c r="T15" s="242"/>
      <c r="U15" s="73" t="s">
        <v>224</v>
      </c>
      <c r="V15" s="331" cm="1">
        <f t="array" ref="V15">-IFERROR(SUM(
_xlfn._xlws.FILTER(Table_Main[Hoa hồng],
(Table_Main[Ngày lên đơn] &gt;= V$1)*
(Table_Main[Ngày lên đơn] &lt; DATE(YEAR(V$1),MONTH(V$1)+1,1))
)),0)
-IFERROR(SUM(
_xlfn._xlws.FILTER(Table_Main[CK kênh],
(Table_Main[Ngày lên đơn] &gt;= V$1)*
(Table_Main[Ngày lên đơn] &lt; DATE(YEAR(V$1),MONTH(V$1)+1,1))
)),0)</f>
        <v>0</v>
      </c>
    </row>
    <row r="16" spans="2:22" ht="18" customHeight="1" outlineLevel="2" x14ac:dyDescent="0.3">
      <c r="B16" s="73" t="s">
        <v>289</v>
      </c>
      <c r="C16" s="331" cm="1">
        <f t="array" ref="C16" xml:space="preserve">
-IFERROR(
SUM(_xlfn._xlws.FILTER(Table_KPI[Thưởng KPI],
(Table_KPI[Năm] = C2)
)),0)</f>
        <v>0</v>
      </c>
      <c r="D16" s="332" cm="1">
        <f t="array" ref="D16" xml:space="preserve">
-IFERROR(
SUM(_xlfn._xlws.FILTER(Table_KPI[Thưởng KPI],
(NOT(ISBLANK(Table_KPI[Tháng]))) *
(Table_KPI[Kỳ] = D2)
)),0)
-IFERROR(
SUM(_xlfn._xlws.FILTER(Table_KPI[Thưởng KPI],
(Table_KPI[Năm]  = YEAR(D2))*
(ISBLANK(Table_KPI[Tháng]))
)) / 12, 0)</f>
        <v>0</v>
      </c>
      <c r="E16" s="332" cm="1">
        <f t="array" ref="E16" xml:space="preserve">
-IFERROR(
SUM(_xlfn._xlws.FILTER(Table_KPI[Thưởng KPI],
(NOT(ISBLANK(Table_KPI[Tháng]))) *
(Table_KPI[Kỳ] = E2)
)),0)
-IFERROR(
SUM(_xlfn._xlws.FILTER(Table_KPI[Thưởng KPI],
(Table_KPI[Năm]  = YEAR(E2))*
(ISBLANK(Table_KPI[Tháng]))
)) / 12, 0)</f>
        <v>0</v>
      </c>
      <c r="F16" s="332" cm="1">
        <f t="array" ref="F16" xml:space="preserve">
-IFERROR(
SUM(_xlfn._xlws.FILTER(Table_KPI[Thưởng KPI],
(NOT(ISBLANK(Table_KPI[Tháng]))) *
(Table_KPI[Kỳ] = F2)
)),0)
-IFERROR(
SUM(_xlfn._xlws.FILTER(Table_KPI[Thưởng KPI],
(Table_KPI[Năm]  = YEAR(F2))*
(ISBLANK(Table_KPI[Tháng]))
)) / 12, 0)</f>
        <v>0</v>
      </c>
      <c r="G16" s="332" cm="1">
        <f t="array" ref="G16" xml:space="preserve">
-IFERROR(
SUM(_xlfn._xlws.FILTER(Table_KPI[Thưởng KPI],
(NOT(ISBLANK(Table_KPI[Tháng]))) *
(Table_KPI[Kỳ] = G2)
)),0)
-IFERROR(
SUM(_xlfn._xlws.FILTER(Table_KPI[Thưởng KPI],
(Table_KPI[Năm]  = YEAR(G2))*
(ISBLANK(Table_KPI[Tháng]))
)) / 12, 0)</f>
        <v>0</v>
      </c>
      <c r="H16" s="332" cm="1">
        <f t="array" ref="H16" xml:space="preserve">
-IFERROR(
SUM(_xlfn._xlws.FILTER(Table_KPI[Thưởng KPI],
(NOT(ISBLANK(Table_KPI[Tháng]))) *
(Table_KPI[Kỳ] = H2)
)),0)
-IFERROR(
SUM(_xlfn._xlws.FILTER(Table_KPI[Thưởng KPI],
(Table_KPI[Năm]  = YEAR(H2))*
(ISBLANK(Table_KPI[Tháng]))
)) / 12, 0)</f>
        <v>0</v>
      </c>
      <c r="I16" s="332" cm="1">
        <f t="array" ref="I16" xml:space="preserve">
-IFERROR(
SUM(_xlfn._xlws.FILTER(Table_KPI[Thưởng KPI],
(NOT(ISBLANK(Table_KPI[Tháng]))) *
(Table_KPI[Kỳ] = I2)
)),0)
-IFERROR(
SUM(_xlfn._xlws.FILTER(Table_KPI[Thưởng KPI],
(Table_KPI[Năm]  = YEAR(I2))*
(ISBLANK(Table_KPI[Tháng]))
)) / 12, 0)</f>
        <v>0</v>
      </c>
      <c r="J16" s="332" cm="1">
        <f t="array" ref="J16" xml:space="preserve">
-IFERROR(
SUM(_xlfn._xlws.FILTER(Table_KPI[Thưởng KPI],
(NOT(ISBLANK(Table_KPI[Tháng]))) *
(Table_KPI[Kỳ] = J2)
)),0)
-IFERROR(
SUM(_xlfn._xlws.FILTER(Table_KPI[Thưởng KPI],
(Table_KPI[Năm]  = YEAR(J2))*
(ISBLANK(Table_KPI[Tháng]))
)) / 12, 0)</f>
        <v>0</v>
      </c>
      <c r="K16" s="332" cm="1">
        <f t="array" ref="K16" xml:space="preserve">
-IFERROR(
SUM(_xlfn._xlws.FILTER(Table_KPI[Thưởng KPI],
(NOT(ISBLANK(Table_KPI[Tháng]))) *
(Table_KPI[Kỳ] = K2)
)),0)
-IFERROR(
SUM(_xlfn._xlws.FILTER(Table_KPI[Thưởng KPI],
(Table_KPI[Năm]  = YEAR(K2))*
(ISBLANK(Table_KPI[Tháng]))
)) / 12, 0)</f>
        <v>0</v>
      </c>
      <c r="L16" s="332" cm="1">
        <f t="array" ref="L16" xml:space="preserve">
-IFERROR(
SUM(_xlfn._xlws.FILTER(Table_KPI[Thưởng KPI],
(NOT(ISBLANK(Table_KPI[Tháng]))) *
(Table_KPI[Kỳ] = L2)
)),0)
-IFERROR(
SUM(_xlfn._xlws.FILTER(Table_KPI[Thưởng KPI],
(Table_KPI[Năm]  = YEAR(L2))*
(ISBLANK(Table_KPI[Tháng]))
)) / 12, 0)</f>
        <v>0</v>
      </c>
      <c r="M16" s="332" cm="1">
        <f t="array" ref="M16" xml:space="preserve">
-IFERROR(
SUM(_xlfn._xlws.FILTER(Table_KPI[Thưởng KPI],
(NOT(ISBLANK(Table_KPI[Tháng]))) *
(Table_KPI[Kỳ] = M2)
)),0)
-IFERROR(
SUM(_xlfn._xlws.FILTER(Table_KPI[Thưởng KPI],
(Table_KPI[Năm]  = YEAR(M2))*
(ISBLANK(Table_KPI[Tháng]))
)) / 12, 0)</f>
        <v>0</v>
      </c>
      <c r="N16" s="332" cm="1">
        <f t="array" ref="N16" xml:space="preserve">
-IFERROR(
SUM(_xlfn._xlws.FILTER(Table_KPI[Thưởng KPI],
(NOT(ISBLANK(Table_KPI[Tháng]))) *
(Table_KPI[Kỳ] = N2)
)),0)
-IFERROR(
SUM(_xlfn._xlws.FILTER(Table_KPI[Thưởng KPI],
(Table_KPI[Năm]  = YEAR(N2))*
(ISBLANK(Table_KPI[Tháng]))
)) / 12, 0)</f>
        <v>0</v>
      </c>
      <c r="O16" s="332" cm="1">
        <f t="array" ref="O16" xml:space="preserve">
-IFERROR(
SUM(_xlfn._xlws.FILTER(Table_KPI[Thưởng KPI],
(NOT(ISBLANK(Table_KPI[Tháng]))) *
(Table_KPI[Kỳ] = O2)
)),0)
-IFERROR(
SUM(_xlfn._xlws.FILTER(Table_KPI[Thưởng KPI],
(Table_KPI[Năm]  = YEAR(O2))*
(ISBLANK(Table_KPI[Tháng]))
)) / 12, 0)</f>
        <v>0</v>
      </c>
      <c r="P16" s="326"/>
      <c r="Q16" s="242"/>
      <c r="R16" s="73" t="s">
        <v>289</v>
      </c>
      <c r="S16" s="331" cm="1">
        <f t="array" ref="S16" xml:space="preserve">
-IFERROR(
SUM(_xlfn._xlws.FILTER(Table_KPI[Thưởng KPI],
(Table_KPI[Năm] = S1)
)),0)</f>
        <v>0</v>
      </c>
      <c r="T16" s="242"/>
      <c r="U16" s="73" t="s">
        <v>289</v>
      </c>
      <c r="V16" s="332" cm="1">
        <f t="array" ref="V16" xml:space="preserve">
-IFERROR(
SUM(_xlfn._xlws.FILTER(Table_KPI[Thưởng KPI],
(NOT(ISBLANK(Table_KPI[Tháng]))) *
(Table_KPI[Kỳ] = V1)
)),0)
-IFERROR(
SUM(_xlfn._xlws.FILTER(Table_KPI[Thưởng KPI],
(Table_KPI[Năm]  = YEAR(V1))*
(ISBLANK(Table_KPI[Tháng]))
)) / 12, 0)</f>
        <v>0</v>
      </c>
    </row>
    <row r="17" spans="2:22" ht="18" customHeight="1" outlineLevel="2" x14ac:dyDescent="0.3">
      <c r="B17" s="73" t="s">
        <v>290</v>
      </c>
      <c r="C17" s="331" cm="1">
        <f t="array" ref="C17">-IFERROR(SUM(
_xlfn._xlws.FILTER(Table_ThuChiKD[Phí GD],
(Table_ThuChiKD[Ngày GD] &gt;= D2)*
(Table_ThuChiKD[Ngày GD] &lt; P2)
)),0)</f>
        <v>0</v>
      </c>
      <c r="D17" s="332" cm="1">
        <f t="array" ref="D17">-IFERROR(SUM(
_xlfn._xlws.FILTER(Table_ThuChiKD[Phí GD],
(Table_ThuChiKD[Ngày GD] &gt;= D2)*
(Table_ThuChiKD[Ngày GD] &lt; E2)
)),0)</f>
        <v>0</v>
      </c>
      <c r="E17" s="332" cm="1">
        <f t="array" ref="E17">-IFERROR(SUM(
_xlfn._xlws.FILTER(Table_ThuChiKD[Phí GD],
(Table_ThuChiKD[Ngày GD] &gt;= E2)*
(Table_ThuChiKD[Ngày GD] &lt; F2)
)),0)</f>
        <v>0</v>
      </c>
      <c r="F17" s="332" cm="1">
        <f t="array" ref="F17">-IFERROR(SUM(
_xlfn._xlws.FILTER(Table_ThuChiKD[Phí GD],
(Table_ThuChiKD[Ngày GD] &gt;= F2)*
(Table_ThuChiKD[Ngày GD] &lt; G2)
)),0)</f>
        <v>0</v>
      </c>
      <c r="G17" s="332" cm="1">
        <f t="array" ref="G17">-IFERROR(SUM(
_xlfn._xlws.FILTER(Table_ThuChiKD[Phí GD],
(Table_ThuChiKD[Ngày GD] &gt;= G2)*
(Table_ThuChiKD[Ngày GD] &lt; H2)
)),0)</f>
        <v>0</v>
      </c>
      <c r="H17" s="332" cm="1">
        <f t="array" ref="H17">-IFERROR(SUM(
_xlfn._xlws.FILTER(Table_ThuChiKD[Phí GD],
(Table_ThuChiKD[Ngày GD] &gt;= H2)*
(Table_ThuChiKD[Ngày GD] &lt; I2)
)),0)</f>
        <v>0</v>
      </c>
      <c r="I17" s="332" cm="1">
        <f t="array" ref="I17">-IFERROR(SUM(
_xlfn._xlws.FILTER(Table_ThuChiKD[Phí GD],
(Table_ThuChiKD[Ngày GD] &gt;= I2)*
(Table_ThuChiKD[Ngày GD] &lt; J2)
)),0)</f>
        <v>0</v>
      </c>
      <c r="J17" s="332" cm="1">
        <f t="array" ref="J17">-IFERROR(SUM(
_xlfn._xlws.FILTER(Table_ThuChiKD[Phí GD],
(Table_ThuChiKD[Ngày GD] &gt;= J2)*
(Table_ThuChiKD[Ngày GD] &lt; K2)
)),0)</f>
        <v>0</v>
      </c>
      <c r="K17" s="332" cm="1">
        <f t="array" ref="K17">-IFERROR(SUM(
_xlfn._xlws.FILTER(Table_ThuChiKD[Phí GD],
(Table_ThuChiKD[Ngày GD] &gt;= K2)*
(Table_ThuChiKD[Ngày GD] &lt; L2)
)),0)</f>
        <v>0</v>
      </c>
      <c r="L17" s="332" cm="1">
        <f t="array" ref="L17">-IFERROR(SUM(
_xlfn._xlws.FILTER(Table_ThuChiKD[Phí GD],
(Table_ThuChiKD[Ngày GD] &gt;= L2)*
(Table_ThuChiKD[Ngày GD] &lt; M2)
)),0)</f>
        <v>0</v>
      </c>
      <c r="M17" s="332" cm="1">
        <f t="array" ref="M17">-IFERROR(SUM(
_xlfn._xlws.FILTER(Table_ThuChiKD[Phí GD],
(Table_ThuChiKD[Ngày GD] &gt;= M2)*
(Table_ThuChiKD[Ngày GD] &lt; N2)
)),0)</f>
        <v>0</v>
      </c>
      <c r="N17" s="332" cm="1">
        <f t="array" ref="N17">-IFERROR(SUM(
_xlfn._xlws.FILTER(Table_ThuChiKD[Phí GD],
(Table_ThuChiKD[Ngày GD] &gt;= N2)*
(Table_ThuChiKD[Ngày GD] &lt; O2)
)),0)</f>
        <v>0</v>
      </c>
      <c r="O17" s="332" cm="1">
        <f t="array" ref="O17">-IFERROR(SUM(
_xlfn._xlws.FILTER(Table_ThuChiKD[Phí GD],
(Table_ThuChiKD[Ngày GD] &gt;= O2)*
(Table_ThuChiKD[Ngày GD] &lt; P2)
)),0)</f>
        <v>0</v>
      </c>
      <c r="P17" s="326"/>
      <c r="Q17" s="242"/>
      <c r="R17" s="73" t="s">
        <v>290</v>
      </c>
      <c r="S17" s="331" cm="1">
        <f t="array" ref="S17">-IFERROR(SUM(
_xlfn._xlws.FILTER(Table_ThuChiKD[Phí GD],
(Table_ThuChiKD[Ngày GD] &gt;= DATE(S$1,1,1))*
(Table_ThuChiKD[Ngày GD] &lt; DATE(S$1+1,1,1))
)),0)</f>
        <v>0</v>
      </c>
      <c r="T17" s="242"/>
      <c r="U17" s="73" t="s">
        <v>290</v>
      </c>
      <c r="V17" s="331" cm="1">
        <f t="array" ref="V17">-IFERROR(SUM(
_xlfn._xlws.FILTER(Table_ThuChiKD[Phí GD],
(Table_ThuChiKD[Ngày GD] &gt;= V$1)*
(Table_ThuChiKD[Ngày GD] &lt; DATE(YEAR(V$1),MONTH(V$1)+1,1))
)),0)</f>
        <v>0</v>
      </c>
    </row>
    <row r="18" spans="2:22" ht="18" customHeight="1" outlineLevel="2" x14ac:dyDescent="0.3">
      <c r="B18" s="73" t="s">
        <v>291</v>
      </c>
      <c r="C18" s="331" cm="1">
        <f t="array" ref="C18">-IFERROR(
SUM(_xlfn._xlws.FILTER(Table_VanDon[Phí ship],
(Table_VanDon[Bên chịu phí] = "Bên bán") *
(Table_VanDon[Ngày lập] &gt;= D2) *
(Table_VanDon[Ngày lập] &lt; P2)
)),0)</f>
        <v>0</v>
      </c>
      <c r="D18" s="331" cm="1">
        <f t="array" ref="D18">-IFERROR(
SUM(_xlfn._xlws.FILTER(Table_VanDon[Phí ship],
(Table_VanDon[Bên chịu phí] = "Bên bán") *
(Table_VanDon[Ngày lập] &gt;= D2) *
(Table_VanDon[Ngày lập] &lt; E2)
)),0)</f>
        <v>0</v>
      </c>
      <c r="E18" s="331" cm="1">
        <f t="array" ref="E18">-IFERROR(
SUM(_xlfn._xlws.FILTER(Table_VanDon[Phí ship],
(Table_VanDon[Bên chịu phí] = "Bên bán") *
(Table_VanDon[Ngày lập] &gt;= E2) *
(Table_VanDon[Ngày lập] &lt; F2)
)),0)</f>
        <v>0</v>
      </c>
      <c r="F18" s="331" cm="1">
        <f t="array" ref="F18">-IFERROR(
SUM(_xlfn._xlws.FILTER(Table_VanDon[Phí ship],
(Table_VanDon[Bên chịu phí] = "Bên bán") *
(Table_VanDon[Ngày lập] &gt;= F2) *
(Table_VanDon[Ngày lập] &lt; G2)
)),0)</f>
        <v>0</v>
      </c>
      <c r="G18" s="331" cm="1">
        <f t="array" ref="G18">-IFERROR(
SUM(_xlfn._xlws.FILTER(Table_VanDon[Phí ship],
(Table_VanDon[Bên chịu phí] = "Bên bán") *
(Table_VanDon[Ngày lập] &gt;= G2) *
(Table_VanDon[Ngày lập] &lt; H2)
)),0)</f>
        <v>0</v>
      </c>
      <c r="H18" s="331" cm="1">
        <f t="array" ref="H18">-IFERROR(
SUM(_xlfn._xlws.FILTER(Table_VanDon[Phí ship],
(Table_VanDon[Bên chịu phí] = "Bên bán") *
(Table_VanDon[Ngày lập] &gt;= H2) *
(Table_VanDon[Ngày lập] &lt; I2)
)),0)</f>
        <v>0</v>
      </c>
      <c r="I18" s="331" cm="1">
        <f t="array" ref="I18">-IFERROR(
SUM(_xlfn._xlws.FILTER(Table_VanDon[Phí ship],
(Table_VanDon[Bên chịu phí] = "Bên bán") *
(Table_VanDon[Ngày lập] &gt;= I2) *
(Table_VanDon[Ngày lập] &lt; J2)
)),0)</f>
        <v>0</v>
      </c>
      <c r="J18" s="331" cm="1">
        <f t="array" ref="J18">-IFERROR(
SUM(_xlfn._xlws.FILTER(Table_VanDon[Phí ship],
(Table_VanDon[Bên chịu phí] = "Bên bán") *
(Table_VanDon[Ngày lập] &gt;= J2) *
(Table_VanDon[Ngày lập] &lt; K2)
)),0)</f>
        <v>0</v>
      </c>
      <c r="K18" s="331" cm="1">
        <f t="array" ref="K18">-IFERROR(
SUM(_xlfn._xlws.FILTER(Table_VanDon[Phí ship],
(Table_VanDon[Bên chịu phí] = "Bên bán") *
(Table_VanDon[Ngày lập] &gt;= K2) *
(Table_VanDon[Ngày lập] &lt; L2)
)),0)</f>
        <v>0</v>
      </c>
      <c r="L18" s="331" cm="1">
        <f t="array" ref="L18">-IFERROR(
SUM(_xlfn._xlws.FILTER(Table_VanDon[Phí ship],
(Table_VanDon[Bên chịu phí] = "Bên bán") *
(Table_VanDon[Ngày lập] &gt;= L2) *
(Table_VanDon[Ngày lập] &lt; M2)
)),0)</f>
        <v>0</v>
      </c>
      <c r="M18" s="331" cm="1">
        <f t="array" ref="M18">-IFERROR(
SUM(_xlfn._xlws.FILTER(Table_VanDon[Phí ship],
(Table_VanDon[Bên chịu phí] = "Bên bán") *
(Table_VanDon[Ngày lập] &gt;= M2) *
(Table_VanDon[Ngày lập] &lt; N2)
)),0)</f>
        <v>0</v>
      </c>
      <c r="N18" s="331" cm="1">
        <f t="array" ref="N18">-IFERROR(
SUM(_xlfn._xlws.FILTER(Table_VanDon[Phí ship],
(Table_VanDon[Bên chịu phí] = "Bên bán") *
(Table_VanDon[Ngày lập] &gt;= N2) *
(Table_VanDon[Ngày lập] &lt; O2)
)),0)</f>
        <v>0</v>
      </c>
      <c r="O18" s="331" cm="1">
        <f t="array" ref="O18">-IFERROR(
SUM(_xlfn._xlws.FILTER(Table_VanDon[Phí ship],
(Table_VanDon[Bên chịu phí] = "Bên bán") *
(Table_VanDon[Ngày lập] &gt;= O2) *
(Table_VanDon[Ngày lập] &lt; P2)
)),0)</f>
        <v>0</v>
      </c>
      <c r="P18" s="326"/>
      <c r="Q18" s="242"/>
      <c r="R18" s="73" t="s">
        <v>291</v>
      </c>
      <c r="S18" s="331" cm="1">
        <f t="array" ref="S18">-IFERROR(
SUM(_xlfn._xlws.FILTER(Table_VanDon[Phí ship],
(Table_VanDon[Bên chịu phí] = "Bên bán") *
(Table_VanDon[Ngày lập] &gt;=  DATE(S$1,1,1)) *
(Table_VanDon[Ngày lập] &lt;  DATE(S$1+1,1,1))
)),0)</f>
        <v>0</v>
      </c>
      <c r="T18" s="242"/>
      <c r="U18" s="73" t="s">
        <v>291</v>
      </c>
      <c r="V18" s="331" cm="1">
        <f t="array" ref="V18">-IFERROR(
SUM(_xlfn._xlws.FILTER(Table_VanDon[Phí ship],
(Table_VanDon[Bên chịu phí] = "Bên bán") *
(Table_VanDon[Ngày lập] &gt;= V$1) *
(Table_VanDon[Ngày lập] &lt;  DATE(YEAR(V$1),MONTH(V$1)+1,1))
)),0)</f>
        <v>0</v>
      </c>
    </row>
    <row r="19" spans="2:22" ht="18" customHeight="1" outlineLevel="1" x14ac:dyDescent="0.3">
      <c r="B19" s="74" t="s">
        <v>85</v>
      </c>
      <c r="C19" s="330">
        <f t="shared" ref="C19:O19" si="6">+C9+C11</f>
        <v>0</v>
      </c>
      <c r="D19" s="330">
        <f t="shared" si="6"/>
        <v>0</v>
      </c>
      <c r="E19" s="330">
        <f t="shared" si="6"/>
        <v>0</v>
      </c>
      <c r="F19" s="330">
        <f t="shared" si="6"/>
        <v>0</v>
      </c>
      <c r="G19" s="330">
        <f t="shared" si="6"/>
        <v>0</v>
      </c>
      <c r="H19" s="330">
        <f t="shared" si="6"/>
        <v>0</v>
      </c>
      <c r="I19" s="330">
        <f t="shared" si="6"/>
        <v>0</v>
      </c>
      <c r="J19" s="330">
        <f t="shared" si="6"/>
        <v>0</v>
      </c>
      <c r="K19" s="330">
        <f t="shared" si="6"/>
        <v>0</v>
      </c>
      <c r="L19" s="330">
        <f t="shared" si="6"/>
        <v>0</v>
      </c>
      <c r="M19" s="330">
        <f t="shared" si="6"/>
        <v>0</v>
      </c>
      <c r="N19" s="330">
        <f t="shared" si="6"/>
        <v>0</v>
      </c>
      <c r="O19" s="330">
        <f t="shared" si="6"/>
        <v>0</v>
      </c>
      <c r="P19" s="326"/>
      <c r="Q19" s="242"/>
      <c r="R19" s="74" t="s">
        <v>85</v>
      </c>
      <c r="S19" s="103">
        <f>+S9+S11</f>
        <v>0</v>
      </c>
      <c r="T19" s="242"/>
      <c r="U19" s="74" t="s">
        <v>85</v>
      </c>
      <c r="V19" s="103">
        <f>+V9+V11</f>
        <v>0</v>
      </c>
    </row>
    <row r="20" spans="2:22" ht="18" customHeight="1" outlineLevel="1" x14ac:dyDescent="0.3">
      <c r="B20" s="99" t="s">
        <v>292</v>
      </c>
      <c r="C20" s="109">
        <f t="shared" ref="C20:O20" si="7">IFERROR(C21/(C21+C11),0)</f>
        <v>0</v>
      </c>
      <c r="D20" s="109">
        <f t="shared" si="7"/>
        <v>0</v>
      </c>
      <c r="E20" s="109">
        <f t="shared" si="7"/>
        <v>0</v>
      </c>
      <c r="F20" s="109">
        <f t="shared" si="7"/>
        <v>0</v>
      </c>
      <c r="G20" s="109">
        <f t="shared" si="7"/>
        <v>0</v>
      </c>
      <c r="H20" s="109">
        <f t="shared" si="7"/>
        <v>0</v>
      </c>
      <c r="I20" s="109">
        <f t="shared" si="7"/>
        <v>0</v>
      </c>
      <c r="J20" s="109">
        <f t="shared" si="7"/>
        <v>0</v>
      </c>
      <c r="K20" s="109">
        <f t="shared" si="7"/>
        <v>0</v>
      </c>
      <c r="L20" s="109">
        <f t="shared" si="7"/>
        <v>0</v>
      </c>
      <c r="M20" s="109">
        <f t="shared" si="7"/>
        <v>0</v>
      </c>
      <c r="N20" s="109">
        <f t="shared" si="7"/>
        <v>0</v>
      </c>
      <c r="O20" s="109">
        <f t="shared" si="7"/>
        <v>0</v>
      </c>
      <c r="P20" s="326"/>
      <c r="Q20" s="242"/>
      <c r="R20" s="99" t="s">
        <v>292</v>
      </c>
      <c r="S20" s="111">
        <f>IFERROR(S21/(S21+S11),0)</f>
        <v>0</v>
      </c>
      <c r="T20" s="242"/>
      <c r="U20" s="99" t="s">
        <v>292</v>
      </c>
      <c r="V20" s="109">
        <f>IFERROR(V21/(V21+V11),0)</f>
        <v>0</v>
      </c>
    </row>
    <row r="21" spans="2:22" ht="18" customHeight="1" outlineLevel="1" x14ac:dyDescent="0.3">
      <c r="B21" s="54" t="s">
        <v>87</v>
      </c>
      <c r="C21" s="325">
        <f t="shared" ref="C21:O21" si="8">+SUM(C22:C30)</f>
        <v>0</v>
      </c>
      <c r="D21" s="325">
        <f t="shared" si="8"/>
        <v>0</v>
      </c>
      <c r="E21" s="325">
        <f t="shared" si="8"/>
        <v>0</v>
      </c>
      <c r="F21" s="325">
        <f t="shared" si="8"/>
        <v>0</v>
      </c>
      <c r="G21" s="325">
        <f t="shared" si="8"/>
        <v>0</v>
      </c>
      <c r="H21" s="325">
        <f t="shared" si="8"/>
        <v>0</v>
      </c>
      <c r="I21" s="325">
        <f t="shared" si="8"/>
        <v>0</v>
      </c>
      <c r="J21" s="325">
        <f t="shared" si="8"/>
        <v>0</v>
      </c>
      <c r="K21" s="325">
        <f t="shared" si="8"/>
        <v>0</v>
      </c>
      <c r="L21" s="325">
        <f t="shared" si="8"/>
        <v>0</v>
      </c>
      <c r="M21" s="325">
        <f t="shared" si="8"/>
        <v>0</v>
      </c>
      <c r="N21" s="325">
        <f t="shared" si="8"/>
        <v>0</v>
      </c>
      <c r="O21" s="325">
        <f t="shared" si="8"/>
        <v>0</v>
      </c>
      <c r="P21" s="326"/>
      <c r="Q21" s="242"/>
      <c r="R21" s="54" t="s">
        <v>87</v>
      </c>
      <c r="S21" s="102">
        <f>+SUM(S22:S30)</f>
        <v>0</v>
      </c>
      <c r="T21" s="242"/>
      <c r="U21" s="54" t="s">
        <v>87</v>
      </c>
      <c r="V21" s="102">
        <f>+SUM(V22:V30)</f>
        <v>0</v>
      </c>
    </row>
    <row r="22" spans="2:22" ht="18" customHeight="1" outlineLevel="2" x14ac:dyDescent="0.3">
      <c r="B22" s="73" t="s">
        <v>293</v>
      </c>
      <c r="C22" s="331" cm="1">
        <f t="array" ref="C22" xml:space="preserve">
-IFERROR(
SUM(
_xlfn._xlws.FILTER(Table_ChiPhiNV[Tổng chi phí],
(NOT(ISBLANK(Table_ChiPhiNV[Tháng])))*
(Table_ChiPhiNV[Năm] = C$2)
)),
0)
-IFERROR(
SUMPRODUCT(
_xlfn._xlws.FILTER(Table_ChiPhiNV[Tổng chi phí],
(ISBLANK(Table_ChiPhiNV[Tháng]))*
(Table_ChiPhiNV[Phân bổ từ] &lt; DATE(C$2+1,1,1))*
(Table_ChiPhiNV[Phân bổ đến] &gt; DATE(C$2,1,1))
),
_xlfn._xlws.FILTER(
ROUND(
(
IF(
DATE(C$2+1,1,1)-1 &gt;
Table_ChiPhiNV[Phân bổ đến],
Table_ChiPhiNV[Phân bổ đến],
DATE(C$2+1,1,1)-1
)
-IF(
DATE(C$2,1,1) &gt;
Table_ChiPhiNV[Phân bổ từ],
DATE(C$2,1,1),
Table_ChiPhiNV[Phân bổ từ]
)
)/(365.25/12),
0),
(ISBLANK(Table_ChiPhiNV[Tháng]))*
(Table_ChiPhiNV[Phân bổ từ] &lt; DATE(C$2+1,1,1))*
(Table_ChiPhiNV[Phân bổ đến] &gt; DATE(C$2,1,1))
),
1/_xlfn._xlws.FILTER(
ROUND(
(Table_ChiPhiNV[Phân bổ đến]-Table_ChiPhiNV[Phân bổ từ])
/(365.25/12),
0),
(ISBLANK(Table_ChiPhiNV[Tháng]))*
(Table_ChiPhiNV[Phân bổ từ] &lt; DATE(C$2+1,1,1))*
(Table_ChiPhiNV[Phân bổ đến] &gt; DATE(C$2,1,1))
)
),
0)
+IFERROR(SUM(
_xlfn._xlws.FILTER(Table_Main[Hoa hồng],
(Table_Main[Ngày lên đơn] &gt;= D2)*
(Table_Main[Ngày lên đơn] &lt; P2)
)),0)
+IFERROR(
SUM(_xlfn._xlws.FILTER(Table_KPI[Thưởng KPI],
(NOT(ISBLANK(Table_KPI[Nhân viên])))*
(Table_KPI[Năm] = C2)
)),0)</f>
        <v>0</v>
      </c>
      <c r="D22" s="331" cm="1">
        <f t="array" ref="D22">-IFERROR(
SUM(_xlfn._xlws.FILTER(Table_ChiPhiNV[Tổng chi phí],
(NOT(ISBLANK(Table_ChiPhiNV[Tháng])))*
(Table_ChiPhiNV[Kỳ] = D$2)
)),0)
-IFERROR(
SUMPRODUCT(
_xlfn._xlws.FILTER(Table_ChiPhiNV[Tổng chi phí],
(ISBLANK(Table_ChiPhiNV[Tháng]))*
(Table_ChiPhiNV[Phân bổ từ] &lt; DATE(YEAR(D$2),MONTH(D$2)+1,1))*
(Table_ChiPhiNV[Phân bổ đến] &gt; D$2)
),
1/_xlfn._xlws.FILTER(ROUND((Table_ChiPhiNV[Phân bổ đến]-Table_ChiPhiNV[Phân bổ từ])/(365.25/12),0),
(ISBLANK(Table_ChiPhiNV[Tháng]))*
(Table_ChiPhiNV[Phân bổ từ] &lt; DATE(YEAR(D$2),MONTH(D$2)+1,1))*
(Table_ChiPhiNV[Phân bổ đến] &gt; D$2)
)
),0)
+IFERROR(SUM(
_xlfn._xlws.FILTER(Table_Main[Hoa hồng],
(Table_Main[Ngày lên đơn] &gt;= D2)*
(Table_Main[Ngày lên đơn] &lt; E2)
)),0)
+IFERROR(
SUM(_xlfn._xlws.FILTER(Table_KPI[Thưởng KPI],
(NOT(ISBLANK(Table_KPI[Nhân viên]))) *
(NOT(ISBLANK(Table_KPI[Tháng]))) *
(Table_KPI[Kỳ] = D2)
)),0)
+IFERROR(
SUM(_xlfn._xlws.FILTER(Table_KPI[Thưởng KPI],
(NOT(ISBLANK(Table_KPI[Nhân viên]))) *
(Table_KPI[Năm]  = YEAR(D2))*
(ISBLANK(Table_KPI[Tháng]))
)) / 12, 0)</f>
        <v>0</v>
      </c>
      <c r="E22" s="331" cm="1">
        <f t="array" ref="E22">-IFERROR(
SUM(_xlfn._xlws.FILTER(Table_ChiPhiNV[Tổng chi phí],
(NOT(ISBLANK(Table_ChiPhiNV[Tháng])))*
(Table_ChiPhiNV[Kỳ] = E$2)
)),0)
-IFERROR(
SUMPRODUCT(
_xlfn._xlws.FILTER(Table_ChiPhiNV[Tổng chi phí],
(ISBLANK(Table_ChiPhiNV[Tháng]))*
(Table_ChiPhiNV[Phân bổ từ] &lt; DATE(YEAR(E$2),MONTH(E$2)+1,1))*
(Table_ChiPhiNV[Phân bổ đến] &gt; E$2)
),
1/_xlfn._xlws.FILTER(ROUND((Table_ChiPhiNV[Phân bổ đến]-Table_ChiPhiNV[Phân bổ từ])/(365.25/12),0),
(ISBLANK(Table_ChiPhiNV[Tháng]))*
(Table_ChiPhiNV[Phân bổ từ] &lt; DATE(YEAR(E$2),MONTH(E$2)+1,1))*
(Table_ChiPhiNV[Phân bổ đến] &gt; E$2)
)
),0)
+IFERROR(SUM(
_xlfn._xlws.FILTER(Table_Main[Hoa hồng],
(Table_Main[Ngày lên đơn] &gt;= E2)*
(Table_Main[Ngày lên đơn] &lt; F2)
)),0)
+IFERROR(
SUM(_xlfn._xlws.FILTER(Table_KPI[Thưởng KPI],
(NOT(ISBLANK(Table_KPI[Nhân viên]))) *
(NOT(ISBLANK(Table_KPI[Tháng]))) *
(Table_KPI[Kỳ] = E2)
)),0)
+IFERROR(
SUM(_xlfn._xlws.FILTER(Table_KPI[Thưởng KPI],
(NOT(ISBLANK(Table_KPI[Nhân viên]))) *
(Table_KPI[Năm]  = YEAR(E2))*
(ISBLANK(Table_KPI[Tháng]))
)) / 12, 0)</f>
        <v>0</v>
      </c>
      <c r="F22" s="331" cm="1">
        <f t="array" ref="F22">-IFERROR(
SUM(_xlfn._xlws.FILTER(Table_ChiPhiNV[Tổng chi phí],
(NOT(ISBLANK(Table_ChiPhiNV[Tháng])))*
(Table_ChiPhiNV[Kỳ] = F$2)
)),0)
-IFERROR(
SUMPRODUCT(
_xlfn._xlws.FILTER(Table_ChiPhiNV[Tổng chi phí],
(ISBLANK(Table_ChiPhiNV[Tháng]))*
(Table_ChiPhiNV[Phân bổ từ] &lt; DATE(YEAR(F$2),MONTH(F$2)+1,1))*
(Table_ChiPhiNV[Phân bổ đến] &gt; F$2)
),
1/_xlfn._xlws.FILTER(ROUND((Table_ChiPhiNV[Phân bổ đến]-Table_ChiPhiNV[Phân bổ từ])/(365.25/12),0),
(ISBLANK(Table_ChiPhiNV[Tháng]))*
(Table_ChiPhiNV[Phân bổ từ] &lt; DATE(YEAR(F$2),MONTH(F$2)+1,1))*
(Table_ChiPhiNV[Phân bổ đến] &gt; F$2)
)
),0)
+IFERROR(SUM(
_xlfn._xlws.FILTER(Table_Main[Hoa hồng],
(Table_Main[Ngày lên đơn] &gt;= F2)*
(Table_Main[Ngày lên đơn] &lt; G2)
)),0)
+IFERROR(
SUM(_xlfn._xlws.FILTER(Table_KPI[Thưởng KPI],
(NOT(ISBLANK(Table_KPI[Nhân viên]))) *
(NOT(ISBLANK(Table_KPI[Tháng]))) *
(Table_KPI[Kỳ] = F2)
)),0)
+IFERROR(
SUM(_xlfn._xlws.FILTER(Table_KPI[Thưởng KPI],
(NOT(ISBLANK(Table_KPI[Nhân viên]))) *
(Table_KPI[Năm]  = YEAR(F2))*
(ISBLANK(Table_KPI[Tháng]))
)) / 12, 0)</f>
        <v>0</v>
      </c>
      <c r="G22" s="331" cm="1">
        <f t="array" ref="G22">-IFERROR(
SUM(_xlfn._xlws.FILTER(Table_ChiPhiNV[Tổng chi phí],
(NOT(ISBLANK(Table_ChiPhiNV[Tháng])))*
(Table_ChiPhiNV[Kỳ] = G$2)
)),0)
-IFERROR(
SUMPRODUCT(
_xlfn._xlws.FILTER(Table_ChiPhiNV[Tổng chi phí],
(ISBLANK(Table_ChiPhiNV[Tháng]))*
(Table_ChiPhiNV[Phân bổ từ] &lt; DATE(YEAR(G$2),MONTH(G$2)+1,1))*
(Table_ChiPhiNV[Phân bổ đến] &gt; G$2)
),
1/_xlfn._xlws.FILTER(ROUND((Table_ChiPhiNV[Phân bổ đến]-Table_ChiPhiNV[Phân bổ từ])/(365.25/12),0),
(ISBLANK(Table_ChiPhiNV[Tháng]))*
(Table_ChiPhiNV[Phân bổ từ] &lt; DATE(YEAR(G$2),MONTH(G$2)+1,1))*
(Table_ChiPhiNV[Phân bổ đến] &gt; G$2)
)
),0)
+IFERROR(SUM(
_xlfn._xlws.FILTER(Table_Main[Hoa hồng],
(Table_Main[Ngày lên đơn] &gt;= G2)*
(Table_Main[Ngày lên đơn] &lt; H2)
)),0)
+IFERROR(
SUM(_xlfn._xlws.FILTER(Table_KPI[Thưởng KPI],
(NOT(ISBLANK(Table_KPI[Nhân viên]))) *
(NOT(ISBLANK(Table_KPI[Tháng]))) *
(Table_KPI[Kỳ] = G2)
)),0)
+IFERROR(
SUM(_xlfn._xlws.FILTER(Table_KPI[Thưởng KPI],
(NOT(ISBLANK(Table_KPI[Nhân viên]))) *
(Table_KPI[Năm]  = YEAR(G2))*
(ISBLANK(Table_KPI[Tháng]))
)) / 12, 0)</f>
        <v>0</v>
      </c>
      <c r="H22" s="331" cm="1">
        <f t="array" ref="H22">-IFERROR(
SUM(_xlfn._xlws.FILTER(Table_ChiPhiNV[Tổng chi phí],
(NOT(ISBLANK(Table_ChiPhiNV[Tháng])))*
(Table_ChiPhiNV[Kỳ] = H$2)
)),0)
-IFERROR(
SUMPRODUCT(
_xlfn._xlws.FILTER(Table_ChiPhiNV[Tổng chi phí],
(ISBLANK(Table_ChiPhiNV[Tháng]))*
(Table_ChiPhiNV[Phân bổ từ] &lt; DATE(YEAR(H$2),MONTH(H$2)+1,1))*
(Table_ChiPhiNV[Phân bổ đến] &gt; H$2)
),
1/_xlfn._xlws.FILTER(ROUND((Table_ChiPhiNV[Phân bổ đến]-Table_ChiPhiNV[Phân bổ từ])/(365.25/12),0),
(ISBLANK(Table_ChiPhiNV[Tháng]))*
(Table_ChiPhiNV[Phân bổ từ] &lt; DATE(YEAR(H$2),MONTH(H$2)+1,1))*
(Table_ChiPhiNV[Phân bổ đến] &gt; H$2)
)
),0)
+IFERROR(SUM(
_xlfn._xlws.FILTER(Table_Main[Hoa hồng],
(Table_Main[Ngày lên đơn] &gt;= H2)*
(Table_Main[Ngày lên đơn] &lt; I2)
)),0)
+IFERROR(
SUM(_xlfn._xlws.FILTER(Table_KPI[Thưởng KPI],
(NOT(ISBLANK(Table_KPI[Nhân viên]))) *
(NOT(ISBLANK(Table_KPI[Tháng]))) *
(Table_KPI[Kỳ] = H2)
)),0)
+IFERROR(
SUM(_xlfn._xlws.FILTER(Table_KPI[Thưởng KPI],
(NOT(ISBLANK(Table_KPI[Nhân viên]))) *
(Table_KPI[Năm]  = YEAR(H2))*
(ISBLANK(Table_KPI[Tháng]))
)) / 12, 0)</f>
        <v>0</v>
      </c>
      <c r="I22" s="331" cm="1">
        <f t="array" ref="I22">-IFERROR(
SUM(_xlfn._xlws.FILTER(Table_ChiPhiNV[Tổng chi phí],
(NOT(ISBLANK(Table_ChiPhiNV[Tháng])))*
(Table_ChiPhiNV[Kỳ] = I$2)
)),0)
-IFERROR(
SUMPRODUCT(
_xlfn._xlws.FILTER(Table_ChiPhiNV[Tổng chi phí],
(ISBLANK(Table_ChiPhiNV[Tháng]))*
(Table_ChiPhiNV[Phân bổ từ] &lt; DATE(YEAR(I$2),MONTH(I$2)+1,1))*
(Table_ChiPhiNV[Phân bổ đến] &gt; I$2)
),
1/_xlfn._xlws.FILTER(ROUND((Table_ChiPhiNV[Phân bổ đến]-Table_ChiPhiNV[Phân bổ từ])/(365.25/12),0),
(ISBLANK(Table_ChiPhiNV[Tháng]))*
(Table_ChiPhiNV[Phân bổ từ] &lt; DATE(YEAR(I$2),MONTH(I$2)+1,1))*
(Table_ChiPhiNV[Phân bổ đến] &gt; I$2)
)
),0)
+IFERROR(SUM(
_xlfn._xlws.FILTER(Table_Main[Hoa hồng],
(Table_Main[Ngày lên đơn] &gt;= I2)*
(Table_Main[Ngày lên đơn] &lt; J2)
)),0)
+IFERROR(
SUM(_xlfn._xlws.FILTER(Table_KPI[Thưởng KPI],
(NOT(ISBLANK(Table_KPI[Nhân viên]))) *
(NOT(ISBLANK(Table_KPI[Tháng]))) *
(Table_KPI[Kỳ] = I2)
)),0)
+IFERROR(
SUM(_xlfn._xlws.FILTER(Table_KPI[Thưởng KPI],
(NOT(ISBLANK(Table_KPI[Nhân viên]))) *
(Table_KPI[Năm]  = YEAR(I2))*
(ISBLANK(Table_KPI[Tháng]))
)) / 12, 0)</f>
        <v>0</v>
      </c>
      <c r="J22" s="331" cm="1">
        <f t="array" ref="J22">-IFERROR(
SUM(_xlfn._xlws.FILTER(Table_ChiPhiNV[Tổng chi phí],
(NOT(ISBLANK(Table_ChiPhiNV[Tháng])))*
(Table_ChiPhiNV[Kỳ] = J$2)
)),0)
-IFERROR(
SUMPRODUCT(
_xlfn._xlws.FILTER(Table_ChiPhiNV[Tổng chi phí],
(ISBLANK(Table_ChiPhiNV[Tháng]))*
(Table_ChiPhiNV[Phân bổ từ] &lt; DATE(YEAR(J$2),MONTH(J$2)+1,1))*
(Table_ChiPhiNV[Phân bổ đến] &gt; J$2)
),
1/_xlfn._xlws.FILTER(ROUND((Table_ChiPhiNV[Phân bổ đến]-Table_ChiPhiNV[Phân bổ từ])/(365.25/12),0),
(ISBLANK(Table_ChiPhiNV[Tháng]))*
(Table_ChiPhiNV[Phân bổ từ] &lt; DATE(YEAR(J$2),MONTH(J$2)+1,1))*
(Table_ChiPhiNV[Phân bổ đến] &gt; J$2)
)
),0)
+IFERROR(SUM(
_xlfn._xlws.FILTER(Table_Main[Hoa hồng],
(Table_Main[Ngày lên đơn] &gt;= J2)*
(Table_Main[Ngày lên đơn] &lt; K2)
)),0)
+IFERROR(
SUM(_xlfn._xlws.FILTER(Table_KPI[Thưởng KPI],
(NOT(ISBLANK(Table_KPI[Nhân viên]))) *
(NOT(ISBLANK(Table_KPI[Tháng]))) *
(Table_KPI[Kỳ] = J2)
)),0)
+IFERROR(
SUM(_xlfn._xlws.FILTER(Table_KPI[Thưởng KPI],
(NOT(ISBLANK(Table_KPI[Nhân viên]))) *
(Table_KPI[Năm]  = YEAR(J2))*
(ISBLANK(Table_KPI[Tháng]))
)) / 12, 0)</f>
        <v>0</v>
      </c>
      <c r="K22" s="331" cm="1">
        <f t="array" ref="K22">-IFERROR(
SUM(_xlfn._xlws.FILTER(Table_ChiPhiNV[Tổng chi phí],
(NOT(ISBLANK(Table_ChiPhiNV[Tháng])))*
(Table_ChiPhiNV[Kỳ] = K$2)
)),0)
-IFERROR(
SUMPRODUCT(
_xlfn._xlws.FILTER(Table_ChiPhiNV[Tổng chi phí],
(ISBLANK(Table_ChiPhiNV[Tháng]))*
(Table_ChiPhiNV[Phân bổ từ] &lt; DATE(YEAR(K$2),MONTH(K$2)+1,1))*
(Table_ChiPhiNV[Phân bổ đến] &gt; K$2)
),
1/_xlfn._xlws.FILTER(ROUND((Table_ChiPhiNV[Phân bổ đến]-Table_ChiPhiNV[Phân bổ từ])/(365.25/12),0),
(ISBLANK(Table_ChiPhiNV[Tháng]))*
(Table_ChiPhiNV[Phân bổ từ] &lt; DATE(YEAR(K$2),MONTH(K$2)+1,1))*
(Table_ChiPhiNV[Phân bổ đến] &gt; K$2)
)
),0)
+IFERROR(SUM(
_xlfn._xlws.FILTER(Table_Main[Hoa hồng],
(Table_Main[Ngày lên đơn] &gt;= K2)*
(Table_Main[Ngày lên đơn] &lt; L2)
)),0)
+IFERROR(
SUM(_xlfn._xlws.FILTER(Table_KPI[Thưởng KPI],
(NOT(ISBLANK(Table_KPI[Nhân viên]))) *
(NOT(ISBLANK(Table_KPI[Tháng]))) *
(Table_KPI[Kỳ] = K2)
)),0)
+IFERROR(
SUM(_xlfn._xlws.FILTER(Table_KPI[Thưởng KPI],
(NOT(ISBLANK(Table_KPI[Nhân viên]))) *
(Table_KPI[Năm]  = YEAR(K2))*
(ISBLANK(Table_KPI[Tháng]))
)) / 12, 0)</f>
        <v>0</v>
      </c>
      <c r="L22" s="331" cm="1">
        <f t="array" ref="L22">-IFERROR(
SUM(_xlfn._xlws.FILTER(Table_ChiPhiNV[Tổng chi phí],
(NOT(ISBLANK(Table_ChiPhiNV[Tháng])))*
(Table_ChiPhiNV[Kỳ] = L$2)
)),0)
-IFERROR(
SUMPRODUCT(
_xlfn._xlws.FILTER(Table_ChiPhiNV[Tổng chi phí],
(ISBLANK(Table_ChiPhiNV[Tháng]))*
(Table_ChiPhiNV[Phân bổ từ] &lt; DATE(YEAR(L$2),MONTH(L$2)+1,1))*
(Table_ChiPhiNV[Phân bổ đến] &gt; L$2)
),
1/_xlfn._xlws.FILTER(ROUND((Table_ChiPhiNV[Phân bổ đến]-Table_ChiPhiNV[Phân bổ từ])/(365.25/12),0),
(ISBLANK(Table_ChiPhiNV[Tháng]))*
(Table_ChiPhiNV[Phân bổ từ] &lt; DATE(YEAR(L$2),MONTH(L$2)+1,1))*
(Table_ChiPhiNV[Phân bổ đến] &gt; L$2)
)
),0)
+IFERROR(SUM(
_xlfn._xlws.FILTER(Table_Main[Hoa hồng],
(Table_Main[Ngày lên đơn] &gt;= L2)*
(Table_Main[Ngày lên đơn] &lt; M2)
)),0)
+IFERROR(
SUM(_xlfn._xlws.FILTER(Table_KPI[Thưởng KPI],
(NOT(ISBLANK(Table_KPI[Nhân viên]))) *
(NOT(ISBLANK(Table_KPI[Tháng]))) *
(Table_KPI[Kỳ] = L2)
)),0)
+IFERROR(
SUM(_xlfn._xlws.FILTER(Table_KPI[Thưởng KPI],
(NOT(ISBLANK(Table_KPI[Nhân viên]))) *
(Table_KPI[Năm]  = YEAR(L2))*
(ISBLANK(Table_KPI[Tháng]))
)) / 12, 0)</f>
        <v>0</v>
      </c>
      <c r="M22" s="331" cm="1">
        <f t="array" ref="M22">-IFERROR(
SUM(_xlfn._xlws.FILTER(Table_ChiPhiNV[Tổng chi phí],
(NOT(ISBLANK(Table_ChiPhiNV[Tháng])))*
(Table_ChiPhiNV[Kỳ] = M$2)
)),0)
-IFERROR(
SUMPRODUCT(
_xlfn._xlws.FILTER(Table_ChiPhiNV[Tổng chi phí],
(ISBLANK(Table_ChiPhiNV[Tháng]))*
(Table_ChiPhiNV[Phân bổ từ] &lt; DATE(YEAR(M$2),MONTH(M$2)+1,1))*
(Table_ChiPhiNV[Phân bổ đến] &gt; M$2)
),
1/_xlfn._xlws.FILTER(ROUND((Table_ChiPhiNV[Phân bổ đến]-Table_ChiPhiNV[Phân bổ từ])/(365.25/12),0),
(ISBLANK(Table_ChiPhiNV[Tháng]))*
(Table_ChiPhiNV[Phân bổ từ] &lt; DATE(YEAR(M$2),MONTH(M$2)+1,1))*
(Table_ChiPhiNV[Phân bổ đến] &gt; M$2)
)
),0)
+IFERROR(SUM(
_xlfn._xlws.FILTER(Table_Main[Hoa hồng],
(Table_Main[Ngày lên đơn] &gt;= M2)*
(Table_Main[Ngày lên đơn] &lt; N2)
)),0)
+IFERROR(
SUM(_xlfn._xlws.FILTER(Table_KPI[Thưởng KPI],
(NOT(ISBLANK(Table_KPI[Nhân viên]))) *
(NOT(ISBLANK(Table_KPI[Tháng]))) *
(Table_KPI[Kỳ] = M2)
)),0)
+IFERROR(
SUM(_xlfn._xlws.FILTER(Table_KPI[Thưởng KPI],
(NOT(ISBLANK(Table_KPI[Nhân viên]))) *
(Table_KPI[Năm]  = YEAR(M2))*
(ISBLANK(Table_KPI[Tháng]))
)) / 12, 0)</f>
        <v>0</v>
      </c>
      <c r="N22" s="331" cm="1">
        <f t="array" ref="N22">-IFERROR(
SUM(_xlfn._xlws.FILTER(Table_ChiPhiNV[Tổng chi phí],
(NOT(ISBLANK(Table_ChiPhiNV[Tháng])))*
(Table_ChiPhiNV[Kỳ] = N$2)
)),0)
-IFERROR(
SUMPRODUCT(
_xlfn._xlws.FILTER(Table_ChiPhiNV[Tổng chi phí],
(ISBLANK(Table_ChiPhiNV[Tháng]))*
(Table_ChiPhiNV[Phân bổ từ] &lt; DATE(YEAR(N$2),MONTH(N$2)+1,1))*
(Table_ChiPhiNV[Phân bổ đến] &gt; N$2)
),
1/_xlfn._xlws.FILTER(ROUND((Table_ChiPhiNV[Phân bổ đến]-Table_ChiPhiNV[Phân bổ từ])/(365.25/12),0),
(ISBLANK(Table_ChiPhiNV[Tháng]))*
(Table_ChiPhiNV[Phân bổ từ] &lt; DATE(YEAR(N$2),MONTH(N$2)+1,1))*
(Table_ChiPhiNV[Phân bổ đến] &gt; N$2)
)
),0)
+IFERROR(SUM(
_xlfn._xlws.FILTER(Table_Main[Hoa hồng],
(Table_Main[Ngày lên đơn] &gt;= N2)*
(Table_Main[Ngày lên đơn] &lt; O2)
)),0)
+IFERROR(
SUM(_xlfn._xlws.FILTER(Table_KPI[Thưởng KPI],
(NOT(ISBLANK(Table_KPI[Nhân viên]))) *
(NOT(ISBLANK(Table_KPI[Tháng]))) *
(Table_KPI[Kỳ] = N2)
)),0)
+IFERROR(
SUM(_xlfn._xlws.FILTER(Table_KPI[Thưởng KPI],
(NOT(ISBLANK(Table_KPI[Nhân viên]))) *
(Table_KPI[Năm]  = YEAR(N2))*
(ISBLANK(Table_KPI[Tháng]))
)) / 12, 0)</f>
        <v>0</v>
      </c>
      <c r="O22" s="331" cm="1">
        <f t="array" ref="O22">-IFERROR(
SUM(_xlfn._xlws.FILTER(Table_ChiPhiNV[Tổng chi phí],
(NOT(ISBLANK(Table_ChiPhiNV[Tháng])))*
(Table_ChiPhiNV[Kỳ] = O$2)
)),0)
-IFERROR(
SUMPRODUCT(
_xlfn._xlws.FILTER(Table_ChiPhiNV[Tổng chi phí],
(ISBLANK(Table_ChiPhiNV[Tháng]))*
(Table_ChiPhiNV[Phân bổ từ] &lt; DATE(YEAR(O$2),MONTH(O$2)+1,1))*
(Table_ChiPhiNV[Phân bổ đến] &gt; O$2)
),
1/_xlfn._xlws.FILTER(ROUND((Table_ChiPhiNV[Phân bổ đến]-Table_ChiPhiNV[Phân bổ từ])/(365.25/12),0),
(ISBLANK(Table_ChiPhiNV[Tháng]))*
(Table_ChiPhiNV[Phân bổ từ] &lt; DATE(YEAR(O$2),MONTH(O$2)+1,1))*
(Table_ChiPhiNV[Phân bổ đến] &gt; O$2)
)
),0)
+IFERROR(SUM(
_xlfn._xlws.FILTER(Table_Main[Hoa hồng],
(Table_Main[Ngày lên đơn] &gt;= O2)*
(Table_Main[Ngày lên đơn] &lt; P2)
)),0)
+IFERROR(
SUM(_xlfn._xlws.FILTER(Table_KPI[Thưởng KPI],
(NOT(ISBLANK(Table_KPI[Nhân viên]))) *
(NOT(ISBLANK(Table_KPI[Tháng]))) *
(Table_KPI[Kỳ] = O2)
)),0)
+IFERROR(
SUM(_xlfn._xlws.FILTER(Table_KPI[Thưởng KPI],
(NOT(ISBLANK(Table_KPI[Nhân viên]))) *
(Table_KPI[Năm]  = YEAR(O2))*
(ISBLANK(Table_KPI[Tháng]))
)) / 12, 0)</f>
        <v>0</v>
      </c>
      <c r="P22" s="326"/>
      <c r="Q22" s="242"/>
      <c r="R22" s="73" t="s">
        <v>293</v>
      </c>
      <c r="S22" s="331" cm="1">
        <f t="array" ref="S22" xml:space="preserve">
-IFERROR(
SUM(
_xlfn._xlws.FILTER(Table_ChiPhiNV[Tổng chi phí],
(NOT(ISBLANK(Table_ChiPhiNV[Tháng])))*
(Table_ChiPhiNV[Năm] = S$1)
)),
0)
-IFERROR(
SUMPRODUCT(
_xlfn._xlws.FILTER(Table_ChiPhiNV[Tổng chi phí],
(ISBLANK(Table_ChiPhiNV[Tháng]))*
(Table_ChiPhiNV[Phân bổ từ] &lt; DATE(S$1+1,1,1))*
(Table_ChiPhiNV[Phân bổ đến] &gt; DATE(S$1,1,1))
),
_xlfn._xlws.FILTER(
ROUND(
(
IF(
DATE(S$1+1,1,1)-1 &gt;
Table_ChiPhiNV[Phân bổ đến],
Table_ChiPhiNV[Phân bổ đến],
DATE(S$1+1,1,1)-1
)
-IF(
DATE(S$1,1,1) &gt;
Table_ChiPhiNV[Phân bổ từ],
DATE(S$1,1,1),
Table_ChiPhiNV[Phân bổ từ]
)
)/(365.25/12),
0),
(ISBLANK(Table_ChiPhiNV[Tháng]))*
(Table_ChiPhiNV[Phân bổ từ] &lt; DATE(S$1+1,1,1))*
(Table_ChiPhiNV[Phân bổ đến] &gt; DATE(S$1,1,1))
),
1/_xlfn._xlws.FILTER(
ROUND(
(Table_ChiPhiNV[Phân bổ đến]-Table_ChiPhiNV[Phân bổ từ])
/(365.25/12),
0),
(ISBLANK(Table_ChiPhiNV[Tháng]))*
(Table_ChiPhiNV[Phân bổ từ] &lt; DATE(S$1+1,1,1))*
(Table_ChiPhiNV[Phân bổ đến] &gt; DATE(S$1,1,1))
)
),
0)
+IFERROR(SUM(
_xlfn._xlws.FILTER(Table_Main[Hoa hồng],
(Table_Main[Ngày lên đơn] &gt;= DATE(S$1,1,1))*
(Table_Main[Ngày lên đơn] &lt; DATE(S$1+1,1,1))
)),0)
+IFERROR(
SUM(_xlfn._xlws.FILTER(Table_KPI[Thưởng KPI],
(NOT(ISBLANK(Table_KPI[Nhân viên])))*
(Table_KPI[Năm] = S1)
)),0)</f>
        <v>0</v>
      </c>
      <c r="T22" s="242"/>
      <c r="U22" s="73" t="s">
        <v>293</v>
      </c>
      <c r="V22" s="331" cm="1">
        <f t="array" ref="V22">-IFERROR(
SUM(_xlfn._xlws.FILTER(Table_ChiPhiNV[Tổng chi phí],
(NOT(ISBLANK(Table_ChiPhiNV[Tháng])))*
(Table_ChiPhiNV[Kỳ] = V$1)
)),0)
-IFERROR(
SUMPRODUCT(
_xlfn._xlws.FILTER(Table_ChiPhiNV[Tổng chi phí],
(ISBLANK(Table_ChiPhiNV[Tháng]))*
(Table_ChiPhiNV[Phân bổ từ] &lt; DATE(YEAR(V$1),MONTH(V$1)+1,1))*
(Table_ChiPhiNV[Phân bổ đến] &gt; V$1)
),
1/_xlfn._xlws.FILTER(ROUND((Table_ChiPhiNV[Phân bổ đến]-Table_ChiPhiNV[Phân bổ từ])/(365.25/12),0),
(ISBLANK(Table_ChiPhiNV[Tháng]))*
(Table_ChiPhiNV[Phân bổ từ] &lt; DATE(YEAR(V$1),MONTH(V$1)+1,1))*
(Table_ChiPhiNV[Phân bổ đến] &gt; V$1)
)
),0)
+IFERROR(SUM(
_xlfn._xlws.FILTER(Table_Main[Hoa hồng],
(Table_Main[Ngày lên đơn] &gt;= V$1)*
(Table_Main[Ngày lên đơn] &lt; DATE(YEAR(V$1),MONTH(V$1)+1,1))
)),0)
+IFERROR(
SUM(_xlfn._xlws.FILTER(Table_KPI[Thưởng KPI],
(NOT(ISBLANK(Table_KPI[Nhân viên]))) *
(NOT(ISBLANK(Table_KPI[Tháng]))) *
(Table_KPI[Kỳ] = V1)
)),0)
+IFERROR(
SUM(_xlfn._xlws.FILTER(Table_KPI[Thưởng KPI],
(NOT(ISBLANK(Table_KPI[Nhân viên]))) *
(Table_KPI[Năm]  = YEAR(V1))*
(ISBLANK(Table_KPI[Tháng]))
)) / 12, 0)</f>
        <v>0</v>
      </c>
    </row>
    <row r="23" spans="2:22" ht="18" customHeight="1" outlineLevel="2" x14ac:dyDescent="0.3">
      <c r="B23" s="73" t="s">
        <v>294</v>
      </c>
      <c r="C23" s="331" cm="1">
        <f t="array" ref="C23">-IFERROR(
SUM(_xlfn._xlws.FILTER(Table_TonKho[Chi phí ghi nhận],
(Table_TonKho[Năm] = C$2) *
(Table_TonKho[Chức năng] = "Văn phòng")
)),0)
-IFERROR(
SUMPRODUCT(
_xlfn._xlws.FILTER(Table_ChiPhiKD[Giá trị],
(Table_ChiPhiKD[Năm] = C$2) *
(NOT(ISBLANK(Table_ChiPhiKD[Tháng])))*
(VLOOKUP(
Table_ChiPhiKD[Nhóm chi phí],
Table_ChiPhiKD_PhanNhom[],
COUNTA(Table_ChiPhiKD_PhanNhom[[#Headers],[Nhóm chi phí]:[Chức năng]]),
0) = "Chưa phân bổ" )
),
(1 -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23" s="331" cm="1">
        <f t="array" ref="D23">-IFERROR(
SUM(_xlfn._xlws.FILTER(Table_TonKho[Chi phí ghi nhận],
(Table_TonKho[Kỳ] = D$2) *
(Table_TonKho[Chức năng] = "Văn phòng")
)),0)
-IFERROR(
SUMPRODUCT(
_xlfn._xlws.FILTER(Table_ChiPhiKD[Giá trị],
(Table_ChiPhiKD[Kỳ] = D$2) *
(NOT(ISBLANK(Table_ChiPhiKD[Tháng])))*
(VLOOKUP(Table_ChiPhiKD[Nhóm chi phí],Table_ChiPhiKD_PhanNhom[],Sheet_ChiPhiKD!$H$2,0) = "Chưa phân bổ" )),
(1 -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DATE(YEAR(D$2),MONTH(D$2)+1,1))*
(Table_ChiPhiKD[Phân bổ đến] &gt; D$2)*
(VLOOKUP(Table_ChiPhiKD[Nhóm chi phí],Table_ChiPhiKD_PhanNhom[],Sheet_ChiPhiKD!$H$2,0) = "Chưa phân bổ" )),
(1 - _xlfn._xlws.FILTER(Table_ChiPhiKD_PhanBo[Tỷ lệ phân bổ],
(ISBLANK(Table_ChiPhiKD_PhanBo[Tháng])) *
(Table_ChiPhiKD_PhanBo[Phân bổ từ] &lt; DATE(YEAR(D$2),MONTH(D$2)+1,1))*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DATE(YEAR(D$2),MONTH(D$2)+1,1))*
(Table_ChiPhiKD[Phân bổ đến] &gt; D$2)*
(VLOOKUP(Table_ChiPhiKD[Nhóm chi phí],Table_ChiPhiKD_PhanNhom[],Sheet_ChiPhiKD!$H$2,0) = "Chưa phân bổ" ))
), 0)</f>
        <v>0</v>
      </c>
      <c r="E23" s="331" cm="1">
        <f t="array" ref="E23">-IFERROR(
SUM(_xlfn._xlws.FILTER(Table_TonKho[Chi phí ghi nhận],
(Table_TonKho[Kỳ] = E$2) *
(Table_TonKho[Chức năng] = "Văn phòng")
)),0)
-IFERROR(
SUMPRODUCT(
_xlfn._xlws.FILTER(Table_ChiPhiKD[Giá trị],
(Table_ChiPhiKD[Kỳ] = E$2) *
(NOT(ISBLANK(Table_ChiPhiKD[Tháng])))*
(VLOOKUP(Table_ChiPhiKD[Nhóm chi phí],Table_ChiPhiKD_PhanNhom[],Sheet_ChiPhiKD!$H$2,0) = "Chưa phân bổ" )),
(1 -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DATE(YEAR(E$2),MONTH(E$2)+1,1))*
(Table_ChiPhiKD[Phân bổ đến] &gt; E$2)*
(VLOOKUP(Table_ChiPhiKD[Nhóm chi phí],Table_ChiPhiKD_PhanNhom[],Sheet_ChiPhiKD!$H$2,0) = "Chưa phân bổ" )),
(1 - _xlfn._xlws.FILTER(Table_ChiPhiKD_PhanBo[Tỷ lệ phân bổ],
(ISBLANK(Table_ChiPhiKD_PhanBo[Tháng])) *
(Table_ChiPhiKD_PhanBo[Phân bổ từ] &lt; DATE(YEAR(E$2),MONTH(E$2)+1,1))*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DATE(YEAR(E$2),MONTH(E$2)+1,1))*
(Table_ChiPhiKD[Phân bổ đến] &gt; E$2)*
(VLOOKUP(Table_ChiPhiKD[Nhóm chi phí],Table_ChiPhiKD_PhanNhom[],Sheet_ChiPhiKD!$H$2,0) = "Chưa phân bổ" ))
), 0)</f>
        <v>0</v>
      </c>
      <c r="F23" s="331" cm="1">
        <f t="array" ref="F23">-IFERROR(
SUM(_xlfn._xlws.FILTER(Table_TonKho[Chi phí ghi nhận],
(Table_TonKho[Kỳ] = F$2) *
(Table_TonKho[Chức năng] = "Văn phòng")
)),0)
-IFERROR(
SUMPRODUCT(
_xlfn._xlws.FILTER(Table_ChiPhiKD[Giá trị],
(Table_ChiPhiKD[Kỳ] = F$2) *
(NOT(ISBLANK(Table_ChiPhiKD[Tháng])))*
(VLOOKUP(Table_ChiPhiKD[Nhóm chi phí],Table_ChiPhiKD_PhanNhom[],Sheet_ChiPhiKD!$H$2,0) = "Chưa phân bổ" )),
(1 -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DATE(YEAR(F$2),MONTH(F$2)+1,1))*
(Table_ChiPhiKD[Phân bổ đến] &gt; F$2)*
(VLOOKUP(Table_ChiPhiKD[Nhóm chi phí],Table_ChiPhiKD_PhanNhom[],Sheet_ChiPhiKD!$H$2,0) = "Chưa phân bổ" )),
(1 - _xlfn._xlws.FILTER(Table_ChiPhiKD_PhanBo[Tỷ lệ phân bổ],
(ISBLANK(Table_ChiPhiKD_PhanBo[Tháng])) *
(Table_ChiPhiKD_PhanBo[Phân bổ từ] &lt; DATE(YEAR(F$2),MONTH(F$2)+1,1))*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DATE(YEAR(F$2),MONTH(F$2)+1,1))*
(Table_ChiPhiKD[Phân bổ đến] &gt; F$2)*
(VLOOKUP(Table_ChiPhiKD[Nhóm chi phí],Table_ChiPhiKD_PhanNhom[],Sheet_ChiPhiKD!$H$2,0) = "Chưa phân bổ" ))
), 0)</f>
        <v>0</v>
      </c>
      <c r="G23" s="331" cm="1">
        <f t="array" ref="G23">-IFERROR(
SUM(_xlfn._xlws.FILTER(Table_TonKho[Chi phí ghi nhận],
(Table_TonKho[Kỳ] = G$2) *
(Table_TonKho[Chức năng] = "Văn phòng")
)),0)
-IFERROR(
SUMPRODUCT(
_xlfn._xlws.FILTER(Table_ChiPhiKD[Giá trị],
(Table_ChiPhiKD[Kỳ] = G$2) *
(NOT(ISBLANK(Table_ChiPhiKD[Tháng])))*
(VLOOKUP(Table_ChiPhiKD[Nhóm chi phí],Table_ChiPhiKD_PhanNhom[],Sheet_ChiPhiKD!$H$2,0) = "Chưa phân bổ" )),
(1 -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DATE(YEAR(G$2),MONTH(G$2)+1,1))*
(Table_ChiPhiKD[Phân bổ đến] &gt; G$2)*
(VLOOKUP(Table_ChiPhiKD[Nhóm chi phí],Table_ChiPhiKD_PhanNhom[],Sheet_ChiPhiKD!$H$2,0) = "Chưa phân bổ" )),
(1 - _xlfn._xlws.FILTER(Table_ChiPhiKD_PhanBo[Tỷ lệ phân bổ],
(ISBLANK(Table_ChiPhiKD_PhanBo[Tháng])) *
(Table_ChiPhiKD_PhanBo[Phân bổ từ] &lt; DATE(YEAR(G$2),MONTH(G$2)+1,1))*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DATE(YEAR(G$2),MONTH(G$2)+1,1))*
(Table_ChiPhiKD[Phân bổ đến] &gt; G$2)*
(VLOOKUP(Table_ChiPhiKD[Nhóm chi phí],Table_ChiPhiKD_PhanNhom[],Sheet_ChiPhiKD!$H$2,0) = "Chưa phân bổ" ))
), 0)</f>
        <v>0</v>
      </c>
      <c r="H23" s="331" cm="1">
        <f t="array" ref="H23">-IFERROR(
SUM(_xlfn._xlws.FILTER(Table_TonKho[Chi phí ghi nhận],
(Table_TonKho[Kỳ] = H$2) *
(Table_TonKho[Chức năng] = "Văn phòng")
)),0)
-IFERROR(
SUMPRODUCT(
_xlfn._xlws.FILTER(Table_ChiPhiKD[Giá trị],
(Table_ChiPhiKD[Kỳ] = H$2) *
(NOT(ISBLANK(Table_ChiPhiKD[Tháng])))*
(VLOOKUP(Table_ChiPhiKD[Nhóm chi phí],Table_ChiPhiKD_PhanNhom[],Sheet_ChiPhiKD!$H$2,0) = "Chưa phân bổ" )),
(1 -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DATE(YEAR(H$2),MONTH(H$2)+1,1))*
(Table_ChiPhiKD[Phân bổ đến] &gt; H$2)*
(VLOOKUP(Table_ChiPhiKD[Nhóm chi phí],Table_ChiPhiKD_PhanNhom[],Sheet_ChiPhiKD!$H$2,0) = "Chưa phân bổ" )),
(1 - _xlfn._xlws.FILTER(Table_ChiPhiKD_PhanBo[Tỷ lệ phân bổ],
(ISBLANK(Table_ChiPhiKD_PhanBo[Tháng])) *
(Table_ChiPhiKD_PhanBo[Phân bổ từ] &lt; DATE(YEAR(H$2),MONTH(H$2)+1,1))*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DATE(YEAR(H$2),MONTH(H$2)+1,1))*
(Table_ChiPhiKD[Phân bổ đến] &gt; H$2)*
(VLOOKUP(Table_ChiPhiKD[Nhóm chi phí],Table_ChiPhiKD_PhanNhom[],Sheet_ChiPhiKD!$H$2,0) = "Chưa phân bổ" ))
), 0)</f>
        <v>0</v>
      </c>
      <c r="I23" s="331" cm="1">
        <f t="array" ref="I23">-IFERROR(
SUM(_xlfn._xlws.FILTER(Table_TonKho[Chi phí ghi nhận],
(Table_TonKho[Kỳ] = I$2) *
(Table_TonKho[Chức năng] = "Văn phòng")
)),0)
-IFERROR(
SUMPRODUCT(
_xlfn._xlws.FILTER(Table_ChiPhiKD[Giá trị],
(Table_ChiPhiKD[Kỳ] = I$2) *
(NOT(ISBLANK(Table_ChiPhiKD[Tháng])))*
(VLOOKUP(Table_ChiPhiKD[Nhóm chi phí],Table_ChiPhiKD_PhanNhom[],Sheet_ChiPhiKD!$H$2,0) = "Chưa phân bổ" )),
(1 -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DATE(YEAR(I$2),MONTH(I$2)+1,1))*
(Table_ChiPhiKD[Phân bổ đến] &gt; I$2)*
(VLOOKUP(Table_ChiPhiKD[Nhóm chi phí],Table_ChiPhiKD_PhanNhom[],Sheet_ChiPhiKD!$H$2,0) = "Chưa phân bổ" )),
(1 - _xlfn._xlws.FILTER(Table_ChiPhiKD_PhanBo[Tỷ lệ phân bổ],
(ISBLANK(Table_ChiPhiKD_PhanBo[Tháng])) *
(Table_ChiPhiKD_PhanBo[Phân bổ từ] &lt; DATE(YEAR(I$2),MONTH(I$2)+1,1))*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DATE(YEAR(I$2),MONTH(I$2)+1,1))*
(Table_ChiPhiKD[Phân bổ đến] &gt; I$2)*
(VLOOKUP(Table_ChiPhiKD[Nhóm chi phí],Table_ChiPhiKD_PhanNhom[],Sheet_ChiPhiKD!$H$2,0) = "Chưa phân bổ" ))
), 0)</f>
        <v>0</v>
      </c>
      <c r="J23" s="331" cm="1">
        <f t="array" ref="J23">-IFERROR(
SUM(_xlfn._xlws.FILTER(Table_TonKho[Chi phí ghi nhận],
(Table_TonKho[Kỳ] = J$2) *
(Table_TonKho[Chức năng] = "Văn phòng")
)),0)
-IFERROR(
SUMPRODUCT(
_xlfn._xlws.FILTER(Table_ChiPhiKD[Giá trị],
(Table_ChiPhiKD[Kỳ] = J$2) *
(NOT(ISBLANK(Table_ChiPhiKD[Tháng])))*
(VLOOKUP(Table_ChiPhiKD[Nhóm chi phí],Table_ChiPhiKD_PhanNhom[],Sheet_ChiPhiKD!$H$2,0) = "Chưa phân bổ" )),
(1 -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DATE(YEAR(J$2),MONTH(J$2)+1,1))*
(Table_ChiPhiKD[Phân bổ đến] &gt; J$2)*
(VLOOKUP(Table_ChiPhiKD[Nhóm chi phí],Table_ChiPhiKD_PhanNhom[],Sheet_ChiPhiKD!$H$2,0) = "Chưa phân bổ" )),
(1 - _xlfn._xlws.FILTER(Table_ChiPhiKD_PhanBo[Tỷ lệ phân bổ],
(ISBLANK(Table_ChiPhiKD_PhanBo[Tháng])) *
(Table_ChiPhiKD_PhanBo[Phân bổ từ] &lt; DATE(YEAR(J$2),MONTH(J$2)+1,1))*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DATE(YEAR(J$2),MONTH(J$2)+1,1))*
(Table_ChiPhiKD[Phân bổ đến] &gt; J$2)*
(VLOOKUP(Table_ChiPhiKD[Nhóm chi phí],Table_ChiPhiKD_PhanNhom[],Sheet_ChiPhiKD!$H$2,0) = "Chưa phân bổ" ))
), 0)</f>
        <v>0</v>
      </c>
      <c r="K23" s="331" cm="1">
        <f t="array" ref="K23">-IFERROR(
SUM(_xlfn._xlws.FILTER(Table_TonKho[Chi phí ghi nhận],
(Table_TonKho[Kỳ] = K$2) *
(Table_TonKho[Chức năng] = "Văn phòng")
)),0)
-IFERROR(
SUMPRODUCT(
_xlfn._xlws.FILTER(Table_ChiPhiKD[Giá trị],
(Table_ChiPhiKD[Kỳ] = K$2) *
(NOT(ISBLANK(Table_ChiPhiKD[Tháng])))*
(VLOOKUP(Table_ChiPhiKD[Nhóm chi phí],Table_ChiPhiKD_PhanNhom[],Sheet_ChiPhiKD!$H$2,0) = "Chưa phân bổ" )),
(1 -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DATE(YEAR(K$2),MONTH(K$2)+1,1))*
(Table_ChiPhiKD[Phân bổ đến] &gt; K$2)*
(VLOOKUP(Table_ChiPhiKD[Nhóm chi phí],Table_ChiPhiKD_PhanNhom[],Sheet_ChiPhiKD!$H$2,0) = "Chưa phân bổ" )),
(1 - _xlfn._xlws.FILTER(Table_ChiPhiKD_PhanBo[Tỷ lệ phân bổ],
(ISBLANK(Table_ChiPhiKD_PhanBo[Tháng])) *
(Table_ChiPhiKD_PhanBo[Phân bổ từ] &lt; DATE(YEAR(K$2),MONTH(K$2)+1,1))*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DATE(YEAR(K$2),MONTH(K$2)+1,1))*
(Table_ChiPhiKD[Phân bổ đến] &gt; K$2)*
(VLOOKUP(Table_ChiPhiKD[Nhóm chi phí],Table_ChiPhiKD_PhanNhom[],Sheet_ChiPhiKD!$H$2,0) = "Chưa phân bổ" ))
), 0)</f>
        <v>0</v>
      </c>
      <c r="L23" s="331" cm="1">
        <f t="array" ref="L23">-IFERROR(
SUM(_xlfn._xlws.FILTER(Table_TonKho[Chi phí ghi nhận],
(Table_TonKho[Kỳ] = L$2) *
(Table_TonKho[Chức năng] = "Văn phòng")
)),0)
-IFERROR(
SUMPRODUCT(
_xlfn._xlws.FILTER(Table_ChiPhiKD[Giá trị],
(Table_ChiPhiKD[Kỳ] = L$2) *
(NOT(ISBLANK(Table_ChiPhiKD[Tháng])))*
(VLOOKUP(Table_ChiPhiKD[Nhóm chi phí],Table_ChiPhiKD_PhanNhom[],Sheet_ChiPhiKD!$H$2,0) = "Chưa phân bổ" )),
(1 -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DATE(YEAR(L$2),MONTH(L$2)+1,1))*
(Table_ChiPhiKD[Phân bổ đến] &gt; L$2)*
(VLOOKUP(Table_ChiPhiKD[Nhóm chi phí],Table_ChiPhiKD_PhanNhom[],Sheet_ChiPhiKD!$H$2,0) = "Chưa phân bổ" )),
(1 - _xlfn._xlws.FILTER(Table_ChiPhiKD_PhanBo[Tỷ lệ phân bổ],
(ISBLANK(Table_ChiPhiKD_PhanBo[Tháng])) *
(Table_ChiPhiKD_PhanBo[Phân bổ từ] &lt; DATE(YEAR(L$2),MONTH(L$2)+1,1))*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DATE(YEAR(L$2),MONTH(L$2)+1,1))*
(Table_ChiPhiKD[Phân bổ đến] &gt; L$2)*
(VLOOKUP(Table_ChiPhiKD[Nhóm chi phí],Table_ChiPhiKD_PhanNhom[],Sheet_ChiPhiKD!$H$2,0) = "Chưa phân bổ" ))
), 0)</f>
        <v>0</v>
      </c>
      <c r="M23" s="331" cm="1">
        <f t="array" ref="M23">-IFERROR(
SUM(_xlfn._xlws.FILTER(Table_TonKho[Chi phí ghi nhận],
(Table_TonKho[Kỳ] = M$2) *
(Table_TonKho[Chức năng] = "Văn phòng")
)),0)
-IFERROR(
SUMPRODUCT(
_xlfn._xlws.FILTER(Table_ChiPhiKD[Giá trị],
(Table_ChiPhiKD[Kỳ] = M$2) *
(NOT(ISBLANK(Table_ChiPhiKD[Tháng])))*
(VLOOKUP(Table_ChiPhiKD[Nhóm chi phí],Table_ChiPhiKD_PhanNhom[],Sheet_ChiPhiKD!$H$2,0) = "Chưa phân bổ" )),
(1 -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DATE(YEAR(M$2),MONTH(M$2)+1,1))*
(Table_ChiPhiKD[Phân bổ đến] &gt; M$2)*
(VLOOKUP(Table_ChiPhiKD[Nhóm chi phí],Table_ChiPhiKD_PhanNhom[],Sheet_ChiPhiKD!$H$2,0) = "Chưa phân bổ" )),
(1 - _xlfn._xlws.FILTER(Table_ChiPhiKD_PhanBo[Tỷ lệ phân bổ],
(ISBLANK(Table_ChiPhiKD_PhanBo[Tháng])) *
(Table_ChiPhiKD_PhanBo[Phân bổ từ] &lt; DATE(YEAR(M$2),MONTH(M$2)+1,1))*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DATE(YEAR(M$2),MONTH(M$2)+1,1))*
(Table_ChiPhiKD[Phân bổ đến] &gt; M$2)*
(VLOOKUP(Table_ChiPhiKD[Nhóm chi phí],Table_ChiPhiKD_PhanNhom[],Sheet_ChiPhiKD!$H$2,0) = "Chưa phân bổ" ))
), 0)</f>
        <v>0</v>
      </c>
      <c r="N23" s="331" cm="1">
        <f t="array" ref="N23">-IFERROR(
SUM(_xlfn._xlws.FILTER(Table_TonKho[Chi phí ghi nhận],
(Table_TonKho[Kỳ] = N$2) *
(Table_TonKho[Chức năng] = "Văn phòng")
)),0)
-IFERROR(
SUMPRODUCT(
_xlfn._xlws.FILTER(Table_ChiPhiKD[Giá trị],
(Table_ChiPhiKD[Kỳ] = N$2) *
(NOT(ISBLANK(Table_ChiPhiKD[Tháng])))*
(VLOOKUP(Table_ChiPhiKD[Nhóm chi phí],Table_ChiPhiKD_PhanNhom[],Sheet_ChiPhiKD!$H$2,0) = "Chưa phân bổ" )),
(1 -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DATE(YEAR(N$2),MONTH(N$2)+1,1))*
(Table_ChiPhiKD[Phân bổ đến] &gt; N$2)*
(VLOOKUP(Table_ChiPhiKD[Nhóm chi phí],Table_ChiPhiKD_PhanNhom[],Sheet_ChiPhiKD!$H$2,0) = "Chưa phân bổ" )),
(1 - _xlfn._xlws.FILTER(Table_ChiPhiKD_PhanBo[Tỷ lệ phân bổ],
(ISBLANK(Table_ChiPhiKD_PhanBo[Tháng])) *
(Table_ChiPhiKD_PhanBo[Phân bổ từ] &lt; DATE(YEAR(N$2),MONTH(N$2)+1,1))*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DATE(YEAR(N$2),MONTH(N$2)+1,1))*
(Table_ChiPhiKD[Phân bổ đến] &gt; N$2)*
(VLOOKUP(Table_ChiPhiKD[Nhóm chi phí],Table_ChiPhiKD_PhanNhom[],Sheet_ChiPhiKD!$H$2,0) = "Chưa phân bổ" ))
), 0)</f>
        <v>0</v>
      </c>
      <c r="O23" s="331" cm="1">
        <f t="array" ref="O23">-IFERROR(
SUM(_xlfn._xlws.FILTER(Table_TonKho[Chi phí ghi nhận],
(Table_TonKho[Kỳ] = O$2) *
(Table_TonKho[Chức năng] = "Văn phòng")
)),0)
-IFERROR(
SUMPRODUCT(
_xlfn._xlws.FILTER(Table_ChiPhiKD[Giá trị],
(Table_ChiPhiKD[Kỳ] = O$2) *
(NOT(ISBLANK(Table_ChiPhiKD[Tháng])))*
(VLOOKUP(Table_ChiPhiKD[Nhóm chi phí],Table_ChiPhiKD_PhanNhom[],Sheet_ChiPhiKD!$H$2,0) = "Chưa phân bổ" )),
(1 -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DATE(YEAR(O$2),MONTH(O$2)+1,1))*
(Table_ChiPhiKD[Phân bổ đến] &gt; O$2)*
(VLOOKUP(Table_ChiPhiKD[Nhóm chi phí],Table_ChiPhiKD_PhanNhom[],Sheet_ChiPhiKD!$H$2,0) = "Chưa phân bổ" )),
(1 - _xlfn._xlws.FILTER(Table_ChiPhiKD_PhanBo[Tỷ lệ phân bổ],
(ISBLANK(Table_ChiPhiKD_PhanBo[Tháng])) *
(Table_ChiPhiKD_PhanBo[Phân bổ từ] &lt; DATE(YEAR(O$2),MONTH(O$2)+1,1))*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DATE(YEAR(O$2),MONTH(O$2)+1,1))*
(Table_ChiPhiKD[Phân bổ đến] &gt; O$2)*
(VLOOKUP(Table_ChiPhiKD[Nhóm chi phí],Table_ChiPhiKD_PhanNhom[],Sheet_ChiPhiKD!$H$2,0) = "Chưa phân bổ" ))
), 0)</f>
        <v>0</v>
      </c>
      <c r="P23" s="326"/>
      <c r="Q23" s="242"/>
      <c r="R23" s="73" t="s">
        <v>294</v>
      </c>
      <c r="S23" s="331" cm="1">
        <f t="array" ref="S23">-IFERROR(
SUM(_xlfn._xlws.FILTER(Table_TonKho[Chi phí ghi nhận],
(Table_TonKho[Năm] = S$1) *
(Table_TonKho[Chức năng] = "Văn phòng")
)),0)
-IFERROR(
SUMPRODUCT(
_xlfn._xlws.FILTER(Table_ChiPhiKD[Giá trị],
(Table_ChiPhiKD[Năm] = S$1) *
(NOT(ISBLANK(Table_ChiPhiKD[Tháng])))*
(VLOOKUP(
Table_ChiPhiKD[Nhóm chi phí],
Table_ChiPhiKD_PhanNhom[],
COUNTA(Table_ChiPhiKD_PhanNhom[[#Headers],[Nhóm chi phí]:[Chức năng]]),
0) = "Chưa phân bổ" )
),
(1 -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23" s="242"/>
      <c r="U23" s="73" t="s">
        <v>294</v>
      </c>
      <c r="V23" s="331" cm="1">
        <f t="array" ref="V23">-IFERROR(
SUM(_xlfn._xlws.FILTER(Table_TonKho[Chi phí ghi nhận],
(Table_TonKho[Kỳ] = V$1) *
(Table_TonKho[Chức năng] = "Văn phòng")
)),0)
-IFERROR(
SUMPRODUCT(
_xlfn._xlws.FILTER(Table_ChiPhiKD[Giá trị],
(Table_ChiPhiKD[Kỳ] = V$1) *
(NOT(ISBLANK(Table_ChiPhiKD[Tháng])))*
(VLOOKUP(Table_ChiPhiKD[Nhóm chi phí],Table_ChiPhiKD_PhanNhom[],Sheet_ChiPhiKD!$H$2,0) = "Chưa phân bổ" )),
(1 -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(1 -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24" spans="2:22" ht="18" customHeight="1" outlineLevel="2" x14ac:dyDescent="0.3">
      <c r="B24" s="73" t="s">
        <v>355</v>
      </c>
      <c r="C24" s="331" cm="1">
        <f t="array" ref="C24" xml:space="preserve">
-IFERROR(
SUM(
_xlfn._xlws.FILTER(Table_ChiPhiKD[Giá trị],
(NOT(ISBLANK(Table_ChiPhiKD[Tháng])))*
(Table_ChiPhiKD[Nhóm chi phí] = "Chi phí Kênh phân phối") *
(Table_ChiPhiKD[Năm] = C$2)
)),
0)
- IFERROR(
SUMPRODUCT(
_xlfn._xlws.FILTER(Table_ChiPhiKD[Giá trị],
(ISBLANK(Table_ChiPhiKD[Tháng])) *
(Table_ChiPhiKD[Nhóm chi phí] = "Chi phí Kênh phân phối")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Kênh phân phối") *
(Table_ChiPhiKD[Phân bổ từ] &lt; DATE(C$2+1,1,1))*
(Table_ChiPhiKD[Phân bổ đến] &gt; DATE(C$2,1,1))
),
1/_xlfn._xlws.FILTER(
ROUND(
(Table_ChiPhiKD[Phân bổ đến]-Table_ChiPhiKD[Phân bổ từ])
/(365.25/12),
0),
(ISBLANK(Table_ChiPhiKD[Tháng])) *
(Table_ChiPhiKD[Nhóm chi phí] = "Chi phí Kênh phân phối") *
(Table_ChiPhiKD[Phân bổ từ] &lt; DATE(C$2+1,1,1))*
(Table_ChiPhiKD[Phân bổ đến] &gt; DATE(C$2,1,1))
)
),
0)</f>
        <v>0</v>
      </c>
      <c r="D24" s="333" cm="1">
        <f t="array" ref="D24" xml:space="preserve">
-IFERROR(
SUM(
_xlfn._xlws.FILTER(Table_ChiPhiKD[Giá trị],
(NOT(ISBLANK(Table_ChiPhiKD[Tháng])))*
(Table_ChiPhiKD[Nhóm chi phí] = "Chi phí Kênh phân phối") *
(Table_ChiPhiKD[Kỳ] = D$2)
)),
0)
- IFERROR(
SUMPRODUCT(
_xlfn._xlws.FILTER(Table_ChiPhiKD[Giá trị],
(ISBLANK(Table_ChiPhiKD[Tháng])) *
(Table_ChiPhiKD[Nhóm chi phí] = "Chi phí Kênh phân phối") *
(Table_ChiPhiKD[Phân bổ từ] &lt; DATE(YEAR(D$2),MONTH(D$2)+1,1))*
(Table_ChiPhiKD[Phân bổ đến] &gt; D$2)
),
1/_xlfn._xlws.FILTER(
ROUND(
(Table_ChiPhiKD[Phân bổ đến]-Table_ChiPhiKD[Phân bổ từ])
/(365.25/12),
0),
(ISBLANK(Table_ChiPhiKD[Tháng])) *
(Table_ChiPhiKD[Nhóm chi phí] = "Chi phí Kênh phân phối") *
(Table_ChiPhiKD[Phân bổ từ] &lt; DATE(YEAR(D$2),MONTH(D$2)+1,1))*
(Table_ChiPhiKD[Phân bổ đến] &gt; D$2)
)
),
0)</f>
        <v>0</v>
      </c>
      <c r="E24" s="333" cm="1">
        <f t="array" ref="E24" xml:space="preserve">
-IFERROR(
SUM(
_xlfn._xlws.FILTER(Table_ChiPhiKD[Giá trị],
(NOT(ISBLANK(Table_ChiPhiKD[Tháng])))*
(Table_ChiPhiKD[Nhóm chi phí] = "Chi phí Kênh phân phối") *
(Table_ChiPhiKD[Kỳ] = E$2)
)),
0)
- IFERROR(
SUMPRODUCT(
_xlfn._xlws.FILTER(Table_ChiPhiKD[Giá trị],
(ISBLANK(Table_ChiPhiKD[Tháng])) *
(Table_ChiPhiKD[Nhóm chi phí] = "Chi phí Kênh phân phối") *
(Table_ChiPhiKD[Phân bổ từ] &lt; DATE(YEAR(E$2),MONTH(E$2)+1,1))*
(Table_ChiPhiKD[Phân bổ đến] &gt; E$2)
),
1/_xlfn._xlws.FILTER(
ROUND(
(Table_ChiPhiKD[Phân bổ đến]-Table_ChiPhiKD[Phân bổ từ])
/(365.25/12),
0),
(ISBLANK(Table_ChiPhiKD[Tháng])) *
(Table_ChiPhiKD[Nhóm chi phí] = "Chi phí Kênh phân phối") *
(Table_ChiPhiKD[Phân bổ từ] &lt; DATE(YEAR(E$2),MONTH(E$2)+1,1))*
(Table_ChiPhiKD[Phân bổ đến] &gt; E$2)
)
),
0)</f>
        <v>0</v>
      </c>
      <c r="F24" s="333" cm="1">
        <f t="array" ref="F24" xml:space="preserve">
-IFERROR(
SUM(
_xlfn._xlws.FILTER(Table_ChiPhiKD[Giá trị],
(NOT(ISBLANK(Table_ChiPhiKD[Tháng])))*
(Table_ChiPhiKD[Nhóm chi phí] = "Chi phí Kênh phân phối") *
(Table_ChiPhiKD[Kỳ] = F$2)
)),
0)
- IFERROR(
SUMPRODUCT(
_xlfn._xlws.FILTER(Table_ChiPhiKD[Giá trị],
(ISBLANK(Table_ChiPhiKD[Tháng])) *
(Table_ChiPhiKD[Nhóm chi phí] = "Chi phí Kênh phân phối") *
(Table_ChiPhiKD[Phân bổ từ] &lt; DATE(YEAR(F$2),MONTH(F$2)+1,1))*
(Table_ChiPhiKD[Phân bổ đến] &gt; F$2)
),
1/_xlfn._xlws.FILTER(
ROUND(
(Table_ChiPhiKD[Phân bổ đến]-Table_ChiPhiKD[Phân bổ từ])
/(365.25/12),
0),
(ISBLANK(Table_ChiPhiKD[Tháng])) *
(Table_ChiPhiKD[Nhóm chi phí] = "Chi phí Kênh phân phối") *
(Table_ChiPhiKD[Phân bổ từ] &lt; DATE(YEAR(F$2),MONTH(F$2)+1,1))*
(Table_ChiPhiKD[Phân bổ đến] &gt; F$2)
)
),
0)</f>
        <v>0</v>
      </c>
      <c r="G24" s="333" cm="1">
        <f t="array" ref="G24" xml:space="preserve">
-IFERROR(
SUM(
_xlfn._xlws.FILTER(Table_ChiPhiKD[Giá trị],
(NOT(ISBLANK(Table_ChiPhiKD[Tháng])))*
(Table_ChiPhiKD[Nhóm chi phí] = "Chi phí Kênh phân phối") *
(Table_ChiPhiKD[Kỳ] = G$2)
)),
0)
- IFERROR(
SUMPRODUCT(
_xlfn._xlws.FILTER(Table_ChiPhiKD[Giá trị],
(ISBLANK(Table_ChiPhiKD[Tháng])) *
(Table_ChiPhiKD[Nhóm chi phí] = "Chi phí Kênh phân phối") *
(Table_ChiPhiKD[Phân bổ từ] &lt; DATE(YEAR(G$2),MONTH(G$2)+1,1))*
(Table_ChiPhiKD[Phân bổ đến] &gt; G$2)
),
1/_xlfn._xlws.FILTER(
ROUND(
(Table_ChiPhiKD[Phân bổ đến]-Table_ChiPhiKD[Phân bổ từ])
/(365.25/12),
0),
(ISBLANK(Table_ChiPhiKD[Tháng])) *
(Table_ChiPhiKD[Nhóm chi phí] = "Chi phí Kênh phân phối") *
(Table_ChiPhiKD[Phân bổ từ] &lt; DATE(YEAR(G$2),MONTH(G$2)+1,1))*
(Table_ChiPhiKD[Phân bổ đến] &gt; G$2)
)
),
0)</f>
        <v>0</v>
      </c>
      <c r="H24" s="333" cm="1">
        <f t="array" ref="H24" xml:space="preserve">
-IFERROR(
SUM(
_xlfn._xlws.FILTER(Table_ChiPhiKD[Giá trị],
(NOT(ISBLANK(Table_ChiPhiKD[Tháng])))*
(Table_ChiPhiKD[Nhóm chi phí] = "Chi phí Kênh phân phối") *
(Table_ChiPhiKD[Kỳ] = H$2)
)),
0)
- IFERROR(
SUMPRODUCT(
_xlfn._xlws.FILTER(Table_ChiPhiKD[Giá trị],
(ISBLANK(Table_ChiPhiKD[Tháng])) *
(Table_ChiPhiKD[Nhóm chi phí] = "Chi phí Kênh phân phối") *
(Table_ChiPhiKD[Phân bổ từ] &lt; DATE(YEAR(H$2),MONTH(H$2)+1,1))*
(Table_ChiPhiKD[Phân bổ đến] &gt; H$2)
),
1/_xlfn._xlws.FILTER(
ROUND(
(Table_ChiPhiKD[Phân bổ đến]-Table_ChiPhiKD[Phân bổ từ])
/(365.25/12),
0),
(ISBLANK(Table_ChiPhiKD[Tháng])) *
(Table_ChiPhiKD[Nhóm chi phí] = "Chi phí Kênh phân phối") *
(Table_ChiPhiKD[Phân bổ từ] &lt; DATE(YEAR(H$2),MONTH(H$2)+1,1))*
(Table_ChiPhiKD[Phân bổ đến] &gt; H$2)
)
),
0)</f>
        <v>0</v>
      </c>
      <c r="I24" s="333" cm="1">
        <f t="array" ref="I24" xml:space="preserve">
-IFERROR(
SUM(
_xlfn._xlws.FILTER(Table_ChiPhiKD[Giá trị],
(NOT(ISBLANK(Table_ChiPhiKD[Tháng])))*
(Table_ChiPhiKD[Nhóm chi phí] = "Chi phí Kênh phân phối") *
(Table_ChiPhiKD[Kỳ] = I$2)
)),
0)
- IFERROR(
SUMPRODUCT(
_xlfn._xlws.FILTER(Table_ChiPhiKD[Giá trị],
(ISBLANK(Table_ChiPhiKD[Tháng])) *
(Table_ChiPhiKD[Nhóm chi phí] = "Chi phí Kênh phân phối") *
(Table_ChiPhiKD[Phân bổ từ] &lt; DATE(YEAR(I$2),MONTH(I$2)+1,1))*
(Table_ChiPhiKD[Phân bổ đến] &gt; I$2)
),
1/_xlfn._xlws.FILTER(
ROUND(
(Table_ChiPhiKD[Phân bổ đến]-Table_ChiPhiKD[Phân bổ từ])
/(365.25/12),
0),
(ISBLANK(Table_ChiPhiKD[Tháng])) *
(Table_ChiPhiKD[Nhóm chi phí] = "Chi phí Kênh phân phối") *
(Table_ChiPhiKD[Phân bổ từ] &lt; DATE(YEAR(I$2),MONTH(I$2)+1,1))*
(Table_ChiPhiKD[Phân bổ đến] &gt; I$2)
)
),
0)</f>
        <v>0</v>
      </c>
      <c r="J24" s="333" cm="1">
        <f t="array" ref="J24" xml:space="preserve">
-IFERROR(
SUM(
_xlfn._xlws.FILTER(Table_ChiPhiKD[Giá trị],
(NOT(ISBLANK(Table_ChiPhiKD[Tháng])))*
(Table_ChiPhiKD[Nhóm chi phí] = "Chi phí Kênh phân phối") *
(Table_ChiPhiKD[Kỳ] = J$2)
)),
0)
- IFERROR(
SUMPRODUCT(
_xlfn._xlws.FILTER(Table_ChiPhiKD[Giá trị],
(ISBLANK(Table_ChiPhiKD[Tháng])) *
(Table_ChiPhiKD[Nhóm chi phí] = "Chi phí Kênh phân phối") *
(Table_ChiPhiKD[Phân bổ từ] &lt; DATE(YEAR(J$2),MONTH(J$2)+1,1))*
(Table_ChiPhiKD[Phân bổ đến] &gt; J$2)
),
1/_xlfn._xlws.FILTER(
ROUND(
(Table_ChiPhiKD[Phân bổ đến]-Table_ChiPhiKD[Phân bổ từ])
/(365.25/12),
0),
(ISBLANK(Table_ChiPhiKD[Tháng])) *
(Table_ChiPhiKD[Nhóm chi phí] = "Chi phí Kênh phân phối") *
(Table_ChiPhiKD[Phân bổ từ] &lt; DATE(YEAR(J$2),MONTH(J$2)+1,1))*
(Table_ChiPhiKD[Phân bổ đến] &gt; J$2)
)
),
0)</f>
        <v>0</v>
      </c>
      <c r="K24" s="333" cm="1">
        <f t="array" ref="K24" xml:space="preserve">
-IFERROR(
SUM(
_xlfn._xlws.FILTER(Table_ChiPhiKD[Giá trị],
(NOT(ISBLANK(Table_ChiPhiKD[Tháng])))*
(Table_ChiPhiKD[Nhóm chi phí] = "Chi phí Kênh phân phối") *
(Table_ChiPhiKD[Kỳ] = K$2)
)),
0)
- IFERROR(
SUMPRODUCT(
_xlfn._xlws.FILTER(Table_ChiPhiKD[Giá trị],
(ISBLANK(Table_ChiPhiKD[Tháng])) *
(Table_ChiPhiKD[Nhóm chi phí] = "Chi phí Kênh phân phối") *
(Table_ChiPhiKD[Phân bổ từ] &lt; DATE(YEAR(K$2),MONTH(K$2)+1,1))*
(Table_ChiPhiKD[Phân bổ đến] &gt; K$2)
),
1/_xlfn._xlws.FILTER(
ROUND(
(Table_ChiPhiKD[Phân bổ đến]-Table_ChiPhiKD[Phân bổ từ])
/(365.25/12),
0),
(ISBLANK(Table_ChiPhiKD[Tháng])) *
(Table_ChiPhiKD[Nhóm chi phí] = "Chi phí Kênh phân phối") *
(Table_ChiPhiKD[Phân bổ từ] &lt; DATE(YEAR(K$2),MONTH(K$2)+1,1))*
(Table_ChiPhiKD[Phân bổ đến] &gt; K$2)
)
),
0)</f>
        <v>0</v>
      </c>
      <c r="L24" s="333" cm="1">
        <f t="array" ref="L24" xml:space="preserve">
-IFERROR(
SUM(
_xlfn._xlws.FILTER(Table_ChiPhiKD[Giá trị],
(NOT(ISBLANK(Table_ChiPhiKD[Tháng])))*
(Table_ChiPhiKD[Nhóm chi phí] = "Chi phí Kênh phân phối") *
(Table_ChiPhiKD[Kỳ] = L$2)
)),
0)
- IFERROR(
SUMPRODUCT(
_xlfn._xlws.FILTER(Table_ChiPhiKD[Giá trị],
(ISBLANK(Table_ChiPhiKD[Tháng])) *
(Table_ChiPhiKD[Nhóm chi phí] = "Chi phí Kênh phân phối") *
(Table_ChiPhiKD[Phân bổ từ] &lt; DATE(YEAR(L$2),MONTH(L$2)+1,1))*
(Table_ChiPhiKD[Phân bổ đến] &gt; L$2)
),
1/_xlfn._xlws.FILTER(
ROUND(
(Table_ChiPhiKD[Phân bổ đến]-Table_ChiPhiKD[Phân bổ từ])
/(365.25/12),
0),
(ISBLANK(Table_ChiPhiKD[Tháng])) *
(Table_ChiPhiKD[Nhóm chi phí] = "Chi phí Kênh phân phối") *
(Table_ChiPhiKD[Phân bổ từ] &lt; DATE(YEAR(L$2),MONTH(L$2)+1,1))*
(Table_ChiPhiKD[Phân bổ đến] &gt; L$2)
)
),
0)</f>
        <v>0</v>
      </c>
      <c r="M24" s="333" cm="1">
        <f t="array" ref="M24" xml:space="preserve">
-IFERROR(
SUM(
_xlfn._xlws.FILTER(Table_ChiPhiKD[Giá trị],
(NOT(ISBLANK(Table_ChiPhiKD[Tháng])))*
(Table_ChiPhiKD[Nhóm chi phí] = "Chi phí Kênh phân phối") *
(Table_ChiPhiKD[Kỳ] = M$2)
)),
0)
- IFERROR(
SUMPRODUCT(
_xlfn._xlws.FILTER(Table_ChiPhiKD[Giá trị],
(ISBLANK(Table_ChiPhiKD[Tháng])) *
(Table_ChiPhiKD[Nhóm chi phí] = "Chi phí Kênh phân phối") *
(Table_ChiPhiKD[Phân bổ từ] &lt; DATE(YEAR(M$2),MONTH(M$2)+1,1))*
(Table_ChiPhiKD[Phân bổ đến] &gt; M$2)
),
1/_xlfn._xlws.FILTER(
ROUND(
(Table_ChiPhiKD[Phân bổ đến]-Table_ChiPhiKD[Phân bổ từ])
/(365.25/12),
0),
(ISBLANK(Table_ChiPhiKD[Tháng])) *
(Table_ChiPhiKD[Nhóm chi phí] = "Chi phí Kênh phân phối") *
(Table_ChiPhiKD[Phân bổ từ] &lt; DATE(YEAR(M$2),MONTH(M$2)+1,1))*
(Table_ChiPhiKD[Phân bổ đến] &gt; M$2)
)
),
0)</f>
        <v>0</v>
      </c>
      <c r="N24" s="333" cm="1">
        <f t="array" ref="N24" xml:space="preserve">
-IFERROR(
SUM(
_xlfn._xlws.FILTER(Table_ChiPhiKD[Giá trị],
(NOT(ISBLANK(Table_ChiPhiKD[Tháng])))*
(Table_ChiPhiKD[Nhóm chi phí] = "Chi phí Kênh phân phối") *
(Table_ChiPhiKD[Kỳ] = N$2)
)),
0)
- IFERROR(
SUMPRODUCT(
_xlfn._xlws.FILTER(Table_ChiPhiKD[Giá trị],
(ISBLANK(Table_ChiPhiKD[Tháng])) *
(Table_ChiPhiKD[Nhóm chi phí] = "Chi phí Kênh phân phối") *
(Table_ChiPhiKD[Phân bổ từ] &lt; DATE(YEAR(N$2),MONTH(N$2)+1,1))*
(Table_ChiPhiKD[Phân bổ đến] &gt; N$2)
),
1/_xlfn._xlws.FILTER(
ROUND(
(Table_ChiPhiKD[Phân bổ đến]-Table_ChiPhiKD[Phân bổ từ])
/(365.25/12),
0),
(ISBLANK(Table_ChiPhiKD[Tháng])) *
(Table_ChiPhiKD[Nhóm chi phí] = "Chi phí Kênh phân phối") *
(Table_ChiPhiKD[Phân bổ từ] &lt; DATE(YEAR(N$2),MONTH(N$2)+1,1))*
(Table_ChiPhiKD[Phân bổ đến] &gt; N$2)
)
),
0)</f>
        <v>0</v>
      </c>
      <c r="O24" s="333" cm="1">
        <f t="array" ref="O24" xml:space="preserve">
-IFERROR(
SUM(
_xlfn._xlws.FILTER(Table_ChiPhiKD[Giá trị],
(NOT(ISBLANK(Table_ChiPhiKD[Tháng])))*
(Table_ChiPhiKD[Nhóm chi phí] = "Chi phí Kênh phân phối") *
(Table_ChiPhiKD[Kỳ] = O$2)
)),
0)
- IFERROR(
SUMPRODUCT(
_xlfn._xlws.FILTER(Table_ChiPhiKD[Giá trị],
(ISBLANK(Table_ChiPhiKD[Tháng])) *
(Table_ChiPhiKD[Nhóm chi phí] = "Chi phí Kênh phân phối") *
(Table_ChiPhiKD[Phân bổ từ] &lt; DATE(YEAR(O$2),MONTH(O$2)+1,1))*
(Table_ChiPhiKD[Phân bổ đến] &gt; O$2)
),
1/_xlfn._xlws.FILTER(
ROUND(
(Table_ChiPhiKD[Phân bổ đến]-Table_ChiPhiKD[Phân bổ từ])
/(365.25/12),
0),
(ISBLANK(Table_ChiPhiKD[Tháng])) *
(Table_ChiPhiKD[Nhóm chi phí] = "Chi phí Kênh phân phối") *
(Table_ChiPhiKD[Phân bổ từ] &lt; DATE(YEAR(O$2),MONTH(O$2)+1,1))*
(Table_ChiPhiKD[Phân bổ đến] &gt; O$2)
)
),
0)</f>
        <v>0</v>
      </c>
      <c r="P24" s="326"/>
      <c r="Q24" s="242"/>
      <c r="R24" s="73" t="s">
        <v>355</v>
      </c>
      <c r="S24" s="331" cm="1">
        <f t="array" ref="S24" xml:space="preserve">
-IFERROR(
SUM(
_xlfn._xlws.FILTER(Table_ChiPhiKD[Giá trị],
(NOT(ISBLANK(Table_ChiPhiKD[Tháng])))*
(Table_ChiPhiKD[Nhóm chi phí] = "Chi phí Kênh phân phối") *
(Table_ChiPhiKD[Năm] = S$1)
)),
0)
- IFERROR(
SUMPRODUCT(
_xlfn._xlws.FILTER(Table_ChiPhiKD[Giá trị],
(ISBLANK(Table_ChiPhiKD[Tháng])) *
(Table_ChiPhiKD[Nhóm chi phí] = "Chi phí Kênh phân phối")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Kênh phân phối") *
(Table_ChiPhiKD[Phân bổ từ] &lt; DATE(S$1+1,1,1))*
(Table_ChiPhiKD[Phân bổ đến] &gt; DATE(S$1,1,1))
),
1/_xlfn._xlws.FILTER(
ROUND(
(Table_ChiPhiKD[Phân bổ đến]-Table_ChiPhiKD[Phân bổ từ])
/(365.25/12),
0),
(ISBLANK(Table_ChiPhiKD[Tháng])) *
(Table_ChiPhiKD[Nhóm chi phí] = "Chi phí Kênh phân phối") *
(Table_ChiPhiKD[Phân bổ từ] &lt; DATE(S$1+1,1,1))*
(Table_ChiPhiKD[Phân bổ đến] &gt; DATE(S$1,1,1))
)
),
0)</f>
        <v>0</v>
      </c>
      <c r="T24" s="242"/>
      <c r="U24" s="73" t="s">
        <v>355</v>
      </c>
      <c r="V24" s="333" cm="1">
        <f t="array" ref="V24" xml:space="preserve">
-IFERROR(
SUM(
_xlfn._xlws.FILTER(Table_ChiPhiKD[Giá trị],
(NOT(ISBLANK(Table_ChiPhiKD[Tháng])))*
(Table_ChiPhiKD[Nhóm chi phí] = "Chi phí Kênh phân phối") *
(Table_ChiPhiKD[Kỳ] = V$1)
)),
0)
- IFERROR(
SUMPRODUCT(
_xlfn._xlws.FILTER(Table_ChiPhiKD[Giá trị],
(ISBLANK(Table_ChiPhiKD[Tháng])) *
(Table_ChiPhiKD[Nhóm chi phí] = "Chi phí Kênh phân phối") *
(Table_ChiPhiKD[Phân bổ từ] &lt; DATE(YEAR(V$1),MONTH(V$1)+1,1))*
(Table_ChiPhiKD[Phân bổ đến] &gt; V$1)
),
1/_xlfn._xlws.FILTER(
ROUND(
(Table_ChiPhiKD[Phân bổ đến]-Table_ChiPhiKD[Phân bổ từ])
/(365.25/12),
0),
(ISBLANK(Table_ChiPhiKD[Tháng])) *
(Table_ChiPhiKD[Nhóm chi phí] = "Chi phí Kênh phân phối") *
(Table_ChiPhiKD[Phân bổ từ] &lt; DATE(YEAR(V$1),MONTH(V$1)+1,1))*
(Table_ChiPhiKD[Phân bổ đến] &gt; V$1)
)
),
0)</f>
        <v>0</v>
      </c>
    </row>
    <row r="25" spans="2:22" ht="18" customHeight="1" outlineLevel="2" x14ac:dyDescent="0.3">
      <c r="B25" s="73" t="s">
        <v>295</v>
      </c>
      <c r="C25" s="331" cm="1">
        <f t="array" ref="C25" xml:space="preserve">
-IFERROR(
SUM(
_xlfn._xlws.FILTER(Table_ChiPhiKD[Giá trị],
(NOT(ISBLANK(Table_ChiPhiKD[Tháng])))*
(Table_ChiPhiKD[Nhóm chi phí] = "Chi phí Marketing") *
(Table_ChiPhiKD[Năm] = C$2)
)),
0)
- IFERROR(
SUMPRODUCT(
_xlfn._xlws.FILTER(Table_ChiPhiKD[Giá trị],
(ISBLANK(Table_ChiPhiKD[Tháng])) *
(Table_ChiPhiKD[Nhóm chi phí] = "Chi phí Marketing")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Marketing") *
(Table_ChiPhiKD[Phân bổ từ] &lt; DATE(C$2+1,1,1))*
(Table_ChiPhiKD[Phân bổ đến] &gt; DATE(C$2,1,1))
),
1/_xlfn._xlws.FILTER(
ROUND(
(Table_ChiPhiKD[Phân bổ đến]-Table_ChiPhiKD[Phân bổ từ])
/(365.25/12),
0),
(ISBLANK(Table_ChiPhiKD[Tháng])) *
(Table_ChiPhiKD[Nhóm chi phí] = "Chi phí Marketing") *
(Table_ChiPhiKD[Phân bổ từ] &lt; DATE(C$2+1,1,1))*
(Table_ChiPhiKD[Phân bổ đến] &gt; DATE(C$2,1,1))
)
),
0)
-IFERROR(
SUM(
_xlfn._xlws.FILTER(Table_ChiPhiKD[Giá trị],
(NOT(ISBLANK(Table_ChiPhiKD[Tháng])))*
(Table_ChiPhiKD[Nhóm chi phí] = "Chi phí Đối ngoại") *
(Table_ChiPhiKD[Năm] = C$2)
)),
0)
- IFERROR(
SUMPRODUCT(
_xlfn._xlws.FILTER(Table_ChiPhiKD[Giá trị],
(ISBLANK(Table_ChiPhiKD[Tháng])) *
(Table_ChiPhiKD[Nhóm chi phí] = "Chi phí Đối ngoại")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Đối ngoại") *
(Table_ChiPhiKD[Phân bổ từ] &lt; DATE(C$2+1,1,1))*
(Table_ChiPhiKD[Phân bổ đến] &gt; DATE(C$2,1,1))
),
1/_xlfn._xlws.FILTER(
ROUND(
(Table_ChiPhiKD[Phân bổ đến]-Table_ChiPhiKD[Phân bổ từ])
/(365.25/12),
0),
(ISBLANK(Table_ChiPhiKD[Tháng])) *
(Table_ChiPhiKD[Nhóm chi phí] = "Chi phí Đối ngoại") *
(Table_ChiPhiKD[Phân bổ từ] &lt; DATE(C$2+1,1,1))*
(Table_ChiPhiKD[Phân bổ đến] &gt; DATE(C$2,1,1))
)
),
0)</f>
        <v>0</v>
      </c>
      <c r="D25" s="331" cm="1">
        <f t="array" ref="D25" xml:space="preserve">
-IFERROR(
SUM(
_xlfn._xlws.FILTER(Table_ChiPhiKD[Giá trị],
(NOT(ISBLANK(Table_ChiPhiKD[Tháng])))*
(Table_ChiPhiKD[Nhóm chi phí] = "Chi phí Marketing") *
(Table_ChiPhiKD[Kỳ] = D$2)
)),
0)
- IFERROR(
SUMPRODUCT(
_xlfn._xlws.FILTER(Table_ChiPhiKD[Giá trị],
(ISBLANK(Table_ChiPhiKD[Tháng])) *
(Table_ChiPhiKD[Nhóm chi phí] = "Chi phí Marketing") *
(Table_ChiPhiKD[Phân bổ từ] &lt; DATE(YEAR(D$2),MONTH(D$2)+1,1))*
(Table_ChiPhiKD[Phân bổ đến] &gt; D$2)
),
1/_xlfn._xlws.FILTER(
ROUND(
(Table_ChiPhiKD[Phân bổ đến]-Table_ChiPhiKD[Phân bổ từ])
/(365.25/12),
0),
(ISBLANK(Table_ChiPhiKD[Tháng])) *
(Table_ChiPhiKD[Nhóm chi phí] = "Chi phí Marketing") *
(Table_ChiPhiKD[Phân bổ từ] &lt; DATE(YEAR(D$2),MONTH(D$2)+1,1))*
(Table_ChiPhiKD[Phân bổ đến] &gt; D$2)
)
),
0)
-IFERROR(
SUM(
_xlfn._xlws.FILTER(Table_ChiPhiKD[Giá trị],
(NOT(ISBLANK(Table_ChiPhiKD[Tháng])))*
(Table_ChiPhiKD[Nhóm chi phí] = "Chi phí Đối ngoại") *
(Table_ChiPhiKD[Kỳ] = D$2)
)),
0)
- IFERROR(
SUMPRODUCT(
_xlfn._xlws.FILTER(Table_ChiPhiKD[Giá trị],
(ISBLANK(Table_ChiPhiKD[Tháng])) *
(Table_ChiPhiKD[Nhóm chi phí] = "Chi phí Đối ngoại") *
(Table_ChiPhiKD[Phân bổ từ] &lt; DATE(YEAR(D$2),MONTH(D$2)+1,1))*
(Table_ChiPhiKD[Phân bổ đến] &gt; D$2)
),
1/_xlfn._xlws.FILTER(
ROUND(
(Table_ChiPhiKD[Phân bổ đến]-Table_ChiPhiKD[Phân bổ từ])
/(365.25/12),
0),
(ISBLANK(Table_ChiPhiKD[Tháng])) *
(Table_ChiPhiKD[Nhóm chi phí] = "Chi phí Đối ngoại") *
(Table_ChiPhiKD[Phân bổ từ] &lt; DATE(YEAR(D$2),MONTH(D$2)+1,1))*
(Table_ChiPhiKD[Phân bổ đến] &gt; D$2)
)
),
0)</f>
        <v>0</v>
      </c>
      <c r="E25" s="331" cm="1">
        <f t="array" ref="E25" xml:space="preserve">
-IFERROR(
SUM(
_xlfn._xlws.FILTER(Table_ChiPhiKD[Giá trị],
(NOT(ISBLANK(Table_ChiPhiKD[Tháng])))*
(Table_ChiPhiKD[Nhóm chi phí] = "Chi phí Marketing") *
(Table_ChiPhiKD[Kỳ] = E$2)
)),
0)
- IFERROR(
SUMPRODUCT(
_xlfn._xlws.FILTER(Table_ChiPhiKD[Giá trị],
(ISBLANK(Table_ChiPhiKD[Tháng])) *
(Table_ChiPhiKD[Nhóm chi phí] = "Chi phí Marketing") *
(Table_ChiPhiKD[Phân bổ từ] &lt; DATE(YEAR(E$2),MONTH(E$2)+1,1))*
(Table_ChiPhiKD[Phân bổ đến] &gt; E$2)
),
1/_xlfn._xlws.FILTER(
ROUND(
(Table_ChiPhiKD[Phân bổ đến]-Table_ChiPhiKD[Phân bổ từ])
/(365.25/12),
0),
(ISBLANK(Table_ChiPhiKD[Tháng])) *
(Table_ChiPhiKD[Nhóm chi phí] = "Chi phí Marketing") *
(Table_ChiPhiKD[Phân bổ từ] &lt; DATE(YEAR(E$2),MONTH(E$2)+1,1))*
(Table_ChiPhiKD[Phân bổ đến] &gt; E$2)
)
),
0)
-IFERROR(
SUM(
_xlfn._xlws.FILTER(Table_ChiPhiKD[Giá trị],
(NOT(ISBLANK(Table_ChiPhiKD[Tháng])))*
(Table_ChiPhiKD[Nhóm chi phí] = "Chi phí Đối ngoại") *
(Table_ChiPhiKD[Kỳ] = E$2)
)),
0)
- IFERROR(
SUMPRODUCT(
_xlfn._xlws.FILTER(Table_ChiPhiKD[Giá trị],
(ISBLANK(Table_ChiPhiKD[Tháng])) *
(Table_ChiPhiKD[Nhóm chi phí] = "Chi phí Đối ngoại") *
(Table_ChiPhiKD[Phân bổ từ] &lt; DATE(YEAR(E$2),MONTH(E$2)+1,1))*
(Table_ChiPhiKD[Phân bổ đến] &gt; E$2)
),
1/_xlfn._xlws.FILTER(
ROUND(
(Table_ChiPhiKD[Phân bổ đến]-Table_ChiPhiKD[Phân bổ từ])
/(365.25/12),
0),
(ISBLANK(Table_ChiPhiKD[Tháng])) *
(Table_ChiPhiKD[Nhóm chi phí] = "Chi phí Đối ngoại") *
(Table_ChiPhiKD[Phân bổ từ] &lt; DATE(YEAR(E$2),MONTH(E$2)+1,1))*
(Table_ChiPhiKD[Phân bổ đến] &gt; E$2)
)
),
0)</f>
        <v>0</v>
      </c>
      <c r="F25" s="331" cm="1">
        <f t="array" ref="F25" xml:space="preserve">
-IFERROR(
SUM(
_xlfn._xlws.FILTER(Table_ChiPhiKD[Giá trị],
(NOT(ISBLANK(Table_ChiPhiKD[Tháng])))*
(Table_ChiPhiKD[Nhóm chi phí] = "Chi phí Marketing") *
(Table_ChiPhiKD[Kỳ] = F$2)
)),
0)
- IFERROR(
SUMPRODUCT(
_xlfn._xlws.FILTER(Table_ChiPhiKD[Giá trị],
(ISBLANK(Table_ChiPhiKD[Tháng])) *
(Table_ChiPhiKD[Nhóm chi phí] = "Chi phí Marketing") *
(Table_ChiPhiKD[Phân bổ từ] &lt; DATE(YEAR(F$2),MONTH(F$2)+1,1))*
(Table_ChiPhiKD[Phân bổ đến] &gt; F$2)
),
1/_xlfn._xlws.FILTER(
ROUND(
(Table_ChiPhiKD[Phân bổ đến]-Table_ChiPhiKD[Phân bổ từ])
/(365.25/12),
0),
(ISBLANK(Table_ChiPhiKD[Tháng])) *
(Table_ChiPhiKD[Nhóm chi phí] = "Chi phí Marketing") *
(Table_ChiPhiKD[Phân bổ từ] &lt; DATE(YEAR(F$2),MONTH(F$2)+1,1))*
(Table_ChiPhiKD[Phân bổ đến] &gt; F$2)
)
),
0)
-IFERROR(
SUM(
_xlfn._xlws.FILTER(Table_ChiPhiKD[Giá trị],
(NOT(ISBLANK(Table_ChiPhiKD[Tháng])))*
(Table_ChiPhiKD[Nhóm chi phí] = "Chi phí Đối ngoại") *
(Table_ChiPhiKD[Kỳ] = F$2)
)),
0)
- IFERROR(
SUMPRODUCT(
_xlfn._xlws.FILTER(Table_ChiPhiKD[Giá trị],
(ISBLANK(Table_ChiPhiKD[Tháng])) *
(Table_ChiPhiKD[Nhóm chi phí] = "Chi phí Đối ngoại") *
(Table_ChiPhiKD[Phân bổ từ] &lt; DATE(YEAR(F$2),MONTH(F$2)+1,1))*
(Table_ChiPhiKD[Phân bổ đến] &gt; F$2)
),
1/_xlfn._xlws.FILTER(
ROUND(
(Table_ChiPhiKD[Phân bổ đến]-Table_ChiPhiKD[Phân bổ từ])
/(365.25/12),
0),
(ISBLANK(Table_ChiPhiKD[Tháng])) *
(Table_ChiPhiKD[Nhóm chi phí] = "Chi phí Đối ngoại") *
(Table_ChiPhiKD[Phân bổ từ] &lt; DATE(YEAR(F$2),MONTH(F$2)+1,1))*
(Table_ChiPhiKD[Phân bổ đến] &gt; F$2)
)
),
0)</f>
        <v>0</v>
      </c>
      <c r="G25" s="331" cm="1">
        <f t="array" ref="G25" xml:space="preserve">
-IFERROR(
SUM(
_xlfn._xlws.FILTER(Table_ChiPhiKD[Giá trị],
(NOT(ISBLANK(Table_ChiPhiKD[Tháng])))*
(Table_ChiPhiKD[Nhóm chi phí] = "Chi phí Marketing") *
(Table_ChiPhiKD[Kỳ] = G$2)
)),
0)
- IFERROR(
SUMPRODUCT(
_xlfn._xlws.FILTER(Table_ChiPhiKD[Giá trị],
(ISBLANK(Table_ChiPhiKD[Tháng])) *
(Table_ChiPhiKD[Nhóm chi phí] = "Chi phí Marketing") *
(Table_ChiPhiKD[Phân bổ từ] &lt; DATE(YEAR(G$2),MONTH(G$2)+1,1))*
(Table_ChiPhiKD[Phân bổ đến] &gt; G$2)
),
1/_xlfn._xlws.FILTER(
ROUND(
(Table_ChiPhiKD[Phân bổ đến]-Table_ChiPhiKD[Phân bổ từ])
/(365.25/12),
0),
(ISBLANK(Table_ChiPhiKD[Tháng])) *
(Table_ChiPhiKD[Nhóm chi phí] = "Chi phí Marketing") *
(Table_ChiPhiKD[Phân bổ từ] &lt; DATE(YEAR(G$2),MONTH(G$2)+1,1))*
(Table_ChiPhiKD[Phân bổ đến] &gt; G$2)
)
),
0)
-IFERROR(
SUM(
_xlfn._xlws.FILTER(Table_ChiPhiKD[Giá trị],
(NOT(ISBLANK(Table_ChiPhiKD[Tháng])))*
(Table_ChiPhiKD[Nhóm chi phí] = "Chi phí Đối ngoại") *
(Table_ChiPhiKD[Kỳ] = G$2)
)),
0)
- IFERROR(
SUMPRODUCT(
_xlfn._xlws.FILTER(Table_ChiPhiKD[Giá trị],
(ISBLANK(Table_ChiPhiKD[Tháng])) *
(Table_ChiPhiKD[Nhóm chi phí] = "Chi phí Đối ngoại") *
(Table_ChiPhiKD[Phân bổ từ] &lt; DATE(YEAR(G$2),MONTH(G$2)+1,1))*
(Table_ChiPhiKD[Phân bổ đến] &gt; G$2)
),
1/_xlfn._xlws.FILTER(
ROUND(
(Table_ChiPhiKD[Phân bổ đến]-Table_ChiPhiKD[Phân bổ từ])
/(365.25/12),
0),
(ISBLANK(Table_ChiPhiKD[Tháng])) *
(Table_ChiPhiKD[Nhóm chi phí] = "Chi phí Đối ngoại") *
(Table_ChiPhiKD[Phân bổ từ] &lt; DATE(YEAR(G$2),MONTH(G$2)+1,1))*
(Table_ChiPhiKD[Phân bổ đến] &gt; G$2)
)
),
0)</f>
        <v>0</v>
      </c>
      <c r="H25" s="331" cm="1">
        <f t="array" ref="H25" xml:space="preserve">
-IFERROR(
SUM(
_xlfn._xlws.FILTER(Table_ChiPhiKD[Giá trị],
(NOT(ISBLANK(Table_ChiPhiKD[Tháng])))*
(Table_ChiPhiKD[Nhóm chi phí] = "Chi phí Marketing") *
(Table_ChiPhiKD[Kỳ] = H$2)
)),
0)
- IFERROR(
SUMPRODUCT(
_xlfn._xlws.FILTER(Table_ChiPhiKD[Giá trị],
(ISBLANK(Table_ChiPhiKD[Tháng])) *
(Table_ChiPhiKD[Nhóm chi phí] = "Chi phí Marketing") *
(Table_ChiPhiKD[Phân bổ từ] &lt; DATE(YEAR(H$2),MONTH(H$2)+1,1))*
(Table_ChiPhiKD[Phân bổ đến] &gt; H$2)
),
1/_xlfn._xlws.FILTER(
ROUND(
(Table_ChiPhiKD[Phân bổ đến]-Table_ChiPhiKD[Phân bổ từ])
/(365.25/12),
0),
(ISBLANK(Table_ChiPhiKD[Tháng])) *
(Table_ChiPhiKD[Nhóm chi phí] = "Chi phí Marketing") *
(Table_ChiPhiKD[Phân bổ từ] &lt; DATE(YEAR(H$2),MONTH(H$2)+1,1))*
(Table_ChiPhiKD[Phân bổ đến] &gt; H$2)
)
),
0)
-IFERROR(
SUM(
_xlfn._xlws.FILTER(Table_ChiPhiKD[Giá trị],
(NOT(ISBLANK(Table_ChiPhiKD[Tháng])))*
(Table_ChiPhiKD[Nhóm chi phí] = "Chi phí Đối ngoại") *
(Table_ChiPhiKD[Kỳ] = H$2)
)),
0)
- IFERROR(
SUMPRODUCT(
_xlfn._xlws.FILTER(Table_ChiPhiKD[Giá trị],
(ISBLANK(Table_ChiPhiKD[Tháng])) *
(Table_ChiPhiKD[Nhóm chi phí] = "Chi phí Đối ngoại") *
(Table_ChiPhiKD[Phân bổ từ] &lt; DATE(YEAR(H$2),MONTH(H$2)+1,1))*
(Table_ChiPhiKD[Phân bổ đến] &gt; H$2)
),
1/_xlfn._xlws.FILTER(
ROUND(
(Table_ChiPhiKD[Phân bổ đến]-Table_ChiPhiKD[Phân bổ từ])
/(365.25/12),
0),
(ISBLANK(Table_ChiPhiKD[Tháng])) *
(Table_ChiPhiKD[Nhóm chi phí] = "Chi phí Đối ngoại") *
(Table_ChiPhiKD[Phân bổ từ] &lt; DATE(YEAR(H$2),MONTH(H$2)+1,1))*
(Table_ChiPhiKD[Phân bổ đến] &gt; H$2)
)
),
0)</f>
        <v>0</v>
      </c>
      <c r="I25" s="331" cm="1">
        <f t="array" ref="I25" xml:space="preserve">
-IFERROR(
SUM(
_xlfn._xlws.FILTER(Table_ChiPhiKD[Giá trị],
(NOT(ISBLANK(Table_ChiPhiKD[Tháng])))*
(Table_ChiPhiKD[Nhóm chi phí] = "Chi phí Marketing") *
(Table_ChiPhiKD[Kỳ] = I$2)
)),
0)
- IFERROR(
SUMPRODUCT(
_xlfn._xlws.FILTER(Table_ChiPhiKD[Giá trị],
(ISBLANK(Table_ChiPhiKD[Tháng])) *
(Table_ChiPhiKD[Nhóm chi phí] = "Chi phí Marketing") *
(Table_ChiPhiKD[Phân bổ từ] &lt; DATE(YEAR(I$2),MONTH(I$2)+1,1))*
(Table_ChiPhiKD[Phân bổ đến] &gt; I$2)
),
1/_xlfn._xlws.FILTER(
ROUND(
(Table_ChiPhiKD[Phân bổ đến]-Table_ChiPhiKD[Phân bổ từ])
/(365.25/12),
0),
(ISBLANK(Table_ChiPhiKD[Tháng])) *
(Table_ChiPhiKD[Nhóm chi phí] = "Chi phí Marketing") *
(Table_ChiPhiKD[Phân bổ từ] &lt; DATE(YEAR(I$2),MONTH(I$2)+1,1))*
(Table_ChiPhiKD[Phân bổ đến] &gt; I$2)
)
),
0)
-IFERROR(
SUM(
_xlfn._xlws.FILTER(Table_ChiPhiKD[Giá trị],
(NOT(ISBLANK(Table_ChiPhiKD[Tháng])))*
(Table_ChiPhiKD[Nhóm chi phí] = "Chi phí Đối ngoại") *
(Table_ChiPhiKD[Kỳ] = I$2)
)),
0)
- IFERROR(
SUMPRODUCT(
_xlfn._xlws.FILTER(Table_ChiPhiKD[Giá trị],
(ISBLANK(Table_ChiPhiKD[Tháng])) *
(Table_ChiPhiKD[Nhóm chi phí] = "Chi phí Đối ngoại") *
(Table_ChiPhiKD[Phân bổ từ] &lt; DATE(YEAR(I$2),MONTH(I$2)+1,1))*
(Table_ChiPhiKD[Phân bổ đến] &gt; I$2)
),
1/_xlfn._xlws.FILTER(
ROUND(
(Table_ChiPhiKD[Phân bổ đến]-Table_ChiPhiKD[Phân bổ từ])
/(365.25/12),
0),
(ISBLANK(Table_ChiPhiKD[Tháng])) *
(Table_ChiPhiKD[Nhóm chi phí] = "Chi phí Đối ngoại") *
(Table_ChiPhiKD[Phân bổ từ] &lt; DATE(YEAR(I$2),MONTH(I$2)+1,1))*
(Table_ChiPhiKD[Phân bổ đến] &gt; I$2)
)
),
0)</f>
        <v>0</v>
      </c>
      <c r="J25" s="331" cm="1">
        <f t="array" ref="J25" xml:space="preserve">
-IFERROR(
SUM(
_xlfn._xlws.FILTER(Table_ChiPhiKD[Giá trị],
(NOT(ISBLANK(Table_ChiPhiKD[Tháng])))*
(Table_ChiPhiKD[Nhóm chi phí] = "Chi phí Marketing") *
(Table_ChiPhiKD[Kỳ] = J$2)
)),
0)
- IFERROR(
SUMPRODUCT(
_xlfn._xlws.FILTER(Table_ChiPhiKD[Giá trị],
(ISBLANK(Table_ChiPhiKD[Tháng])) *
(Table_ChiPhiKD[Nhóm chi phí] = "Chi phí Marketing") *
(Table_ChiPhiKD[Phân bổ từ] &lt; DATE(YEAR(J$2),MONTH(J$2)+1,1))*
(Table_ChiPhiKD[Phân bổ đến] &gt; J$2)
),
1/_xlfn._xlws.FILTER(
ROUND(
(Table_ChiPhiKD[Phân bổ đến]-Table_ChiPhiKD[Phân bổ từ])
/(365.25/12),
0),
(ISBLANK(Table_ChiPhiKD[Tháng])) *
(Table_ChiPhiKD[Nhóm chi phí] = "Chi phí Marketing") *
(Table_ChiPhiKD[Phân bổ từ] &lt; DATE(YEAR(J$2),MONTH(J$2)+1,1))*
(Table_ChiPhiKD[Phân bổ đến] &gt; J$2)
)
),
0)
-IFERROR(
SUM(
_xlfn._xlws.FILTER(Table_ChiPhiKD[Giá trị],
(NOT(ISBLANK(Table_ChiPhiKD[Tháng])))*
(Table_ChiPhiKD[Nhóm chi phí] = "Chi phí Đối ngoại") *
(Table_ChiPhiKD[Kỳ] = J$2)
)),
0)
- IFERROR(
SUMPRODUCT(
_xlfn._xlws.FILTER(Table_ChiPhiKD[Giá trị],
(ISBLANK(Table_ChiPhiKD[Tháng])) *
(Table_ChiPhiKD[Nhóm chi phí] = "Chi phí Đối ngoại") *
(Table_ChiPhiKD[Phân bổ từ] &lt; DATE(YEAR(J$2),MONTH(J$2)+1,1))*
(Table_ChiPhiKD[Phân bổ đến] &gt; J$2)
),
1/_xlfn._xlws.FILTER(
ROUND(
(Table_ChiPhiKD[Phân bổ đến]-Table_ChiPhiKD[Phân bổ từ])
/(365.25/12),
0),
(ISBLANK(Table_ChiPhiKD[Tháng])) *
(Table_ChiPhiKD[Nhóm chi phí] = "Chi phí Đối ngoại") *
(Table_ChiPhiKD[Phân bổ từ] &lt; DATE(YEAR(J$2),MONTH(J$2)+1,1))*
(Table_ChiPhiKD[Phân bổ đến] &gt; J$2)
)
),
0)</f>
        <v>0</v>
      </c>
      <c r="K25" s="331" cm="1">
        <f t="array" ref="K25" xml:space="preserve">
-IFERROR(
SUM(
_xlfn._xlws.FILTER(Table_ChiPhiKD[Giá trị],
(NOT(ISBLANK(Table_ChiPhiKD[Tháng])))*
(Table_ChiPhiKD[Nhóm chi phí] = "Chi phí Marketing") *
(Table_ChiPhiKD[Kỳ] = K$2)
)),
0)
- IFERROR(
SUMPRODUCT(
_xlfn._xlws.FILTER(Table_ChiPhiKD[Giá trị],
(ISBLANK(Table_ChiPhiKD[Tháng])) *
(Table_ChiPhiKD[Nhóm chi phí] = "Chi phí Marketing") *
(Table_ChiPhiKD[Phân bổ từ] &lt; DATE(YEAR(K$2),MONTH(K$2)+1,1))*
(Table_ChiPhiKD[Phân bổ đến] &gt; K$2)
),
1/_xlfn._xlws.FILTER(
ROUND(
(Table_ChiPhiKD[Phân bổ đến]-Table_ChiPhiKD[Phân bổ từ])
/(365.25/12),
0),
(ISBLANK(Table_ChiPhiKD[Tháng])) *
(Table_ChiPhiKD[Nhóm chi phí] = "Chi phí Marketing") *
(Table_ChiPhiKD[Phân bổ từ] &lt; DATE(YEAR(K$2),MONTH(K$2)+1,1))*
(Table_ChiPhiKD[Phân bổ đến] &gt; K$2)
)
),
0)
-IFERROR(
SUM(
_xlfn._xlws.FILTER(Table_ChiPhiKD[Giá trị],
(NOT(ISBLANK(Table_ChiPhiKD[Tháng])))*
(Table_ChiPhiKD[Nhóm chi phí] = "Chi phí Đối ngoại") *
(Table_ChiPhiKD[Kỳ] = K$2)
)),
0)
- IFERROR(
SUMPRODUCT(
_xlfn._xlws.FILTER(Table_ChiPhiKD[Giá trị],
(ISBLANK(Table_ChiPhiKD[Tháng])) *
(Table_ChiPhiKD[Nhóm chi phí] = "Chi phí Đối ngoại") *
(Table_ChiPhiKD[Phân bổ từ] &lt; DATE(YEAR(K$2),MONTH(K$2)+1,1))*
(Table_ChiPhiKD[Phân bổ đến] &gt; K$2)
),
1/_xlfn._xlws.FILTER(
ROUND(
(Table_ChiPhiKD[Phân bổ đến]-Table_ChiPhiKD[Phân bổ từ])
/(365.25/12),
0),
(ISBLANK(Table_ChiPhiKD[Tháng])) *
(Table_ChiPhiKD[Nhóm chi phí] = "Chi phí Đối ngoại") *
(Table_ChiPhiKD[Phân bổ từ] &lt; DATE(YEAR(K$2),MONTH(K$2)+1,1))*
(Table_ChiPhiKD[Phân bổ đến] &gt; K$2)
)
),
0)</f>
        <v>0</v>
      </c>
      <c r="L25" s="331" cm="1">
        <f t="array" ref="L25" xml:space="preserve">
-IFERROR(
SUM(
_xlfn._xlws.FILTER(Table_ChiPhiKD[Giá trị],
(NOT(ISBLANK(Table_ChiPhiKD[Tháng])))*
(Table_ChiPhiKD[Nhóm chi phí] = "Chi phí Marketing") *
(Table_ChiPhiKD[Kỳ] = L$2)
)),
0)
- IFERROR(
SUMPRODUCT(
_xlfn._xlws.FILTER(Table_ChiPhiKD[Giá trị],
(ISBLANK(Table_ChiPhiKD[Tháng])) *
(Table_ChiPhiKD[Nhóm chi phí] = "Chi phí Marketing") *
(Table_ChiPhiKD[Phân bổ từ] &lt; DATE(YEAR(L$2),MONTH(L$2)+1,1))*
(Table_ChiPhiKD[Phân bổ đến] &gt; L$2)
),
1/_xlfn._xlws.FILTER(
ROUND(
(Table_ChiPhiKD[Phân bổ đến]-Table_ChiPhiKD[Phân bổ từ])
/(365.25/12),
0),
(ISBLANK(Table_ChiPhiKD[Tháng])) *
(Table_ChiPhiKD[Nhóm chi phí] = "Chi phí Marketing") *
(Table_ChiPhiKD[Phân bổ từ] &lt; DATE(YEAR(L$2),MONTH(L$2)+1,1))*
(Table_ChiPhiKD[Phân bổ đến] &gt; L$2)
)
),
0)
-IFERROR(
SUM(
_xlfn._xlws.FILTER(Table_ChiPhiKD[Giá trị],
(NOT(ISBLANK(Table_ChiPhiKD[Tháng])))*
(Table_ChiPhiKD[Nhóm chi phí] = "Chi phí Đối ngoại") *
(Table_ChiPhiKD[Kỳ] = L$2)
)),
0)
- IFERROR(
SUMPRODUCT(
_xlfn._xlws.FILTER(Table_ChiPhiKD[Giá trị],
(ISBLANK(Table_ChiPhiKD[Tháng])) *
(Table_ChiPhiKD[Nhóm chi phí] = "Chi phí Đối ngoại") *
(Table_ChiPhiKD[Phân bổ từ] &lt; DATE(YEAR(L$2),MONTH(L$2)+1,1))*
(Table_ChiPhiKD[Phân bổ đến] &gt; L$2)
),
1/_xlfn._xlws.FILTER(
ROUND(
(Table_ChiPhiKD[Phân bổ đến]-Table_ChiPhiKD[Phân bổ từ])
/(365.25/12),
0),
(ISBLANK(Table_ChiPhiKD[Tháng])) *
(Table_ChiPhiKD[Nhóm chi phí] = "Chi phí Đối ngoại") *
(Table_ChiPhiKD[Phân bổ từ] &lt; DATE(YEAR(L$2),MONTH(L$2)+1,1))*
(Table_ChiPhiKD[Phân bổ đến] &gt; L$2)
)
),
0)</f>
        <v>0</v>
      </c>
      <c r="M25" s="331" cm="1">
        <f t="array" ref="M25" xml:space="preserve">
-IFERROR(
SUM(
_xlfn._xlws.FILTER(Table_ChiPhiKD[Giá trị],
(NOT(ISBLANK(Table_ChiPhiKD[Tháng])))*
(Table_ChiPhiKD[Nhóm chi phí] = "Chi phí Marketing") *
(Table_ChiPhiKD[Kỳ] = M$2)
)),
0)
- IFERROR(
SUMPRODUCT(
_xlfn._xlws.FILTER(Table_ChiPhiKD[Giá trị],
(ISBLANK(Table_ChiPhiKD[Tháng])) *
(Table_ChiPhiKD[Nhóm chi phí] = "Chi phí Marketing") *
(Table_ChiPhiKD[Phân bổ từ] &lt; DATE(YEAR(M$2),MONTH(M$2)+1,1))*
(Table_ChiPhiKD[Phân bổ đến] &gt; M$2)
),
1/_xlfn._xlws.FILTER(
ROUND(
(Table_ChiPhiKD[Phân bổ đến]-Table_ChiPhiKD[Phân bổ từ])
/(365.25/12),
0),
(ISBLANK(Table_ChiPhiKD[Tháng])) *
(Table_ChiPhiKD[Nhóm chi phí] = "Chi phí Marketing") *
(Table_ChiPhiKD[Phân bổ từ] &lt; DATE(YEAR(M$2),MONTH(M$2)+1,1))*
(Table_ChiPhiKD[Phân bổ đến] &gt; M$2)
)
),
0)
-IFERROR(
SUM(
_xlfn._xlws.FILTER(Table_ChiPhiKD[Giá trị],
(NOT(ISBLANK(Table_ChiPhiKD[Tháng])))*
(Table_ChiPhiKD[Nhóm chi phí] = "Chi phí Đối ngoại") *
(Table_ChiPhiKD[Kỳ] = M$2)
)),
0)
- IFERROR(
SUMPRODUCT(
_xlfn._xlws.FILTER(Table_ChiPhiKD[Giá trị],
(ISBLANK(Table_ChiPhiKD[Tháng])) *
(Table_ChiPhiKD[Nhóm chi phí] = "Chi phí Đối ngoại") *
(Table_ChiPhiKD[Phân bổ từ] &lt; DATE(YEAR(M$2),MONTH(M$2)+1,1))*
(Table_ChiPhiKD[Phân bổ đến] &gt; M$2)
),
1/_xlfn._xlws.FILTER(
ROUND(
(Table_ChiPhiKD[Phân bổ đến]-Table_ChiPhiKD[Phân bổ từ])
/(365.25/12),
0),
(ISBLANK(Table_ChiPhiKD[Tháng])) *
(Table_ChiPhiKD[Nhóm chi phí] = "Chi phí Đối ngoại") *
(Table_ChiPhiKD[Phân bổ từ] &lt; DATE(YEAR(M$2),MONTH(M$2)+1,1))*
(Table_ChiPhiKD[Phân bổ đến] &gt; M$2)
)
),
0)</f>
        <v>0</v>
      </c>
      <c r="N25" s="331" cm="1">
        <f t="array" ref="N25" xml:space="preserve">
-IFERROR(
SUM(
_xlfn._xlws.FILTER(Table_ChiPhiKD[Giá trị],
(NOT(ISBLANK(Table_ChiPhiKD[Tháng])))*
(Table_ChiPhiKD[Nhóm chi phí] = "Chi phí Marketing") *
(Table_ChiPhiKD[Kỳ] = N$2)
)),
0)
- IFERROR(
SUMPRODUCT(
_xlfn._xlws.FILTER(Table_ChiPhiKD[Giá trị],
(ISBLANK(Table_ChiPhiKD[Tháng])) *
(Table_ChiPhiKD[Nhóm chi phí] = "Chi phí Marketing") *
(Table_ChiPhiKD[Phân bổ từ] &lt; DATE(YEAR(N$2),MONTH(N$2)+1,1))*
(Table_ChiPhiKD[Phân bổ đến] &gt; N$2)
),
1/_xlfn._xlws.FILTER(
ROUND(
(Table_ChiPhiKD[Phân bổ đến]-Table_ChiPhiKD[Phân bổ từ])
/(365.25/12),
0),
(ISBLANK(Table_ChiPhiKD[Tháng])) *
(Table_ChiPhiKD[Nhóm chi phí] = "Chi phí Marketing") *
(Table_ChiPhiKD[Phân bổ từ] &lt; DATE(YEAR(N$2),MONTH(N$2)+1,1))*
(Table_ChiPhiKD[Phân bổ đến] &gt; N$2)
)
),
0)
-IFERROR(
SUM(
_xlfn._xlws.FILTER(Table_ChiPhiKD[Giá trị],
(NOT(ISBLANK(Table_ChiPhiKD[Tháng])))*
(Table_ChiPhiKD[Nhóm chi phí] = "Chi phí Đối ngoại") *
(Table_ChiPhiKD[Kỳ] = N$2)
)),
0)
- IFERROR(
SUMPRODUCT(
_xlfn._xlws.FILTER(Table_ChiPhiKD[Giá trị],
(ISBLANK(Table_ChiPhiKD[Tháng])) *
(Table_ChiPhiKD[Nhóm chi phí] = "Chi phí Đối ngoại") *
(Table_ChiPhiKD[Phân bổ từ] &lt; DATE(YEAR(N$2),MONTH(N$2)+1,1))*
(Table_ChiPhiKD[Phân bổ đến] &gt; N$2)
),
1/_xlfn._xlws.FILTER(
ROUND(
(Table_ChiPhiKD[Phân bổ đến]-Table_ChiPhiKD[Phân bổ từ])
/(365.25/12),
0),
(ISBLANK(Table_ChiPhiKD[Tháng])) *
(Table_ChiPhiKD[Nhóm chi phí] = "Chi phí Đối ngoại") *
(Table_ChiPhiKD[Phân bổ từ] &lt; DATE(YEAR(N$2),MONTH(N$2)+1,1))*
(Table_ChiPhiKD[Phân bổ đến] &gt; N$2)
)
),
0)</f>
        <v>0</v>
      </c>
      <c r="O25" s="331" cm="1">
        <f t="array" ref="O25" xml:space="preserve">
-IFERROR(
SUM(
_xlfn._xlws.FILTER(Table_ChiPhiKD[Giá trị],
(NOT(ISBLANK(Table_ChiPhiKD[Tháng])))*
(Table_ChiPhiKD[Nhóm chi phí] = "Chi phí Marketing") *
(Table_ChiPhiKD[Kỳ] = O$2)
)),
0)
- IFERROR(
SUMPRODUCT(
_xlfn._xlws.FILTER(Table_ChiPhiKD[Giá trị],
(ISBLANK(Table_ChiPhiKD[Tháng])) *
(Table_ChiPhiKD[Nhóm chi phí] = "Chi phí Marketing") *
(Table_ChiPhiKD[Phân bổ từ] &lt; DATE(YEAR(O$2),MONTH(O$2)+1,1))*
(Table_ChiPhiKD[Phân bổ đến] &gt; O$2)
),
1/_xlfn._xlws.FILTER(
ROUND(
(Table_ChiPhiKD[Phân bổ đến]-Table_ChiPhiKD[Phân bổ từ])
/(365.25/12),
0),
(ISBLANK(Table_ChiPhiKD[Tháng])) *
(Table_ChiPhiKD[Nhóm chi phí] = "Chi phí Marketing") *
(Table_ChiPhiKD[Phân bổ từ] &lt; DATE(YEAR(O$2),MONTH(O$2)+1,1))*
(Table_ChiPhiKD[Phân bổ đến] &gt; O$2)
)
),
0)
-IFERROR(
SUM(
_xlfn._xlws.FILTER(Table_ChiPhiKD[Giá trị],
(NOT(ISBLANK(Table_ChiPhiKD[Tháng])))*
(Table_ChiPhiKD[Nhóm chi phí] = "Chi phí Đối ngoại") *
(Table_ChiPhiKD[Kỳ] = O$2)
)),
0)
- IFERROR(
SUMPRODUCT(
_xlfn._xlws.FILTER(Table_ChiPhiKD[Giá trị],
(ISBLANK(Table_ChiPhiKD[Tháng])) *
(Table_ChiPhiKD[Nhóm chi phí] = "Chi phí Đối ngoại") *
(Table_ChiPhiKD[Phân bổ từ] &lt; DATE(YEAR(O$2),MONTH(O$2)+1,1))*
(Table_ChiPhiKD[Phân bổ đến] &gt; O$2)
),
1/_xlfn._xlws.FILTER(
ROUND(
(Table_ChiPhiKD[Phân bổ đến]-Table_ChiPhiKD[Phân bổ từ])
/(365.25/12),
0),
(ISBLANK(Table_ChiPhiKD[Tháng])) *
(Table_ChiPhiKD[Nhóm chi phí] = "Chi phí Đối ngoại") *
(Table_ChiPhiKD[Phân bổ từ] &lt; DATE(YEAR(O$2),MONTH(O$2)+1,1))*
(Table_ChiPhiKD[Phân bổ đến] &gt; O$2)
)
),
0)</f>
        <v>0</v>
      </c>
      <c r="P25" s="326"/>
      <c r="Q25" s="242"/>
      <c r="R25" s="73" t="s">
        <v>295</v>
      </c>
      <c r="S25" s="331" cm="1">
        <f t="array" ref="S25" xml:space="preserve">
-IFERROR(
SUM(
_xlfn._xlws.FILTER(Table_ChiPhiKD[Giá trị],
(NOT(ISBLANK(Table_ChiPhiKD[Tháng])))*
(Table_ChiPhiKD[Nhóm chi phí] = "Chi phí Marketing") *
(Table_ChiPhiKD[Năm] = S$1)
)),
0)
- IFERROR(
SUMPRODUCT(
_xlfn._xlws.FILTER(Table_ChiPhiKD[Giá trị],
(ISBLANK(Table_ChiPhiKD[Tháng])) *
(Table_ChiPhiKD[Nhóm chi phí] = "Chi phí Marketing")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Marketing") *
(Table_ChiPhiKD[Phân bổ từ] &lt; DATE(S$1+1,1,1))*
(Table_ChiPhiKD[Phân bổ đến] &gt; DATE(S$1,1,1))
),
1/_xlfn._xlws.FILTER(
ROUND(
(Table_ChiPhiKD[Phân bổ đến]-Table_ChiPhiKD[Phân bổ từ])
/(365.25/12),
0),
(ISBLANK(Table_ChiPhiKD[Tháng])) *
(Table_ChiPhiKD[Nhóm chi phí] = "Chi phí Marketing") *
(Table_ChiPhiKD[Phân bổ từ] &lt; DATE(S$1+1,1,1))*
(Table_ChiPhiKD[Phân bổ đến] &gt; DATE(S$1,1,1))
)
),
0)
-IFERROR(
SUM(
_xlfn._xlws.FILTER(Table_ChiPhiKD[Giá trị],
(NOT(ISBLANK(Table_ChiPhiKD[Tháng])))*
(Table_ChiPhiKD[Nhóm chi phí] = "Chi phí Đối ngoại") *
(Table_ChiPhiKD[Năm] = S$1)
)),
0)
- IFERROR(
SUMPRODUCT(
_xlfn._xlws.FILTER(Table_ChiPhiKD[Giá trị],
(ISBLANK(Table_ChiPhiKD[Tháng])) *
(Table_ChiPhiKD[Nhóm chi phí] = "Chi phí Đối ngoại")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Đối ngoại") *
(Table_ChiPhiKD[Phân bổ từ] &lt; DATE(S$1+1,1,1))*
(Table_ChiPhiKD[Phân bổ đến] &gt; DATE(S$1,1,1))
),
1/_xlfn._xlws.FILTER(
ROUND(
(Table_ChiPhiKD[Phân bổ đến]-Table_ChiPhiKD[Phân bổ từ])
/(365.25/12),
0),
(ISBLANK(Table_ChiPhiKD[Tháng])) *
(Table_ChiPhiKD[Nhóm chi phí] = "Chi phí Đối ngoại") *
(Table_ChiPhiKD[Phân bổ từ] &lt; DATE(S$1+1,1,1))*
(Table_ChiPhiKD[Phân bổ đến] &gt; DATE(S$1,1,1))
)
),
0)</f>
        <v>0</v>
      </c>
      <c r="T25" s="242"/>
      <c r="U25" s="73" t="s">
        <v>295</v>
      </c>
      <c r="V25" s="331" cm="1">
        <f t="array" ref="V25" xml:space="preserve">
-IFERROR(
SUM(
_xlfn._xlws.FILTER(Table_ChiPhiKD[Giá trị],
(NOT(ISBLANK(Table_ChiPhiKD[Tháng])))*
(Table_ChiPhiKD[Nhóm chi phí] = "Chi phí Marketing") *
(Table_ChiPhiKD[Kỳ] = V$1)
)),
0)
- IFERROR(
SUMPRODUCT(
_xlfn._xlws.FILTER(Table_ChiPhiKD[Giá trị],
(ISBLANK(Table_ChiPhiKD[Tháng])) *
(Table_ChiPhiKD[Nhóm chi phí] = "Chi phí Marketing") *
(Table_ChiPhiKD[Phân bổ từ] &lt; DATE(YEAR(V$1),MONTH(V$1)+1,1))*
(Table_ChiPhiKD[Phân bổ đến] &gt; V$1)
),
1/_xlfn._xlws.FILTER(
ROUND(
(Table_ChiPhiKD[Phân bổ đến]-Table_ChiPhiKD[Phân bổ từ])
/(365.25/12),
0),
(ISBLANK(Table_ChiPhiKD[Tháng])) *
(Table_ChiPhiKD[Nhóm chi phí] = "Chi phí Marketing") *
(Table_ChiPhiKD[Phân bổ từ] &lt; DATE(YEAR(V$1),MONTH(V$1)+1,1))*
(Table_ChiPhiKD[Phân bổ đến] &gt; V$1)
)
),
0)
-IFERROR(
SUM(
_xlfn._xlws.FILTER(Table_ChiPhiKD[Giá trị],
(NOT(ISBLANK(Table_ChiPhiKD[Tháng])))*
(Table_ChiPhiKD[Nhóm chi phí] = "Chi phí Đối ngoại") *
(Table_ChiPhiKD[Kỳ] = V$1)
)),
0)
- IFERROR(
SUMPRODUCT(
_xlfn._xlws.FILTER(Table_ChiPhiKD[Giá trị],
(ISBLANK(Table_ChiPhiKD[Tháng])) *
(Table_ChiPhiKD[Nhóm chi phí] = "Chi phí Đối ngoại") *
(Table_ChiPhiKD[Phân bổ từ] &lt; DATE(YEAR(V$1),MONTH(V$1)+1,1))*
(Table_ChiPhiKD[Phân bổ đến] &gt; V$1)
),
1/_xlfn._xlws.FILTER(
ROUND(
(Table_ChiPhiKD[Phân bổ đến]-Table_ChiPhiKD[Phân bổ từ])
/(365.25/12),
0),
(ISBLANK(Table_ChiPhiKD[Tháng])) *
(Table_ChiPhiKD[Nhóm chi phí] = "Chi phí Đối ngoại") *
(Table_ChiPhiKD[Phân bổ từ] &lt; DATE(YEAR(V$1),MONTH(V$1)+1,1))*
(Table_ChiPhiKD[Phân bổ đến] &gt; V$1)
)
),
0)</f>
        <v>0</v>
      </c>
    </row>
    <row r="26" spans="2:22" ht="18" customHeight="1" outlineLevel="2" x14ac:dyDescent="0.3">
      <c r="B26" s="73" t="s">
        <v>296</v>
      </c>
      <c r="C26" s="331" cm="1">
        <f t="array" ref="C26">-IFERROR(
SUM(_xlfn._xlws.FILTER(Table_DonMua[Phụ phí]-Table_DonMua[Khuyến mãi],
(YEAR(Table_DonMua[Ngày lập]) = C$2)
)),0)
-IFERROR(
SUM(
_xlfn._xlws.FILTER(Table_ChiPhiKD[Giá trị],
(NOT(ISBLANK(Table_ChiPhiKD[Tháng])))*
(Table_ChiPhiKD[Nhóm chi phí] = "Chi phí Dịch vụ sản xuất") *
(Table_ChiPhiKD[Năm] = C$2)
)),
0)
- IFERROR(
SUMPRODUCT(
_xlfn._xlws.FILTER(Table_ChiPhiKD[Giá trị],
(ISBLANK(Table_ChiPhiKD[Tháng])) *
(Table_ChiPhiKD[Nhóm chi phí] = "Chi phí Dịch vụ sản xuất")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sản xuất") *
(Table_ChiPhiKD[Phân bổ từ] &lt; DATE(C$2+1,1,1))*
(Table_ChiPhiKD[Phân bổ đến] &gt; DATE(C$2,1,1))
),
1/_xlfn._xlws.FILTER(
ROUND(
(Table_ChiPhiKD[Phân bổ đến]-Table_ChiPhiKD[Phân bổ từ])
/(365.25/12),
0),
(ISBLANK(Table_ChiPhiKD[Tháng])) *
(Table_ChiPhiKD[Nhóm chi phí] = "Chi phí Dịch vụ sản xuất") *
(Table_ChiPhiKD[Phân bổ từ] &lt; DATE(C$2+1,1,1))*
(Table_ChiPhiKD[Phân bổ đến] &gt; DATE(C$2,1,1))
)
),
0)
-IFERROR(
SUM(
_xlfn._xlws.FILTER(Table_ChiPhiKD[Giá trị],
(NOT(ISBLANK(Table_ChiPhiKD[Tháng])))*
(Table_ChiPhiKD[Nhóm chi phí] = "Chi phí Dịch vụ văn phòng") *
(Table_ChiPhiKD[Năm] = C$2)
)),
0)
- IFERROR(
SUMPRODUCT(
_xlfn._xlws.FILTER(Table_ChiPhiKD[Giá trị],
(ISBLANK(Table_ChiPhiKD[Tháng])) *
(Table_ChiPhiKD[Nhóm chi phí] = "Chi phí Dịch vụ văn phòng")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văn phòng") *
(Table_ChiPhiKD[Phân bổ từ] &lt; DATE(C$2+1,1,1))*
(Table_ChiPhiKD[Phân bổ đến] &gt; DATE(C$2,1,1))
),
1/_xlfn._xlws.FILTER(
ROUND(
(Table_ChiPhiKD[Phân bổ đến]-Table_ChiPhiKD[Phân bổ từ])
/(365.25/12),
0),
(ISBLANK(Table_ChiPhiKD[Tháng])) *
(Table_ChiPhiKD[Nhóm chi phí] = "Chi phí Dịch vụ văn phòng") *
(Table_ChiPhiKD[Phân bổ từ] &lt; DATE(C$2+1,1,1))*
(Table_ChiPhiKD[Phân bổ đến] &gt; DATE(C$2,1,1))
)
),
0)</f>
        <v>0</v>
      </c>
      <c r="D26" s="331" cm="1">
        <f t="array" ref="D26">-IFERROR(
SUM(_xlfn._xlws.FILTER(Table_DonMua[Phụ phí]-Table_DonMua[Khuyến mãi],
(Table_DonMua[Ngày lập] &gt;=D$2)*
(Table_DonMua[Ngày lập] &lt; E$2)
)),0)
-IFERROR(
SUM(
_xlfn._xlws.FILTER(Table_ChiPhiKD[Giá trị],
(NOT(ISBLANK(Table_ChiPhiKD[Tháng])))*
(Table_ChiPhiKD[Nhóm chi phí] = "Chi phí Dịch vụ sản xuất") *
(Table_ChiPhiKD[Kỳ] = D$2)
)),
0)
- IFERROR(
SUMPRODUCT(
_xlfn._xlws.FILTER(Table_ChiPhiKD[Giá trị],
(ISBLANK(Table_ChiPhiKD[Tháng])) *
(Table_ChiPhiKD[Nhóm chi phí] = "Chi phí Dịch vụ sản xuất") *
(Table_ChiPhiKD[Phân bổ từ] &lt; DATE(YEAR(D$2),MONTH(D$2)+1,1))*
(Table_ChiPhiKD[Phân bổ đến] &gt; D$2)
),
1/_xlfn._xlws.FILTER(
ROUND(
(Table_ChiPhiKD[Phân bổ đến]-Table_ChiPhiKD[Phân bổ từ])
/(365.25/12),
0),
(ISBLANK(Table_ChiPhiKD[Tháng])) *
(Table_ChiPhiKD[Nhóm chi phí] = "Chi phí Dịch vụ sản xuất") *
(Table_ChiPhiKD[Phân bổ từ] &lt; DATE(YEAR(D$2),MONTH(D$2)+1,1))*
(Table_ChiPhiKD[Phân bổ đến] &gt; D$2)
)
),
0)
-IFERROR(
SUM(
_xlfn._xlws.FILTER(Table_ChiPhiKD[Giá trị],
(NOT(ISBLANK(Table_ChiPhiKD[Tháng])))*
(Table_ChiPhiKD[Nhóm chi phí] = "Chi phí Dịch vụ văn phòng") *
(Table_ChiPhiKD[Kỳ] = D$2)
)),
0)
- IFERROR(
SUMPRODUCT(
_xlfn._xlws.FILTER(Table_ChiPhiKD[Giá trị],
(ISBLANK(Table_ChiPhiKD[Tháng])) *
(Table_ChiPhiKD[Nhóm chi phí] = "Chi phí Dịch vụ văn phòng") *
(Table_ChiPhiKD[Phân bổ từ] &lt; DATE(YEAR(D$2),MONTH(D$2)+1,1))*
(Table_ChiPhiKD[Phân bổ đến] &gt; D$2)
),
1/_xlfn._xlws.FILTER(
ROUND(
(Table_ChiPhiKD[Phân bổ đến]-Table_ChiPhiKD[Phân bổ từ])
/(365.25/12),
0),
(ISBLANK(Table_ChiPhiKD[Tháng])) *
(Table_ChiPhiKD[Nhóm chi phí] = "Chi phí Dịch vụ văn phòng") *
(Table_ChiPhiKD[Phân bổ từ] &lt; DATE(YEAR(D$2),MONTH(D$2)+1,1))*
(Table_ChiPhiKD[Phân bổ đến] &gt; D$2)
)
),
0)</f>
        <v>0</v>
      </c>
      <c r="E26" s="331" cm="1">
        <f t="array" ref="E26">-IFERROR(
SUM(_xlfn._xlws.FILTER(Table_DonMua[Phụ phí]-Table_DonMua[Khuyến mãi],
(Table_DonMua[Ngày lập] &gt;=E$2)*
(Table_DonMua[Ngày lập] &lt; F$2)
)),0)
-IFERROR(
SUM(
_xlfn._xlws.FILTER(Table_ChiPhiKD[Giá trị],
(NOT(ISBLANK(Table_ChiPhiKD[Tháng])))*
(Table_ChiPhiKD[Nhóm chi phí] = "Chi phí Dịch vụ sản xuất") *
(Table_ChiPhiKD[Kỳ] = E$2)
)),
0)
- IFERROR(
SUMPRODUCT(
_xlfn._xlws.FILTER(Table_ChiPhiKD[Giá trị],
(ISBLANK(Table_ChiPhiKD[Tháng])) *
(Table_ChiPhiKD[Nhóm chi phí] = "Chi phí Dịch vụ sản xuất") *
(Table_ChiPhiKD[Phân bổ từ] &lt; DATE(YEAR(E$2),MONTH(E$2)+1,1))*
(Table_ChiPhiKD[Phân bổ đến] &gt; E$2)
),
1/_xlfn._xlws.FILTER(
ROUND(
(Table_ChiPhiKD[Phân bổ đến]-Table_ChiPhiKD[Phân bổ từ])
/(365.25/12),
0),
(ISBLANK(Table_ChiPhiKD[Tháng])) *
(Table_ChiPhiKD[Nhóm chi phí] = "Chi phí Dịch vụ sản xuất") *
(Table_ChiPhiKD[Phân bổ từ] &lt; DATE(YEAR(E$2),MONTH(E$2)+1,1))*
(Table_ChiPhiKD[Phân bổ đến] &gt; E$2)
)
),
0)
-IFERROR(
SUM(
_xlfn._xlws.FILTER(Table_ChiPhiKD[Giá trị],
(NOT(ISBLANK(Table_ChiPhiKD[Tháng])))*
(Table_ChiPhiKD[Nhóm chi phí] = "Chi phí Dịch vụ văn phòng") *
(Table_ChiPhiKD[Kỳ] = E$2)
)),
0)
- IFERROR(
SUMPRODUCT(
_xlfn._xlws.FILTER(Table_ChiPhiKD[Giá trị],
(ISBLANK(Table_ChiPhiKD[Tháng])) *
(Table_ChiPhiKD[Nhóm chi phí] = "Chi phí Dịch vụ văn phòng") *
(Table_ChiPhiKD[Phân bổ từ] &lt; DATE(YEAR(E$2),MONTH(E$2)+1,1))*
(Table_ChiPhiKD[Phân bổ đến] &gt; E$2)
),
1/_xlfn._xlws.FILTER(
ROUND(
(Table_ChiPhiKD[Phân bổ đến]-Table_ChiPhiKD[Phân bổ từ])
/(365.25/12),
0),
(ISBLANK(Table_ChiPhiKD[Tháng])) *
(Table_ChiPhiKD[Nhóm chi phí] = "Chi phí Dịch vụ văn phòng") *
(Table_ChiPhiKD[Phân bổ từ] &lt; DATE(YEAR(E$2),MONTH(E$2)+1,1))*
(Table_ChiPhiKD[Phân bổ đến] &gt; E$2)
)
),
0)</f>
        <v>0</v>
      </c>
      <c r="F26" s="331" cm="1">
        <f t="array" ref="F26">-IFERROR(
SUM(_xlfn._xlws.FILTER(Table_DonMua[Phụ phí]-Table_DonMua[Khuyến mãi],
(Table_DonMua[Ngày lập] &gt;=F$2)*
(Table_DonMua[Ngày lập] &lt; G$2)
)),0)
-IFERROR(
SUM(
_xlfn._xlws.FILTER(Table_ChiPhiKD[Giá trị],
(NOT(ISBLANK(Table_ChiPhiKD[Tháng])))*
(Table_ChiPhiKD[Nhóm chi phí] = "Chi phí Dịch vụ sản xuất") *
(Table_ChiPhiKD[Kỳ] = F$2)
)),
0)
- IFERROR(
SUMPRODUCT(
_xlfn._xlws.FILTER(Table_ChiPhiKD[Giá trị],
(ISBLANK(Table_ChiPhiKD[Tháng])) *
(Table_ChiPhiKD[Nhóm chi phí] = "Chi phí Dịch vụ sản xuất") *
(Table_ChiPhiKD[Phân bổ từ] &lt; DATE(YEAR(F$2),MONTH(F$2)+1,1))*
(Table_ChiPhiKD[Phân bổ đến] &gt; F$2)
),
1/_xlfn._xlws.FILTER(
ROUND(
(Table_ChiPhiKD[Phân bổ đến]-Table_ChiPhiKD[Phân bổ từ])
/(365.25/12),
0),
(ISBLANK(Table_ChiPhiKD[Tháng])) *
(Table_ChiPhiKD[Nhóm chi phí] = "Chi phí Dịch vụ sản xuất") *
(Table_ChiPhiKD[Phân bổ từ] &lt; DATE(YEAR(F$2),MONTH(F$2)+1,1))*
(Table_ChiPhiKD[Phân bổ đến] &gt; F$2)
)
),
0)
-IFERROR(
SUM(
_xlfn._xlws.FILTER(Table_ChiPhiKD[Giá trị],
(NOT(ISBLANK(Table_ChiPhiKD[Tháng])))*
(Table_ChiPhiKD[Nhóm chi phí] = "Chi phí Dịch vụ văn phòng") *
(Table_ChiPhiKD[Kỳ] = F$2)
)),
0)
- IFERROR(
SUMPRODUCT(
_xlfn._xlws.FILTER(Table_ChiPhiKD[Giá trị],
(ISBLANK(Table_ChiPhiKD[Tháng])) *
(Table_ChiPhiKD[Nhóm chi phí] = "Chi phí Dịch vụ văn phòng") *
(Table_ChiPhiKD[Phân bổ từ] &lt; DATE(YEAR(F$2),MONTH(F$2)+1,1))*
(Table_ChiPhiKD[Phân bổ đến] &gt; F$2)
),
1/_xlfn._xlws.FILTER(
ROUND(
(Table_ChiPhiKD[Phân bổ đến]-Table_ChiPhiKD[Phân bổ từ])
/(365.25/12),
0),
(ISBLANK(Table_ChiPhiKD[Tháng])) *
(Table_ChiPhiKD[Nhóm chi phí] = "Chi phí Dịch vụ văn phòng") *
(Table_ChiPhiKD[Phân bổ từ] &lt; DATE(YEAR(F$2),MONTH(F$2)+1,1))*
(Table_ChiPhiKD[Phân bổ đến] &gt; F$2)
)
),
0)</f>
        <v>0</v>
      </c>
      <c r="G26" s="331" cm="1">
        <f t="array" ref="G26">-IFERROR(
SUM(_xlfn._xlws.FILTER(Table_DonMua[Phụ phí]-Table_DonMua[Khuyến mãi],
(Table_DonMua[Ngày lập] &gt;=G$2)*
(Table_DonMua[Ngày lập] &lt; H$2)
)),0)
-IFERROR(
SUM(
_xlfn._xlws.FILTER(Table_ChiPhiKD[Giá trị],
(NOT(ISBLANK(Table_ChiPhiKD[Tháng])))*
(Table_ChiPhiKD[Nhóm chi phí] = "Chi phí Dịch vụ sản xuất") *
(Table_ChiPhiKD[Kỳ] = G$2)
)),
0)
- IFERROR(
SUMPRODUCT(
_xlfn._xlws.FILTER(Table_ChiPhiKD[Giá trị],
(ISBLANK(Table_ChiPhiKD[Tháng])) *
(Table_ChiPhiKD[Nhóm chi phí] = "Chi phí Dịch vụ sản xuất") *
(Table_ChiPhiKD[Phân bổ từ] &lt; DATE(YEAR(G$2),MONTH(G$2)+1,1))*
(Table_ChiPhiKD[Phân bổ đến] &gt; G$2)
),
1/_xlfn._xlws.FILTER(
ROUND(
(Table_ChiPhiKD[Phân bổ đến]-Table_ChiPhiKD[Phân bổ từ])
/(365.25/12),
0),
(ISBLANK(Table_ChiPhiKD[Tháng])) *
(Table_ChiPhiKD[Nhóm chi phí] = "Chi phí Dịch vụ sản xuất") *
(Table_ChiPhiKD[Phân bổ từ] &lt; DATE(YEAR(G$2),MONTH(G$2)+1,1))*
(Table_ChiPhiKD[Phân bổ đến] &gt; G$2)
)
),
0)
-IFERROR(
SUM(
_xlfn._xlws.FILTER(Table_ChiPhiKD[Giá trị],
(NOT(ISBLANK(Table_ChiPhiKD[Tháng])))*
(Table_ChiPhiKD[Nhóm chi phí] = "Chi phí Dịch vụ văn phòng") *
(Table_ChiPhiKD[Kỳ] = G$2)
)),
0)
- IFERROR(
SUMPRODUCT(
_xlfn._xlws.FILTER(Table_ChiPhiKD[Giá trị],
(ISBLANK(Table_ChiPhiKD[Tháng])) *
(Table_ChiPhiKD[Nhóm chi phí] = "Chi phí Dịch vụ văn phòng") *
(Table_ChiPhiKD[Phân bổ từ] &lt; DATE(YEAR(G$2),MONTH(G$2)+1,1))*
(Table_ChiPhiKD[Phân bổ đến] &gt; G$2)
),
1/_xlfn._xlws.FILTER(
ROUND(
(Table_ChiPhiKD[Phân bổ đến]-Table_ChiPhiKD[Phân bổ từ])
/(365.25/12),
0),
(ISBLANK(Table_ChiPhiKD[Tháng])) *
(Table_ChiPhiKD[Nhóm chi phí] = "Chi phí Dịch vụ văn phòng") *
(Table_ChiPhiKD[Phân bổ từ] &lt; DATE(YEAR(G$2),MONTH(G$2)+1,1))*
(Table_ChiPhiKD[Phân bổ đến] &gt; G$2)
)
),
0)</f>
        <v>0</v>
      </c>
      <c r="H26" s="331" cm="1">
        <f t="array" ref="H26">-IFERROR(
SUM(_xlfn._xlws.FILTER(Table_DonMua[Phụ phí]-Table_DonMua[Khuyến mãi],
(Table_DonMua[Ngày lập] &gt;=H$2)*
(Table_DonMua[Ngày lập] &lt; I$2)
)),0)
-IFERROR(
SUM(
_xlfn._xlws.FILTER(Table_ChiPhiKD[Giá trị],
(NOT(ISBLANK(Table_ChiPhiKD[Tháng])))*
(Table_ChiPhiKD[Nhóm chi phí] = "Chi phí Dịch vụ sản xuất") *
(Table_ChiPhiKD[Kỳ] = H$2)
)),
0)
- IFERROR(
SUMPRODUCT(
_xlfn._xlws.FILTER(Table_ChiPhiKD[Giá trị],
(ISBLANK(Table_ChiPhiKD[Tháng])) *
(Table_ChiPhiKD[Nhóm chi phí] = "Chi phí Dịch vụ sản xuất") *
(Table_ChiPhiKD[Phân bổ từ] &lt; DATE(YEAR(H$2),MONTH(H$2)+1,1))*
(Table_ChiPhiKD[Phân bổ đến] &gt; H$2)
),
1/_xlfn._xlws.FILTER(
ROUND(
(Table_ChiPhiKD[Phân bổ đến]-Table_ChiPhiKD[Phân bổ từ])
/(365.25/12),
0),
(ISBLANK(Table_ChiPhiKD[Tháng])) *
(Table_ChiPhiKD[Nhóm chi phí] = "Chi phí Dịch vụ sản xuất") *
(Table_ChiPhiKD[Phân bổ từ] &lt; DATE(YEAR(H$2),MONTH(H$2)+1,1))*
(Table_ChiPhiKD[Phân bổ đến] &gt; H$2)
)
),
0)
-IFERROR(
SUM(
_xlfn._xlws.FILTER(Table_ChiPhiKD[Giá trị],
(NOT(ISBLANK(Table_ChiPhiKD[Tháng])))*
(Table_ChiPhiKD[Nhóm chi phí] = "Chi phí Dịch vụ văn phòng") *
(Table_ChiPhiKD[Kỳ] = H$2)
)),
0)
- IFERROR(
SUMPRODUCT(
_xlfn._xlws.FILTER(Table_ChiPhiKD[Giá trị],
(ISBLANK(Table_ChiPhiKD[Tháng])) *
(Table_ChiPhiKD[Nhóm chi phí] = "Chi phí Dịch vụ văn phòng") *
(Table_ChiPhiKD[Phân bổ từ] &lt; DATE(YEAR(H$2),MONTH(H$2)+1,1))*
(Table_ChiPhiKD[Phân bổ đến] &gt; H$2)
),
1/_xlfn._xlws.FILTER(
ROUND(
(Table_ChiPhiKD[Phân bổ đến]-Table_ChiPhiKD[Phân bổ từ])
/(365.25/12),
0),
(ISBLANK(Table_ChiPhiKD[Tháng])) *
(Table_ChiPhiKD[Nhóm chi phí] = "Chi phí Dịch vụ văn phòng") *
(Table_ChiPhiKD[Phân bổ từ] &lt; DATE(YEAR(H$2),MONTH(H$2)+1,1))*
(Table_ChiPhiKD[Phân bổ đến] &gt; H$2)
)
),
0)</f>
        <v>0</v>
      </c>
      <c r="I26" s="331" cm="1">
        <f t="array" ref="I26">-IFERROR(
SUM(_xlfn._xlws.FILTER(Table_DonMua[Phụ phí]-Table_DonMua[Khuyến mãi],
(Table_DonMua[Ngày lập] &gt;=I$2)*
(Table_DonMua[Ngày lập] &lt; J$2)
)),0)
-IFERROR(
SUM(
_xlfn._xlws.FILTER(Table_ChiPhiKD[Giá trị],
(NOT(ISBLANK(Table_ChiPhiKD[Tháng])))*
(Table_ChiPhiKD[Nhóm chi phí] = "Chi phí Dịch vụ sản xuất") *
(Table_ChiPhiKD[Kỳ] = I$2)
)),
0)
- IFERROR(
SUMPRODUCT(
_xlfn._xlws.FILTER(Table_ChiPhiKD[Giá trị],
(ISBLANK(Table_ChiPhiKD[Tháng])) *
(Table_ChiPhiKD[Nhóm chi phí] = "Chi phí Dịch vụ sản xuất") *
(Table_ChiPhiKD[Phân bổ từ] &lt; DATE(YEAR(I$2),MONTH(I$2)+1,1))*
(Table_ChiPhiKD[Phân bổ đến] &gt; I$2)
),
1/_xlfn._xlws.FILTER(
ROUND(
(Table_ChiPhiKD[Phân bổ đến]-Table_ChiPhiKD[Phân bổ từ])
/(365.25/12),
0),
(ISBLANK(Table_ChiPhiKD[Tháng])) *
(Table_ChiPhiKD[Nhóm chi phí] = "Chi phí Dịch vụ sản xuất") *
(Table_ChiPhiKD[Phân bổ từ] &lt; DATE(YEAR(I$2),MONTH(I$2)+1,1))*
(Table_ChiPhiKD[Phân bổ đến] &gt; I$2)
)
),
0)
-IFERROR(
SUM(
_xlfn._xlws.FILTER(Table_ChiPhiKD[Giá trị],
(NOT(ISBLANK(Table_ChiPhiKD[Tháng])))*
(Table_ChiPhiKD[Nhóm chi phí] = "Chi phí Dịch vụ văn phòng") *
(Table_ChiPhiKD[Kỳ] = I$2)
)),
0)
- IFERROR(
SUMPRODUCT(
_xlfn._xlws.FILTER(Table_ChiPhiKD[Giá trị],
(ISBLANK(Table_ChiPhiKD[Tháng])) *
(Table_ChiPhiKD[Nhóm chi phí] = "Chi phí Dịch vụ văn phòng") *
(Table_ChiPhiKD[Phân bổ từ] &lt; DATE(YEAR(I$2),MONTH(I$2)+1,1))*
(Table_ChiPhiKD[Phân bổ đến] &gt; I$2)
),
1/_xlfn._xlws.FILTER(
ROUND(
(Table_ChiPhiKD[Phân bổ đến]-Table_ChiPhiKD[Phân bổ từ])
/(365.25/12),
0),
(ISBLANK(Table_ChiPhiKD[Tháng])) *
(Table_ChiPhiKD[Nhóm chi phí] = "Chi phí Dịch vụ văn phòng") *
(Table_ChiPhiKD[Phân bổ từ] &lt; DATE(YEAR(I$2),MONTH(I$2)+1,1))*
(Table_ChiPhiKD[Phân bổ đến] &gt; I$2)
)
),
0)</f>
        <v>0</v>
      </c>
      <c r="J26" s="331" cm="1">
        <f t="array" ref="J26">-IFERROR(
SUM(_xlfn._xlws.FILTER(Table_DonMua[Phụ phí]-Table_DonMua[Khuyến mãi],
(Table_DonMua[Ngày lập] &gt;=J$2)*
(Table_DonMua[Ngày lập] &lt; K$2)
)),0)
-IFERROR(
SUM(
_xlfn._xlws.FILTER(Table_ChiPhiKD[Giá trị],
(NOT(ISBLANK(Table_ChiPhiKD[Tháng])))*
(Table_ChiPhiKD[Nhóm chi phí] = "Chi phí Dịch vụ sản xuất") *
(Table_ChiPhiKD[Kỳ] = J$2)
)),
0)
- IFERROR(
SUMPRODUCT(
_xlfn._xlws.FILTER(Table_ChiPhiKD[Giá trị],
(ISBLANK(Table_ChiPhiKD[Tháng])) *
(Table_ChiPhiKD[Nhóm chi phí] = "Chi phí Dịch vụ sản xuất") *
(Table_ChiPhiKD[Phân bổ từ] &lt; DATE(YEAR(J$2),MONTH(J$2)+1,1))*
(Table_ChiPhiKD[Phân bổ đến] &gt; J$2)
),
1/_xlfn._xlws.FILTER(
ROUND(
(Table_ChiPhiKD[Phân bổ đến]-Table_ChiPhiKD[Phân bổ từ])
/(365.25/12),
0),
(ISBLANK(Table_ChiPhiKD[Tháng])) *
(Table_ChiPhiKD[Nhóm chi phí] = "Chi phí Dịch vụ sản xuất") *
(Table_ChiPhiKD[Phân bổ từ] &lt; DATE(YEAR(J$2),MONTH(J$2)+1,1))*
(Table_ChiPhiKD[Phân bổ đến] &gt; J$2)
)
),
0)
-IFERROR(
SUM(
_xlfn._xlws.FILTER(Table_ChiPhiKD[Giá trị],
(NOT(ISBLANK(Table_ChiPhiKD[Tháng])))*
(Table_ChiPhiKD[Nhóm chi phí] = "Chi phí Dịch vụ văn phòng") *
(Table_ChiPhiKD[Kỳ] = J$2)
)),
0)
- IFERROR(
SUMPRODUCT(
_xlfn._xlws.FILTER(Table_ChiPhiKD[Giá trị],
(ISBLANK(Table_ChiPhiKD[Tháng])) *
(Table_ChiPhiKD[Nhóm chi phí] = "Chi phí Dịch vụ văn phòng") *
(Table_ChiPhiKD[Phân bổ từ] &lt; DATE(YEAR(J$2),MONTH(J$2)+1,1))*
(Table_ChiPhiKD[Phân bổ đến] &gt; J$2)
),
1/_xlfn._xlws.FILTER(
ROUND(
(Table_ChiPhiKD[Phân bổ đến]-Table_ChiPhiKD[Phân bổ từ])
/(365.25/12),
0),
(ISBLANK(Table_ChiPhiKD[Tháng])) *
(Table_ChiPhiKD[Nhóm chi phí] = "Chi phí Dịch vụ văn phòng") *
(Table_ChiPhiKD[Phân bổ từ] &lt; DATE(YEAR(J$2),MONTH(J$2)+1,1))*
(Table_ChiPhiKD[Phân bổ đến] &gt; J$2)
)
),
0)</f>
        <v>0</v>
      </c>
      <c r="K26" s="331" cm="1">
        <f t="array" ref="K26">-IFERROR(
SUM(_xlfn._xlws.FILTER(Table_DonMua[Phụ phí]-Table_DonMua[Khuyến mãi],
(Table_DonMua[Ngày lập] &gt;=K$2)*
(Table_DonMua[Ngày lập] &lt; L$2)
)),0)
-IFERROR(
SUM(
_xlfn._xlws.FILTER(Table_ChiPhiKD[Giá trị],
(NOT(ISBLANK(Table_ChiPhiKD[Tháng])))*
(Table_ChiPhiKD[Nhóm chi phí] = "Chi phí Dịch vụ sản xuất") *
(Table_ChiPhiKD[Kỳ] = K$2)
)),
0)
- IFERROR(
SUMPRODUCT(
_xlfn._xlws.FILTER(Table_ChiPhiKD[Giá trị],
(ISBLANK(Table_ChiPhiKD[Tháng])) *
(Table_ChiPhiKD[Nhóm chi phí] = "Chi phí Dịch vụ sản xuất") *
(Table_ChiPhiKD[Phân bổ từ] &lt; DATE(YEAR(K$2),MONTH(K$2)+1,1))*
(Table_ChiPhiKD[Phân bổ đến] &gt; K$2)
),
1/_xlfn._xlws.FILTER(
ROUND(
(Table_ChiPhiKD[Phân bổ đến]-Table_ChiPhiKD[Phân bổ từ])
/(365.25/12),
0),
(ISBLANK(Table_ChiPhiKD[Tháng])) *
(Table_ChiPhiKD[Nhóm chi phí] = "Chi phí Dịch vụ sản xuất") *
(Table_ChiPhiKD[Phân bổ từ] &lt; DATE(YEAR(K$2),MONTH(K$2)+1,1))*
(Table_ChiPhiKD[Phân bổ đến] &gt; K$2)
)
),
0)
-IFERROR(
SUM(
_xlfn._xlws.FILTER(Table_ChiPhiKD[Giá trị],
(NOT(ISBLANK(Table_ChiPhiKD[Tháng])))*
(Table_ChiPhiKD[Nhóm chi phí] = "Chi phí Dịch vụ văn phòng") *
(Table_ChiPhiKD[Kỳ] = K$2)
)),
0)
- IFERROR(
SUMPRODUCT(
_xlfn._xlws.FILTER(Table_ChiPhiKD[Giá trị],
(ISBLANK(Table_ChiPhiKD[Tháng])) *
(Table_ChiPhiKD[Nhóm chi phí] = "Chi phí Dịch vụ văn phòng") *
(Table_ChiPhiKD[Phân bổ từ] &lt; DATE(YEAR(K$2),MONTH(K$2)+1,1))*
(Table_ChiPhiKD[Phân bổ đến] &gt; K$2)
),
1/_xlfn._xlws.FILTER(
ROUND(
(Table_ChiPhiKD[Phân bổ đến]-Table_ChiPhiKD[Phân bổ từ])
/(365.25/12),
0),
(ISBLANK(Table_ChiPhiKD[Tháng])) *
(Table_ChiPhiKD[Nhóm chi phí] = "Chi phí Dịch vụ văn phòng") *
(Table_ChiPhiKD[Phân bổ từ] &lt; DATE(YEAR(K$2),MONTH(K$2)+1,1))*
(Table_ChiPhiKD[Phân bổ đến] &gt; K$2)
)
),
0)</f>
        <v>0</v>
      </c>
      <c r="L26" s="331" cm="1">
        <f t="array" ref="L26">-IFERROR(
SUM(_xlfn._xlws.FILTER(Table_DonMua[Phụ phí]-Table_DonMua[Khuyến mãi],
(Table_DonMua[Ngày lập] &gt;=L$2)*
(Table_DonMua[Ngày lập] &lt; M$2)
)),0)
-IFERROR(
SUM(
_xlfn._xlws.FILTER(Table_ChiPhiKD[Giá trị],
(NOT(ISBLANK(Table_ChiPhiKD[Tháng])))*
(Table_ChiPhiKD[Nhóm chi phí] = "Chi phí Dịch vụ sản xuất") *
(Table_ChiPhiKD[Kỳ] = L$2)
)),
0)
- IFERROR(
SUMPRODUCT(
_xlfn._xlws.FILTER(Table_ChiPhiKD[Giá trị],
(ISBLANK(Table_ChiPhiKD[Tháng])) *
(Table_ChiPhiKD[Nhóm chi phí] = "Chi phí Dịch vụ sản xuất") *
(Table_ChiPhiKD[Phân bổ từ] &lt; DATE(YEAR(L$2),MONTH(L$2)+1,1))*
(Table_ChiPhiKD[Phân bổ đến] &gt; L$2)
),
1/_xlfn._xlws.FILTER(
ROUND(
(Table_ChiPhiKD[Phân bổ đến]-Table_ChiPhiKD[Phân bổ từ])
/(365.25/12),
0),
(ISBLANK(Table_ChiPhiKD[Tháng])) *
(Table_ChiPhiKD[Nhóm chi phí] = "Chi phí Dịch vụ sản xuất") *
(Table_ChiPhiKD[Phân bổ từ] &lt; DATE(YEAR(L$2),MONTH(L$2)+1,1))*
(Table_ChiPhiKD[Phân bổ đến] &gt; L$2)
)
),
0)
-IFERROR(
SUM(
_xlfn._xlws.FILTER(Table_ChiPhiKD[Giá trị],
(NOT(ISBLANK(Table_ChiPhiKD[Tháng])))*
(Table_ChiPhiKD[Nhóm chi phí] = "Chi phí Dịch vụ văn phòng") *
(Table_ChiPhiKD[Kỳ] = L$2)
)),
0)
- IFERROR(
SUMPRODUCT(
_xlfn._xlws.FILTER(Table_ChiPhiKD[Giá trị],
(ISBLANK(Table_ChiPhiKD[Tháng])) *
(Table_ChiPhiKD[Nhóm chi phí] = "Chi phí Dịch vụ văn phòng") *
(Table_ChiPhiKD[Phân bổ từ] &lt; DATE(YEAR(L$2),MONTH(L$2)+1,1))*
(Table_ChiPhiKD[Phân bổ đến] &gt; L$2)
),
1/_xlfn._xlws.FILTER(
ROUND(
(Table_ChiPhiKD[Phân bổ đến]-Table_ChiPhiKD[Phân bổ từ])
/(365.25/12),
0),
(ISBLANK(Table_ChiPhiKD[Tháng])) *
(Table_ChiPhiKD[Nhóm chi phí] = "Chi phí Dịch vụ văn phòng") *
(Table_ChiPhiKD[Phân bổ từ] &lt; DATE(YEAR(L$2),MONTH(L$2)+1,1))*
(Table_ChiPhiKD[Phân bổ đến] &gt; L$2)
)
),
0)</f>
        <v>0</v>
      </c>
      <c r="M26" s="331" cm="1">
        <f t="array" ref="M26">-IFERROR(
SUM(_xlfn._xlws.FILTER(Table_DonMua[Phụ phí]-Table_DonMua[Khuyến mãi],
(Table_DonMua[Ngày lập] &gt;=M$2)*
(Table_DonMua[Ngày lập] &lt; N$2)
)),0)
-IFERROR(
SUM(
_xlfn._xlws.FILTER(Table_ChiPhiKD[Giá trị],
(NOT(ISBLANK(Table_ChiPhiKD[Tháng])))*
(Table_ChiPhiKD[Nhóm chi phí] = "Chi phí Dịch vụ sản xuất") *
(Table_ChiPhiKD[Kỳ] = M$2)
)),
0)
- IFERROR(
SUMPRODUCT(
_xlfn._xlws.FILTER(Table_ChiPhiKD[Giá trị],
(ISBLANK(Table_ChiPhiKD[Tháng])) *
(Table_ChiPhiKD[Nhóm chi phí] = "Chi phí Dịch vụ sản xuất") *
(Table_ChiPhiKD[Phân bổ từ] &lt; DATE(YEAR(M$2),MONTH(M$2)+1,1))*
(Table_ChiPhiKD[Phân bổ đến] &gt; M$2)
),
1/_xlfn._xlws.FILTER(
ROUND(
(Table_ChiPhiKD[Phân bổ đến]-Table_ChiPhiKD[Phân bổ từ])
/(365.25/12),
0),
(ISBLANK(Table_ChiPhiKD[Tháng])) *
(Table_ChiPhiKD[Nhóm chi phí] = "Chi phí Dịch vụ sản xuất") *
(Table_ChiPhiKD[Phân bổ từ] &lt; DATE(YEAR(M$2),MONTH(M$2)+1,1))*
(Table_ChiPhiKD[Phân bổ đến] &gt; M$2)
)
),
0)
-IFERROR(
SUM(
_xlfn._xlws.FILTER(Table_ChiPhiKD[Giá trị],
(NOT(ISBLANK(Table_ChiPhiKD[Tháng])))*
(Table_ChiPhiKD[Nhóm chi phí] = "Chi phí Dịch vụ văn phòng") *
(Table_ChiPhiKD[Kỳ] = M$2)
)),
0)
- IFERROR(
SUMPRODUCT(
_xlfn._xlws.FILTER(Table_ChiPhiKD[Giá trị],
(ISBLANK(Table_ChiPhiKD[Tháng])) *
(Table_ChiPhiKD[Nhóm chi phí] = "Chi phí Dịch vụ văn phòng") *
(Table_ChiPhiKD[Phân bổ từ] &lt; DATE(YEAR(M$2),MONTH(M$2)+1,1))*
(Table_ChiPhiKD[Phân bổ đến] &gt; M$2)
),
1/_xlfn._xlws.FILTER(
ROUND(
(Table_ChiPhiKD[Phân bổ đến]-Table_ChiPhiKD[Phân bổ từ])
/(365.25/12),
0),
(ISBLANK(Table_ChiPhiKD[Tháng])) *
(Table_ChiPhiKD[Nhóm chi phí] = "Chi phí Dịch vụ văn phòng") *
(Table_ChiPhiKD[Phân bổ từ] &lt; DATE(YEAR(M$2),MONTH(M$2)+1,1))*
(Table_ChiPhiKD[Phân bổ đến] &gt; M$2)
)
),
0)</f>
        <v>0</v>
      </c>
      <c r="N26" s="331" cm="1">
        <f t="array" ref="N26">-IFERROR(
SUM(_xlfn._xlws.FILTER(Table_DonMua[Phụ phí]-Table_DonMua[Khuyến mãi],
(Table_DonMua[Ngày lập] &gt;=N$2)*
(Table_DonMua[Ngày lập] &lt; O$2)
)),0)
-IFERROR(
SUM(
_xlfn._xlws.FILTER(Table_ChiPhiKD[Giá trị],
(NOT(ISBLANK(Table_ChiPhiKD[Tháng])))*
(Table_ChiPhiKD[Nhóm chi phí] = "Chi phí Dịch vụ sản xuất") *
(Table_ChiPhiKD[Kỳ] = N$2)
)),
0)
- IFERROR(
SUMPRODUCT(
_xlfn._xlws.FILTER(Table_ChiPhiKD[Giá trị],
(ISBLANK(Table_ChiPhiKD[Tháng])) *
(Table_ChiPhiKD[Nhóm chi phí] = "Chi phí Dịch vụ sản xuất") *
(Table_ChiPhiKD[Phân bổ từ] &lt; DATE(YEAR(N$2),MONTH(N$2)+1,1))*
(Table_ChiPhiKD[Phân bổ đến] &gt; N$2)
),
1/_xlfn._xlws.FILTER(
ROUND(
(Table_ChiPhiKD[Phân bổ đến]-Table_ChiPhiKD[Phân bổ từ])
/(365.25/12),
0),
(ISBLANK(Table_ChiPhiKD[Tháng])) *
(Table_ChiPhiKD[Nhóm chi phí] = "Chi phí Dịch vụ sản xuất") *
(Table_ChiPhiKD[Phân bổ từ] &lt; DATE(YEAR(N$2),MONTH(N$2)+1,1))*
(Table_ChiPhiKD[Phân bổ đến] &gt; N$2)
)
),
0)
-IFERROR(
SUM(
_xlfn._xlws.FILTER(Table_ChiPhiKD[Giá trị],
(NOT(ISBLANK(Table_ChiPhiKD[Tháng])))*
(Table_ChiPhiKD[Nhóm chi phí] = "Chi phí Dịch vụ văn phòng") *
(Table_ChiPhiKD[Kỳ] = N$2)
)),
0)
- IFERROR(
SUMPRODUCT(
_xlfn._xlws.FILTER(Table_ChiPhiKD[Giá trị],
(ISBLANK(Table_ChiPhiKD[Tháng])) *
(Table_ChiPhiKD[Nhóm chi phí] = "Chi phí Dịch vụ văn phòng") *
(Table_ChiPhiKD[Phân bổ từ] &lt; DATE(YEAR(N$2),MONTH(N$2)+1,1))*
(Table_ChiPhiKD[Phân bổ đến] &gt; N$2)
),
1/_xlfn._xlws.FILTER(
ROUND(
(Table_ChiPhiKD[Phân bổ đến]-Table_ChiPhiKD[Phân bổ từ])
/(365.25/12),
0),
(ISBLANK(Table_ChiPhiKD[Tháng])) *
(Table_ChiPhiKD[Nhóm chi phí] = "Chi phí Dịch vụ văn phòng") *
(Table_ChiPhiKD[Phân bổ từ] &lt; DATE(YEAR(N$2),MONTH(N$2)+1,1))*
(Table_ChiPhiKD[Phân bổ đến] &gt; N$2)
)
),
0)</f>
        <v>0</v>
      </c>
      <c r="O26" s="331" cm="1">
        <f t="array" ref="O26">-IFERROR(
SUM(_xlfn._xlws.FILTER(Table_DonMua[Phụ phí]-Table_DonMua[Khuyến mãi],
(Table_DonMua[Ngày lập] &gt;=O$2)*
(Table_DonMua[Ngày lập] &lt; P$2)
)),0)
-IFERROR(
SUM(
_xlfn._xlws.FILTER(Table_ChiPhiKD[Giá trị],
(NOT(ISBLANK(Table_ChiPhiKD[Tháng])))*
(Table_ChiPhiKD[Nhóm chi phí] = "Chi phí Dịch vụ sản xuất") *
(Table_ChiPhiKD[Kỳ] = O$2)
)),
0)
- IFERROR(
SUMPRODUCT(
_xlfn._xlws.FILTER(Table_ChiPhiKD[Giá trị],
(ISBLANK(Table_ChiPhiKD[Tháng])) *
(Table_ChiPhiKD[Nhóm chi phí] = "Chi phí Dịch vụ sản xuất") *
(Table_ChiPhiKD[Phân bổ từ] &lt; DATE(YEAR(O$2),MONTH(O$2)+1,1))*
(Table_ChiPhiKD[Phân bổ đến] &gt; O$2)
),
1/_xlfn._xlws.FILTER(
ROUND(
(Table_ChiPhiKD[Phân bổ đến]-Table_ChiPhiKD[Phân bổ từ])
/(365.25/12),
0),
(ISBLANK(Table_ChiPhiKD[Tháng])) *
(Table_ChiPhiKD[Nhóm chi phí] = "Chi phí Dịch vụ sản xuất") *
(Table_ChiPhiKD[Phân bổ từ] &lt; DATE(YEAR(O$2),MONTH(O$2)+1,1))*
(Table_ChiPhiKD[Phân bổ đến] &gt; O$2)
)
),
0)
-IFERROR(
SUM(
_xlfn._xlws.FILTER(Table_ChiPhiKD[Giá trị],
(NOT(ISBLANK(Table_ChiPhiKD[Tháng])))*
(Table_ChiPhiKD[Nhóm chi phí] = "Chi phí Dịch vụ văn phòng") *
(Table_ChiPhiKD[Kỳ] = O$2)
)),
0)
- IFERROR(
SUMPRODUCT(
_xlfn._xlws.FILTER(Table_ChiPhiKD[Giá trị],
(ISBLANK(Table_ChiPhiKD[Tháng])) *
(Table_ChiPhiKD[Nhóm chi phí] = "Chi phí Dịch vụ văn phòng") *
(Table_ChiPhiKD[Phân bổ từ] &lt; DATE(YEAR(O$2),MONTH(O$2)+1,1))*
(Table_ChiPhiKD[Phân bổ đến] &gt; O$2)
),
1/_xlfn._xlws.FILTER(
ROUND(
(Table_ChiPhiKD[Phân bổ đến]-Table_ChiPhiKD[Phân bổ từ])
/(365.25/12),
0),
(ISBLANK(Table_ChiPhiKD[Tháng])) *
(Table_ChiPhiKD[Nhóm chi phí] = "Chi phí Dịch vụ văn phòng") *
(Table_ChiPhiKD[Phân bổ từ] &lt; DATE(YEAR(O$2),MONTH(O$2)+1,1))*
(Table_ChiPhiKD[Phân bổ đến] &gt; O$2)
)
),
0)</f>
        <v>0</v>
      </c>
      <c r="P26" s="327"/>
      <c r="Q26" s="242"/>
      <c r="R26" s="73" t="s">
        <v>296</v>
      </c>
      <c r="S26" s="331" cm="1">
        <f t="array" ref="S26">-IFERROR(
SUM(_xlfn._xlws.FILTER(Table_DonMua[Phụ phí]-Table_DonMua[Khuyến mãi],
(YEAR(Table_DonMua[Ngày lập]) = S$1)
)),0)
-IFERROR(
SUM(
_xlfn._xlws.FILTER(Table_ChiPhiKD[Giá trị],
(NOT(ISBLANK(Table_ChiPhiKD[Tháng])))*
(Table_ChiPhiKD[Nhóm chi phí] = "Chi phí Dịch vụ sản xuất") *
(Table_ChiPhiKD[Năm] = S$1)
)),
0)
- IFERROR(
SUMPRODUCT(
_xlfn._xlws.FILTER(Table_ChiPhiKD[Giá trị],
(ISBLANK(Table_ChiPhiKD[Tháng])) *
(Table_ChiPhiKD[Nhóm chi phí] = "Chi phí Dịch vụ sản xuất")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sản xuất") *
(Table_ChiPhiKD[Phân bổ từ] &lt; DATE(S$1+1,1,1))*
(Table_ChiPhiKD[Phân bổ đến] &gt; DATE(S$1,1,1))
),
1/_xlfn._xlws.FILTER(
ROUND(
(Table_ChiPhiKD[Phân bổ đến]-Table_ChiPhiKD[Phân bổ từ])
/(365.25/12),
0),
(ISBLANK(Table_ChiPhiKD[Tháng])) *
(Table_ChiPhiKD[Nhóm chi phí] = "Chi phí Dịch vụ sản xuất") *
(Table_ChiPhiKD[Phân bổ từ] &lt; DATE(S$1+1,1,1))*
(Table_ChiPhiKD[Phân bổ đến] &gt; DATE(S$1,1,1))
)
),
0)
-IFERROR(
SUM(
_xlfn._xlws.FILTER(Table_ChiPhiKD[Giá trị],
(NOT(ISBLANK(Table_ChiPhiKD[Tháng])))*
(Table_ChiPhiKD[Nhóm chi phí] = "Chi phí Dịch vụ văn phòng") *
(Table_ChiPhiKD[Năm] = S$1)
)),
0)
- IFERROR(
SUMPRODUCT(
_xlfn._xlws.FILTER(Table_ChiPhiKD[Giá trị],
(ISBLANK(Table_ChiPhiKD[Tháng])) *
(Table_ChiPhiKD[Nhóm chi phí] = "Chi phí Dịch vụ văn phòng")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văn phòng") *
(Table_ChiPhiKD[Phân bổ từ] &lt; DATE(S$1+1,1,1))*
(Table_ChiPhiKD[Phân bổ đến] &gt; DATE(S$1,1,1))
),
1/_xlfn._xlws.FILTER(
ROUND(
(Table_ChiPhiKD[Phân bổ đến]-Table_ChiPhiKD[Phân bổ từ])
/(365.25/12),
0),
(ISBLANK(Table_ChiPhiKD[Tháng])) *
(Table_ChiPhiKD[Nhóm chi phí] = "Chi phí Dịch vụ văn phòng") *
(Table_ChiPhiKD[Phân bổ từ] &lt; DATE(S$1+1,1,1))*
(Table_ChiPhiKD[Phân bổ đến] &gt; DATE(S$1,1,1))
)
),
0)</f>
        <v>0</v>
      </c>
      <c r="T26" s="242"/>
      <c r="U26" s="73" t="s">
        <v>296</v>
      </c>
      <c r="V26" s="331" cm="1">
        <f t="array" ref="V26">-IFERROR(
SUM(_xlfn._xlws.FILTER(Table_DonMua[Phụ phí]-Table_DonMua[Khuyến mãi],
(Table_DonMua[Ngày lập] &gt;=V$1)*
(Table_DonMua[Ngày lập] &lt; DATE(YEAR(V$1),MONTH(V$1)+1,1))
)),0)
-IFERROR(
SUM(
_xlfn._xlws.FILTER(Table_ChiPhiKD[Giá trị],
(NOT(ISBLANK(Table_ChiPhiKD[Tháng])))*
(Table_ChiPhiKD[Nhóm chi phí] = "Chi phí Dịch vụ sản xuất") *
(Table_ChiPhiKD[Kỳ] = V$1)
)),
0)
- IFERROR(
SUMPRODUCT(
_xlfn._xlws.FILTER(Table_ChiPhiKD[Giá trị],
(ISBLANK(Table_ChiPhiKD[Tháng])) *
(Table_ChiPhiKD[Nhóm chi phí] = "Chi phí Dịch vụ sản xuất") *
(Table_ChiPhiKD[Phân bổ từ] &lt; DATE(YEAR(V$1),MONTH(V$1)+1,1))*
(Table_ChiPhiKD[Phân bổ đến] &gt; V$1)
),
1/_xlfn._xlws.FILTER(
ROUND(
(Table_ChiPhiKD[Phân bổ đến]-Table_ChiPhiKD[Phân bổ từ])
/(365.25/12),
0),
(ISBLANK(Table_ChiPhiKD[Tháng])) *
(Table_ChiPhiKD[Nhóm chi phí] = "Chi phí Dịch vụ sản xuất") *
(Table_ChiPhiKD[Phân bổ từ] &lt; DATE(YEAR(V$1),MONTH(V$1)+1,1))*
(Table_ChiPhiKD[Phân bổ đến] &gt; V$1)
)
),
0)
-IFERROR(
SUM(
_xlfn._xlws.FILTER(Table_ChiPhiKD[Giá trị],
(NOT(ISBLANK(Table_ChiPhiKD[Tháng])))*
(Table_ChiPhiKD[Nhóm chi phí] = "Chi phí Dịch vụ văn phòng") *
(Table_ChiPhiKD[Kỳ] = V$1)
)),
0)
- IFERROR(
SUMPRODUCT(
_xlfn._xlws.FILTER(Table_ChiPhiKD[Giá trị],
(ISBLANK(Table_ChiPhiKD[Tháng])) *
(Table_ChiPhiKD[Nhóm chi phí] = "Chi phí Dịch vụ văn phòng") *
(Table_ChiPhiKD[Phân bổ từ] &lt; DATE(YEAR(V$1),MONTH(V$1)+1,1))*
(Table_ChiPhiKD[Phân bổ đến] &gt; V$1)
),
1/_xlfn._xlws.FILTER(
ROUND(
(Table_ChiPhiKD[Phân bổ đến]-Table_ChiPhiKD[Phân bổ từ])
/(365.25/12),
0),
(ISBLANK(Table_ChiPhiKD[Tháng])) *
(Table_ChiPhiKD[Nhóm chi phí] = "Chi phí Dịch vụ văn phòng") *
(Table_ChiPhiKD[Phân bổ từ] &lt; DATE(YEAR(V$1),MONTH(V$1)+1,1))*
(Table_ChiPhiKD[Phân bổ đến] &gt; V$1)
)
),
0)</f>
        <v>0</v>
      </c>
    </row>
    <row r="27" spans="2:22" ht="18" customHeight="1" outlineLevel="2" x14ac:dyDescent="0.3">
      <c r="B27" s="73" t="s">
        <v>297</v>
      </c>
      <c r="C27" s="331" cm="1">
        <f t="array" ref="C27">-IFERROR(SUM(_xlfn._xlws.FILTER(Table_TSCD_KhauHao[Khấu hao],
(Table_TSCD_KhauHao[Năm] = C$2))),0)</f>
        <v>0</v>
      </c>
      <c r="D27" s="331" cm="1">
        <f t="array" ref="D27">-IFERROR(SUM(_xlfn._xlws.FILTER(Table_TSCD_KhauHao[Khấu hao],
(Table_TSCD_KhauHao[Kỳ] = D$2))),0)</f>
        <v>0</v>
      </c>
      <c r="E27" s="331" cm="1">
        <f t="array" ref="E27">-IFERROR(SUM(_xlfn._xlws.FILTER(Table_TSCD_KhauHao[Khấu hao],
(Table_TSCD_KhauHao[Kỳ] = E$2))),0)</f>
        <v>0</v>
      </c>
      <c r="F27" s="331" cm="1">
        <f t="array" ref="F27">-IFERROR(SUM(_xlfn._xlws.FILTER(Table_TSCD_KhauHao[Khấu hao],
(Table_TSCD_KhauHao[Kỳ] = F$2))),0)</f>
        <v>0</v>
      </c>
      <c r="G27" s="331" cm="1">
        <f t="array" ref="G27">-IFERROR(SUM(_xlfn._xlws.FILTER(Table_TSCD_KhauHao[Khấu hao],
(Table_TSCD_KhauHao[Kỳ] = G$2))),0)</f>
        <v>0</v>
      </c>
      <c r="H27" s="331" cm="1">
        <f t="array" ref="H27">-IFERROR(SUM(_xlfn._xlws.FILTER(Table_TSCD_KhauHao[Khấu hao],
(Table_TSCD_KhauHao[Kỳ] = H$2))),0)</f>
        <v>0</v>
      </c>
      <c r="I27" s="331" cm="1">
        <f t="array" ref="I27">-IFERROR(SUM(_xlfn._xlws.FILTER(Table_TSCD_KhauHao[Khấu hao],
(Table_TSCD_KhauHao[Kỳ] = I$2))),0)</f>
        <v>0</v>
      </c>
      <c r="J27" s="331" cm="1">
        <f t="array" ref="J27">-IFERROR(SUM(_xlfn._xlws.FILTER(Table_TSCD_KhauHao[Khấu hao],
(Table_TSCD_KhauHao[Kỳ] = J$2))),0)</f>
        <v>0</v>
      </c>
      <c r="K27" s="331" cm="1">
        <f t="array" ref="K27">-IFERROR(SUM(_xlfn._xlws.FILTER(Table_TSCD_KhauHao[Khấu hao],
(Table_TSCD_KhauHao[Kỳ] = K$2))),0)</f>
        <v>0</v>
      </c>
      <c r="L27" s="331" cm="1">
        <f t="array" ref="L27">-IFERROR(SUM(_xlfn._xlws.FILTER(Table_TSCD_KhauHao[Khấu hao],
(Table_TSCD_KhauHao[Kỳ] = L$2))),0)</f>
        <v>0</v>
      </c>
      <c r="M27" s="331" cm="1">
        <f t="array" ref="M27">-IFERROR(SUM(_xlfn._xlws.FILTER(Table_TSCD_KhauHao[Khấu hao],
(Table_TSCD_KhauHao[Kỳ] = M$2))),0)</f>
        <v>0</v>
      </c>
      <c r="N27" s="331" cm="1">
        <f t="array" ref="N27">-IFERROR(SUM(_xlfn._xlws.FILTER(Table_TSCD_KhauHao[Khấu hao],
(Table_TSCD_KhauHao[Kỳ] = N$2))),0)</f>
        <v>0</v>
      </c>
      <c r="O27" s="331" cm="1">
        <f t="array" ref="O27">-IFERROR(SUM(_xlfn._xlws.FILTER(Table_TSCD_KhauHao[Khấu hao],
(Table_TSCD_KhauHao[Kỳ] = O$2))),0)</f>
        <v>0</v>
      </c>
      <c r="P27" s="326"/>
      <c r="Q27" s="242"/>
      <c r="R27" s="73" t="s">
        <v>297</v>
      </c>
      <c r="S27" s="331" cm="1">
        <f t="array" ref="S27">-IFERROR(SUM(_xlfn._xlws.FILTER(Table_TSCD_KhauHao[Khấu hao],
(Table_TSCD_KhauHao[Năm] = S$1))),0)</f>
        <v>0</v>
      </c>
      <c r="T27" s="242"/>
      <c r="U27" s="73" t="s">
        <v>297</v>
      </c>
      <c r="V27" s="331" cm="1">
        <f t="array" ref="V27">-IFERROR(SUM(_xlfn._xlws.FILTER(Table_TSCD_KhauHao[Khấu hao],
(Table_TSCD_KhauHao[Kỳ] = V$1))),0)</f>
        <v>0</v>
      </c>
    </row>
    <row r="28" spans="2:22" ht="18" customHeight="1" outlineLevel="2" x14ac:dyDescent="0.3">
      <c r="B28" s="73" t="s">
        <v>298</v>
      </c>
      <c r="C28" s="331" cm="1">
        <f t="array" ref="C28">-IFERROR(
SUM(_xlfn._xlws.FILTER(Table_VayNo_LichTra[Lãi vay],
(Table_VayNo_LichTra[Năm] = C$2)
)),0)</f>
        <v>0</v>
      </c>
      <c r="D28" s="331" cm="1">
        <f t="array" ref="D28" xml:space="preserve">
-IFERROR(
SUM(_xlfn._xlws.FILTER(Table_VayNo_LichTra[Lãi vay],
(Table_VayNo_LichTra[Kỳ] = D$2)*
(NOT(ISBLANK(Table_VayNo_LichTra[Tháng])))
)),0)
-IFERROR(
SUM(_xlfn._xlws.FILTER(Table_VayNo_LichTra[Lãi vay],
(YEAR(VLOOKUP(Table_VayNo_LichTra[Khoản vay], Table_VayNo[[Mã khoản vay]:[Ngày vay]],Sheet_VayNo!$I$3,0)) &lt;&gt; YEAR(D$2)) *
(YEAR(VLOOKUP(Table_VayNo_LichTra[Khoản vay], Table_VayNo[[Mã khoản vay]:[Kết thúc trả gốc]],Sheet_VayNo!$K$3,0)) &lt;&gt; YEAR(D$2)) *
(Table_VayNo_LichTra[Năm] = YEAR(D$2)) *
(ISBLANK(Table_VayNo_LichTra[Tháng]))
))/12,0)
-IFERROR(SUMPRODUCT(
_xlfn._xlws.FILTER(Table_VayNo_LichTra[Lãi vay],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
_xlfn._xlws.FILTER(1/ ( 12 - MONTH(VLOOKUP(Table_VayNo_LichTra[Khoản vay], Table_VayNo[[Mã khoản vay]:[Ngày vay]],Sheet_VayNo!$I$3,0)) +1 ),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)),0)
-IFERROR(SUMPRODUCT(
_xlfn._xlws.FILTER(Table_VayNo_LichTra[Lãi vay],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
_xlfn._xlws.FILTER(1/ MONTH(VLOOKUP(Table_VayNo_LichTra[Khoản vay], Table_VayNo[[Mã khoản vay]:[Kết thúc trả gốc]],Sheet_VayNo!$K$3,0)),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)),0)
-IFERROR(SUMPRODUCT(
_xlfn._xlws.FILTER(Table_VayNo_LichTra[Lãi vay],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)),0)</f>
        <v>0</v>
      </c>
      <c r="E28" s="331" cm="1">
        <f t="array" ref="E28" xml:space="preserve">
-IFERROR(
SUM(_xlfn._xlws.FILTER(Table_VayNo_LichTra[Lãi vay],
(Table_VayNo_LichTra[Kỳ] = E$2)*
(NOT(ISBLANK(Table_VayNo_LichTra[Tháng])))
)),0)
-IFERROR(
SUM(_xlfn._xlws.FILTER(Table_VayNo_LichTra[Lãi vay],
(YEAR(VLOOKUP(Table_VayNo_LichTra[Khoản vay], Table_VayNo[[Mã khoản vay]:[Ngày vay]],Sheet_VayNo!$I$3,0)) &lt;&gt; YEAR(E$2)) *
(YEAR(VLOOKUP(Table_VayNo_LichTra[Khoản vay], Table_VayNo[[Mã khoản vay]:[Kết thúc trả gốc]],Sheet_VayNo!$K$3,0)) &lt;&gt; YEAR(E$2)) *
(Table_VayNo_LichTra[Năm] = YEAR(E$2)) *
(ISBLANK(Table_VayNo_LichTra[Tháng]))
))/12,0)
-IFERROR(SUMPRODUCT(
_xlfn._xlws.FILTER(Table_VayNo_LichTra[Lãi vay],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
_xlfn._xlws.FILTER(1/ ( 12 - MONTH(VLOOKUP(Table_VayNo_LichTra[Khoản vay], Table_VayNo[[Mã khoản vay]:[Ngày vay]],Sheet_VayNo!$I$3,0)) +1 ),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)),0)
-IFERROR(SUMPRODUCT(
_xlfn._xlws.FILTER(Table_VayNo_LichTra[Lãi vay],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
_xlfn._xlws.FILTER(1/ MONTH(VLOOKUP(Table_VayNo_LichTra[Khoản vay], Table_VayNo[[Mã khoản vay]:[Kết thúc trả gốc]],Sheet_VayNo!$K$3,0)),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)),0)
-IFERROR(SUMPRODUCT(
_xlfn._xlws.FILTER(Table_VayNo_LichTra[Lãi vay],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)),0)</f>
        <v>0</v>
      </c>
      <c r="F28" s="331" cm="1">
        <f t="array" ref="F28" xml:space="preserve">
-IFERROR(
SUM(_xlfn._xlws.FILTER(Table_VayNo_LichTra[Lãi vay],
(Table_VayNo_LichTra[Kỳ] = F$2)*
(NOT(ISBLANK(Table_VayNo_LichTra[Tháng])))
)),0)
-IFERROR(
SUM(_xlfn._xlws.FILTER(Table_VayNo_LichTra[Lãi vay],
(YEAR(VLOOKUP(Table_VayNo_LichTra[Khoản vay], Table_VayNo[[Mã khoản vay]:[Ngày vay]],Sheet_VayNo!$I$3,0)) &lt;&gt; YEAR(F$2)) *
(YEAR(VLOOKUP(Table_VayNo_LichTra[Khoản vay], Table_VayNo[[Mã khoản vay]:[Kết thúc trả gốc]],Sheet_VayNo!$K$3,0)) &lt;&gt; YEAR(F$2)) *
(Table_VayNo_LichTra[Năm] = YEAR(F$2)) *
(ISBLANK(Table_VayNo_LichTra[Tháng]))
))/12,0)
-IFERROR(SUMPRODUCT(
_xlfn._xlws.FILTER(Table_VayNo_LichTra[Lãi vay],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
_xlfn._xlws.FILTER(1/ ( 12 - MONTH(VLOOKUP(Table_VayNo_LichTra[Khoản vay], Table_VayNo[[Mã khoản vay]:[Ngày vay]],Sheet_VayNo!$I$3,0)) +1 ),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)),0)
-IFERROR(SUMPRODUCT(
_xlfn._xlws.FILTER(Table_VayNo_LichTra[Lãi vay],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
_xlfn._xlws.FILTER(1/ MONTH(VLOOKUP(Table_VayNo_LichTra[Khoản vay], Table_VayNo[[Mã khoản vay]:[Kết thúc trả gốc]],Sheet_VayNo!$K$3,0)),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)),0)
-IFERROR(SUMPRODUCT(
_xlfn._xlws.FILTER(Table_VayNo_LichTra[Lãi vay],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)),0)</f>
        <v>0</v>
      </c>
      <c r="G28" s="331" cm="1">
        <f t="array" ref="G28" xml:space="preserve">
-IFERROR(
SUM(_xlfn._xlws.FILTER(Table_VayNo_LichTra[Lãi vay],
(Table_VayNo_LichTra[Kỳ] = G$2)*
(NOT(ISBLANK(Table_VayNo_LichTra[Tháng])))
)),0)
-IFERROR(
SUM(_xlfn._xlws.FILTER(Table_VayNo_LichTra[Lãi vay],
(YEAR(VLOOKUP(Table_VayNo_LichTra[Khoản vay], Table_VayNo[[Mã khoản vay]:[Ngày vay]],Sheet_VayNo!$I$3,0)) &lt;&gt; YEAR(G$2)) *
(YEAR(VLOOKUP(Table_VayNo_LichTra[Khoản vay], Table_VayNo[[Mã khoản vay]:[Kết thúc trả gốc]],Sheet_VayNo!$K$3,0)) &lt;&gt; YEAR(G$2)) *
(Table_VayNo_LichTra[Năm] = YEAR(G$2)) *
(ISBLANK(Table_VayNo_LichTra[Tháng]))
))/12,0)
-IFERROR(SUMPRODUCT(
_xlfn._xlws.FILTER(Table_VayNo_LichTra[Lãi vay],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
_xlfn._xlws.FILTER(1/ ( 12 - MONTH(VLOOKUP(Table_VayNo_LichTra[Khoản vay], Table_VayNo[[Mã khoản vay]:[Ngày vay]],Sheet_VayNo!$I$3,0)) +1 ),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)),0)
-IFERROR(SUMPRODUCT(
_xlfn._xlws.FILTER(Table_VayNo_LichTra[Lãi vay],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
_xlfn._xlws.FILTER(1/ MONTH(VLOOKUP(Table_VayNo_LichTra[Khoản vay], Table_VayNo[[Mã khoản vay]:[Kết thúc trả gốc]],Sheet_VayNo!$K$3,0)),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)),0)
-IFERROR(SUMPRODUCT(
_xlfn._xlws.FILTER(Table_VayNo_LichTra[Lãi vay],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)),0)</f>
        <v>0</v>
      </c>
      <c r="H28" s="331" cm="1">
        <f t="array" ref="H28" xml:space="preserve">
-IFERROR(
SUM(_xlfn._xlws.FILTER(Table_VayNo_LichTra[Lãi vay],
(Table_VayNo_LichTra[Kỳ] = H$2)*
(NOT(ISBLANK(Table_VayNo_LichTra[Tháng])))
)),0)
-IFERROR(
SUM(_xlfn._xlws.FILTER(Table_VayNo_LichTra[Lãi vay],
(YEAR(VLOOKUP(Table_VayNo_LichTra[Khoản vay], Table_VayNo[[Mã khoản vay]:[Ngày vay]],Sheet_VayNo!$I$3,0)) &lt;&gt; YEAR(H$2)) *
(YEAR(VLOOKUP(Table_VayNo_LichTra[Khoản vay], Table_VayNo[[Mã khoản vay]:[Kết thúc trả gốc]],Sheet_VayNo!$K$3,0)) &lt;&gt; YEAR(H$2)) *
(Table_VayNo_LichTra[Năm] = YEAR(H$2)) *
(ISBLANK(Table_VayNo_LichTra[Tháng]))
))/12,0)
-IFERROR(SUMPRODUCT(
_xlfn._xlws.FILTER(Table_VayNo_LichTra[Lãi vay],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
_xlfn._xlws.FILTER(1/ ( 12 - MONTH(VLOOKUP(Table_VayNo_LichTra[Khoản vay], Table_VayNo[[Mã khoản vay]:[Ngày vay]],Sheet_VayNo!$I$3,0)) +1 ),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)),0)
-IFERROR(SUMPRODUCT(
_xlfn._xlws.FILTER(Table_VayNo_LichTra[Lãi vay],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
_xlfn._xlws.FILTER(1/ MONTH(VLOOKUP(Table_VayNo_LichTra[Khoản vay], Table_VayNo[[Mã khoản vay]:[Kết thúc trả gốc]],Sheet_VayNo!$K$3,0)),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)),0)
-IFERROR(SUMPRODUCT(
_xlfn._xlws.FILTER(Table_VayNo_LichTra[Lãi vay],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)),0)</f>
        <v>0</v>
      </c>
      <c r="I28" s="331" cm="1">
        <f t="array" ref="I28" xml:space="preserve">
-IFERROR(
SUM(_xlfn._xlws.FILTER(Table_VayNo_LichTra[Lãi vay],
(Table_VayNo_LichTra[Kỳ] = I$2)*
(NOT(ISBLANK(Table_VayNo_LichTra[Tháng])))
)),0)
-IFERROR(
SUM(_xlfn._xlws.FILTER(Table_VayNo_LichTra[Lãi vay],
(YEAR(VLOOKUP(Table_VayNo_LichTra[Khoản vay], Table_VayNo[[Mã khoản vay]:[Ngày vay]],Sheet_VayNo!$I$3,0)) &lt;&gt; YEAR(I$2)) *
(YEAR(VLOOKUP(Table_VayNo_LichTra[Khoản vay], Table_VayNo[[Mã khoản vay]:[Kết thúc trả gốc]],Sheet_VayNo!$K$3,0)) &lt;&gt; YEAR(I$2)) *
(Table_VayNo_LichTra[Năm] = YEAR(I$2)) *
(ISBLANK(Table_VayNo_LichTra[Tháng]))
))/12,0)
-IFERROR(SUMPRODUCT(
_xlfn._xlws.FILTER(Table_VayNo_LichTra[Lãi vay],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
_xlfn._xlws.FILTER(1/ ( 12 - MONTH(VLOOKUP(Table_VayNo_LichTra[Khoản vay], Table_VayNo[[Mã khoản vay]:[Ngày vay]],Sheet_VayNo!$I$3,0)) +1 ),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)),0)
-IFERROR(SUMPRODUCT(
_xlfn._xlws.FILTER(Table_VayNo_LichTra[Lãi vay],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
_xlfn._xlws.FILTER(1/ MONTH(VLOOKUP(Table_VayNo_LichTra[Khoản vay], Table_VayNo[[Mã khoản vay]:[Kết thúc trả gốc]],Sheet_VayNo!$K$3,0)),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)),0)
-IFERROR(SUMPRODUCT(
_xlfn._xlws.FILTER(Table_VayNo_LichTra[Lãi vay],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)),0)</f>
        <v>0</v>
      </c>
      <c r="J28" s="331" cm="1">
        <f t="array" ref="J28" xml:space="preserve">
-IFERROR(
SUM(_xlfn._xlws.FILTER(Table_VayNo_LichTra[Lãi vay],
(Table_VayNo_LichTra[Kỳ] = J$2)*
(NOT(ISBLANK(Table_VayNo_LichTra[Tháng])))
)),0)
-IFERROR(
SUM(_xlfn._xlws.FILTER(Table_VayNo_LichTra[Lãi vay],
(YEAR(VLOOKUP(Table_VayNo_LichTra[Khoản vay], Table_VayNo[[Mã khoản vay]:[Ngày vay]],Sheet_VayNo!$I$3,0)) &lt;&gt; YEAR(J$2)) *
(YEAR(VLOOKUP(Table_VayNo_LichTra[Khoản vay], Table_VayNo[[Mã khoản vay]:[Kết thúc trả gốc]],Sheet_VayNo!$K$3,0)) &lt;&gt; YEAR(J$2)) *
(Table_VayNo_LichTra[Năm] = YEAR(J$2)) *
(ISBLANK(Table_VayNo_LichTra[Tháng]))
))/12,0)
-IFERROR(SUMPRODUCT(
_xlfn._xlws.FILTER(Table_VayNo_LichTra[Lãi vay],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
_xlfn._xlws.FILTER(1/ ( 12 - MONTH(VLOOKUP(Table_VayNo_LichTra[Khoản vay], Table_VayNo[[Mã khoản vay]:[Ngày vay]],Sheet_VayNo!$I$3,0)) +1 ),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)),0)
-IFERROR(SUMPRODUCT(
_xlfn._xlws.FILTER(Table_VayNo_LichTra[Lãi vay],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
_xlfn._xlws.FILTER(1/ MONTH(VLOOKUP(Table_VayNo_LichTra[Khoản vay], Table_VayNo[[Mã khoản vay]:[Kết thúc trả gốc]],Sheet_VayNo!$K$3,0)),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)),0)
-IFERROR(SUMPRODUCT(
_xlfn._xlws.FILTER(Table_VayNo_LichTra[Lãi vay],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)),0)</f>
        <v>0</v>
      </c>
      <c r="K28" s="331" cm="1">
        <f t="array" ref="K28" xml:space="preserve">
-IFERROR(
SUM(_xlfn._xlws.FILTER(Table_VayNo_LichTra[Lãi vay],
(Table_VayNo_LichTra[Kỳ] = K$2)*
(NOT(ISBLANK(Table_VayNo_LichTra[Tháng])))
)),0)
-IFERROR(
SUM(_xlfn._xlws.FILTER(Table_VayNo_LichTra[Lãi vay],
(YEAR(VLOOKUP(Table_VayNo_LichTra[Khoản vay], Table_VayNo[[Mã khoản vay]:[Ngày vay]],Sheet_VayNo!$I$3,0)) &lt;&gt; YEAR(K$2)) *
(YEAR(VLOOKUP(Table_VayNo_LichTra[Khoản vay], Table_VayNo[[Mã khoản vay]:[Kết thúc trả gốc]],Sheet_VayNo!$K$3,0)) &lt;&gt; YEAR(K$2)) *
(Table_VayNo_LichTra[Năm] = YEAR(K$2)) *
(ISBLANK(Table_VayNo_LichTra[Tháng]))
))/12,0)
-IFERROR(SUMPRODUCT(
_xlfn._xlws.FILTER(Table_VayNo_LichTra[Lãi vay],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
_xlfn._xlws.FILTER(1/ ( 12 - MONTH(VLOOKUP(Table_VayNo_LichTra[Khoản vay], Table_VayNo[[Mã khoản vay]:[Ngày vay]],Sheet_VayNo!$I$3,0)) +1 ),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)),0)
-IFERROR(SUMPRODUCT(
_xlfn._xlws.FILTER(Table_VayNo_LichTra[Lãi vay],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
_xlfn._xlws.FILTER(1/ MONTH(VLOOKUP(Table_VayNo_LichTra[Khoản vay], Table_VayNo[[Mã khoản vay]:[Kết thúc trả gốc]],Sheet_VayNo!$K$3,0)),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)),0)
-IFERROR(SUMPRODUCT(
_xlfn._xlws.FILTER(Table_VayNo_LichTra[Lãi vay],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)),0)</f>
        <v>0</v>
      </c>
      <c r="L28" s="331" cm="1">
        <f t="array" ref="L28" xml:space="preserve">
-IFERROR(
SUM(_xlfn._xlws.FILTER(Table_VayNo_LichTra[Lãi vay],
(Table_VayNo_LichTra[Kỳ] = L$2)*
(NOT(ISBLANK(Table_VayNo_LichTra[Tháng])))
)),0)
-IFERROR(
SUM(_xlfn._xlws.FILTER(Table_VayNo_LichTra[Lãi vay],
(YEAR(VLOOKUP(Table_VayNo_LichTra[Khoản vay], Table_VayNo[[Mã khoản vay]:[Ngày vay]],Sheet_VayNo!$I$3,0)) &lt;&gt; YEAR(L$2)) *
(YEAR(VLOOKUP(Table_VayNo_LichTra[Khoản vay], Table_VayNo[[Mã khoản vay]:[Kết thúc trả gốc]],Sheet_VayNo!$K$3,0)) &lt;&gt; YEAR(L$2)) *
(Table_VayNo_LichTra[Năm] = YEAR(L$2)) *
(ISBLANK(Table_VayNo_LichTra[Tháng]))
))/12,0)
-IFERROR(SUMPRODUCT(
_xlfn._xlws.FILTER(Table_VayNo_LichTra[Lãi vay],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
_xlfn._xlws.FILTER(1/ ( 12 - MONTH(VLOOKUP(Table_VayNo_LichTra[Khoản vay], Table_VayNo[[Mã khoản vay]:[Ngày vay]],Sheet_VayNo!$I$3,0)) +1 ),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)),0)
-IFERROR(SUMPRODUCT(
_xlfn._xlws.FILTER(Table_VayNo_LichTra[Lãi vay],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
_xlfn._xlws.FILTER(1/ MONTH(VLOOKUP(Table_VayNo_LichTra[Khoản vay], Table_VayNo[[Mã khoản vay]:[Kết thúc trả gốc]],Sheet_VayNo!$K$3,0)),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)),0)
-IFERROR(SUMPRODUCT(
_xlfn._xlws.FILTER(Table_VayNo_LichTra[Lãi vay],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)),0)</f>
        <v>0</v>
      </c>
      <c r="M28" s="331" cm="1">
        <f t="array" ref="M28" xml:space="preserve">
-IFERROR(
SUM(_xlfn._xlws.FILTER(Table_VayNo_LichTra[Lãi vay],
(Table_VayNo_LichTra[Kỳ] = M$2)*
(NOT(ISBLANK(Table_VayNo_LichTra[Tháng])))
)),0)
-IFERROR(
SUM(_xlfn._xlws.FILTER(Table_VayNo_LichTra[Lãi vay],
(YEAR(VLOOKUP(Table_VayNo_LichTra[Khoản vay], Table_VayNo[[Mã khoản vay]:[Ngày vay]],Sheet_VayNo!$I$3,0)) &lt;&gt; YEAR(M$2)) *
(YEAR(VLOOKUP(Table_VayNo_LichTra[Khoản vay], Table_VayNo[[Mã khoản vay]:[Kết thúc trả gốc]],Sheet_VayNo!$K$3,0)) &lt;&gt; YEAR(M$2)) *
(Table_VayNo_LichTra[Năm] = YEAR(M$2)) *
(ISBLANK(Table_VayNo_LichTra[Tháng]))
))/12,0)
-IFERROR(SUMPRODUCT(
_xlfn._xlws.FILTER(Table_VayNo_LichTra[Lãi vay],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
_xlfn._xlws.FILTER(1/ ( 12 - MONTH(VLOOKUP(Table_VayNo_LichTra[Khoản vay], Table_VayNo[[Mã khoản vay]:[Ngày vay]],Sheet_VayNo!$I$3,0)) +1 ),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)),0)
-IFERROR(SUMPRODUCT(
_xlfn._xlws.FILTER(Table_VayNo_LichTra[Lãi vay],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
_xlfn._xlws.FILTER(1/ MONTH(VLOOKUP(Table_VayNo_LichTra[Khoản vay], Table_VayNo[[Mã khoản vay]:[Kết thúc trả gốc]],Sheet_VayNo!$K$3,0)),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)),0)
-IFERROR(SUMPRODUCT(
_xlfn._xlws.FILTER(Table_VayNo_LichTra[Lãi vay],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)),0)</f>
        <v>0</v>
      </c>
      <c r="N28" s="331" cm="1">
        <f t="array" ref="N28" xml:space="preserve">
-IFERROR(
SUM(_xlfn._xlws.FILTER(Table_VayNo_LichTra[Lãi vay],
(Table_VayNo_LichTra[Kỳ] = N$2)*
(NOT(ISBLANK(Table_VayNo_LichTra[Tháng])))
)),0)
-IFERROR(
SUM(_xlfn._xlws.FILTER(Table_VayNo_LichTra[Lãi vay],
(YEAR(VLOOKUP(Table_VayNo_LichTra[Khoản vay], Table_VayNo[[Mã khoản vay]:[Ngày vay]],Sheet_VayNo!$I$3,0)) &lt;&gt; YEAR(N$2)) *
(YEAR(VLOOKUP(Table_VayNo_LichTra[Khoản vay], Table_VayNo[[Mã khoản vay]:[Kết thúc trả gốc]],Sheet_VayNo!$K$3,0)) &lt;&gt; YEAR(N$2)) *
(Table_VayNo_LichTra[Năm] = YEAR(N$2)) *
(ISBLANK(Table_VayNo_LichTra[Tháng]))
))/12,0)
-IFERROR(SUMPRODUCT(
_xlfn._xlws.FILTER(Table_VayNo_LichTra[Lãi vay],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
_xlfn._xlws.FILTER(1/ ( 12 - MONTH(VLOOKUP(Table_VayNo_LichTra[Khoản vay], Table_VayNo[[Mã khoản vay]:[Ngày vay]],Sheet_VayNo!$I$3,0)) +1 ),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)),0)
-IFERROR(SUMPRODUCT(
_xlfn._xlws.FILTER(Table_VayNo_LichTra[Lãi vay],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
_xlfn._xlws.FILTER(1/ MONTH(VLOOKUP(Table_VayNo_LichTra[Khoản vay], Table_VayNo[[Mã khoản vay]:[Kết thúc trả gốc]],Sheet_VayNo!$K$3,0)),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)),0)
-IFERROR(SUMPRODUCT(
_xlfn._xlws.FILTER(Table_VayNo_LichTra[Lãi vay],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)),0)</f>
        <v>0</v>
      </c>
      <c r="O28" s="331" cm="1">
        <f t="array" ref="O28" xml:space="preserve">
-IFERROR(
SUM(_xlfn._xlws.FILTER(Table_VayNo_LichTra[Lãi vay],
(Table_VayNo_LichTra[Kỳ] = O$2)*
(NOT(ISBLANK(Table_VayNo_LichTra[Tháng])))
)),0)
-IFERROR(
SUM(_xlfn._xlws.FILTER(Table_VayNo_LichTra[Lãi vay],
(YEAR(VLOOKUP(Table_VayNo_LichTra[Khoản vay], Table_VayNo[[Mã khoản vay]:[Ngày vay]],Sheet_VayNo!$I$3,0)) &lt;&gt; YEAR(O$2)) *
(YEAR(VLOOKUP(Table_VayNo_LichTra[Khoản vay], Table_VayNo[[Mã khoản vay]:[Kết thúc trả gốc]],Sheet_VayNo!$K$3,0)) &lt;&gt; YEAR(O$2)) *
(Table_VayNo_LichTra[Năm] = YEAR(O$2)) *
(ISBLANK(Table_VayNo_LichTra[Tháng]))
))/12,0)
-IFERROR(SUMPRODUCT(
_xlfn._xlws.FILTER(Table_VayNo_LichTra[Lãi vay],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
_xlfn._xlws.FILTER(1/ ( 12 - MONTH(VLOOKUP(Table_VayNo_LichTra[Khoản vay], Table_VayNo[[Mã khoản vay]:[Ngày vay]],Sheet_VayNo!$I$3,0)) +1 ),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)),0)
-IFERROR(SUMPRODUCT(
_xlfn._xlws.FILTER(Table_VayNo_LichTra[Lãi vay],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
_xlfn._xlws.FILTER(1/ MONTH(VLOOKUP(Table_VayNo_LichTra[Khoản vay], Table_VayNo[[Mã khoản vay]:[Kết thúc trả gốc]],Sheet_VayNo!$K$3,0)),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)),0)
-IFERROR(SUMPRODUCT(
_xlfn._xlws.FILTER(Table_VayNo_LichTra[Lãi vay],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)),0)</f>
        <v>0</v>
      </c>
      <c r="P28" s="326"/>
      <c r="Q28" s="242"/>
      <c r="R28" s="73" t="s">
        <v>298</v>
      </c>
      <c r="S28" s="331" cm="1">
        <f t="array" ref="S28">-IFERROR(
SUM(_xlfn._xlws.FILTER(Table_VayNo_LichTra[Lãi vay],
(Table_VayNo_LichTra[Năm] = S$1)
)),0)</f>
        <v>0</v>
      </c>
      <c r="T28" s="242"/>
      <c r="U28" s="73" t="s">
        <v>298</v>
      </c>
      <c r="V28" s="331" cm="1">
        <f t="array" ref="V28" xml:space="preserve">
-IFERROR(
SUM(_xlfn._xlws.FILTER(Table_VayNo_LichTra[Lãi vay],
(Table_VayNo_LichTra[Kỳ] = V$1)*
(NOT(ISBLANK(Table_VayNo_LichTra[Tháng])))
)),0)
-IFERROR(
SUM(_xlfn._xlws.FILTER(Table_VayNo_LichTra[Lãi vay],
(YEAR(VLOOKUP(Table_VayNo_LichTra[Khoản vay], Table_VayNo[[Mã khoản vay]:[Ngày vay]],Sheet_VayNo!$I$3,0)) &lt;&gt; YEAR(V$1)) *
(YEAR(VLOOKUP(Table_VayNo_LichTra[Khoản vay], Table_VayNo[[Mã khoản vay]:[Kết thúc trả gốc]],Sheet_VayNo!$K$3,0)) &lt;&gt; YEAR(V$1)) *
(Table_VayNo_LichTra[Năm] = YEAR(V$1)) *
(ISBLANK(Table_VayNo_LichTra[Tháng]))
))/12,0)
-IFERROR(SUMPRODUCT(
_xlfn._xlws.FILTER(Table_VayNo_LichTra[Lãi vay],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
_xlfn._xlws.FILTER(1/ ( 12 - MONTH(VLOOKUP(Table_VayNo_LichTra[Khoản vay], Table_VayNo[[Mã khoản vay]:[Ngày vay]],Sheet_VayNo!$I$3,0)) +1 ),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)),0)
-IFERROR(SUMPRODUCT(
_xlfn._xlws.FILTER(Table_VayNo_LichTra[Lãi vay],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
_xlfn._xlws.FILTER(1/ MONTH(VLOOKUP(Table_VayNo_LichTra[Khoản vay], Table_VayNo[[Mã khoản vay]:[Kết thúc trả gốc]],Sheet_VayNo!$K$3,0)),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)),0)
-IFERROR(SUMPRODUCT(
_xlfn._xlws.FILTER(Table_VayNo_LichTra[Lãi vay],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)),0)</f>
        <v>0</v>
      </c>
    </row>
    <row r="29" spans="2:22" ht="18" customHeight="1" outlineLevel="2" x14ac:dyDescent="0.3">
      <c r="B29" s="73" t="s">
        <v>300</v>
      </c>
      <c r="C29" s="331" cm="1">
        <f t="array" ref="C29" xml:space="preserve">
-IFERROR(
SUM(
_xlfn._xlws.FILTER(Table_ChiPhiKD[Giá trị],
(NOT(ISBLANK(Table_ChiPhiKD[Tháng])))*
(Table_ChiPhiKD[Nhóm chi phí] = "Thuế, phí &amp; lệ phí trả NSNN") *
(Table_ChiPhiKD[Năm] = C$2)
)),
0)
- IFERROR(
SUMPRODUCT(
_xlfn._xlws.FILTER(Table_ChiPhiKD[Giá trị],
(ISBLANK(Table_ChiPhiKD[Tháng])) *
(Table_ChiPhiKD[Nhóm chi phí] = "Thuế, phí &amp; lệ phí trả NSNN")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"Thuế, phí &amp; lệ phí trả NSNN") *
(Table_ChiPhiKD[Phân bổ từ] &lt; DATE(C$2+1,1,1))*
(Table_ChiPhiKD[Phân bổ đến] &gt; DATE(C$2,1,1))
),
1/_xlfn._xlws.FILTER(
ROUND(
(Table_ChiPhiKD[Phân bổ đến]-Table_ChiPhiKD[Phân bổ từ])
/(365.25/12),
0),
(ISBLANK(Table_ChiPhiKD[Tháng])) *
(Table_ChiPhiKD[Nhóm chi phí] = "Thuế, phí &amp; lệ phí trả NSNN") *
(Table_ChiPhiKD[Phân bổ từ] &lt; DATE(C$2+1,1,1))*
(Table_ChiPhiKD[Phân bổ đến] &gt; DATE(C$2,1,1))
)
),
0)</f>
        <v>0</v>
      </c>
      <c r="D29" s="333" cm="1">
        <f t="array" ref="D29">-IFERROR(
SUM(
_xlfn._xlws.FILTER(Table_ChiPhiKD[Giá trị],
(NOT(ISBLANK(Table_ChiPhiKD[Tháng])))*
(Table_ChiPhiKD[Nhóm chi phí] = "Thuế, phí &amp; lệ phí trả NSNN") *
(Table_ChiPhiKD[Kỳ] = D$2)
)),
0)
- IFERROR(
SUMPRODUCT(
_xlfn._xlws.FILTER(Table_ChiPhiKD[Giá trị],
(ISBLANK(Table_ChiPhiKD[Tháng])) *
(Table_ChiPhiKD[Nhóm chi phí] = "Thuế, phí &amp; lệ phí trả NSNN") *
(Table_ChiPhiKD[Phân bổ từ] &lt; DATE(YEAR(D$2),MONTH(D$2)+1,1))*
(Table_ChiPhiKD[Phân bổ đến] &gt; D$2)
),
1/_xlfn._xlws.FILTER(
ROUND(
(Table_ChiPhiKD[Phân bổ đến]-Table_ChiPhiKD[Phân bổ từ])
/(365.25/12),
0),
(ISBLANK(Table_ChiPhiKD[Tháng])) *
(Table_ChiPhiKD[Nhóm chi phí] = "Thuế, phí &amp; lệ phí trả NSNN") *
(Table_ChiPhiKD[Phân bổ từ] &lt; DATE(YEAR(D$2),MONTH(D$2)+1,1))*
(Table_ChiPhiKD[Phân bổ đến] &gt; D$2))
),
0)</f>
        <v>0</v>
      </c>
      <c r="E29" s="333" cm="1">
        <f t="array" ref="E29">-IFERROR(
SUM(
_xlfn._xlws.FILTER(Table_ChiPhiKD[Giá trị],
(NOT(ISBLANK(Table_ChiPhiKD[Tháng])))*
(Table_ChiPhiKD[Nhóm chi phí] = "Thuế, phí &amp; lệ phí trả NSNN") *
(Table_ChiPhiKD[Kỳ] = E$2)
)),
0)
- IFERROR(
SUMPRODUCT(
_xlfn._xlws.FILTER(Table_ChiPhiKD[Giá trị],
(ISBLANK(Table_ChiPhiKD[Tháng])) *
(Table_ChiPhiKD[Nhóm chi phí] = "Thuế, phí &amp; lệ phí trả NSNN") *
(Table_ChiPhiKD[Phân bổ từ] &lt; DATE(YEAR(E$2),MONTH(E$2)+1,1))*
(Table_ChiPhiKD[Phân bổ đến] &gt; E$2)
),
1/_xlfn._xlws.FILTER(
ROUND(
(Table_ChiPhiKD[Phân bổ đến]-Table_ChiPhiKD[Phân bổ từ])
/(365.25/12),
0),
(ISBLANK(Table_ChiPhiKD[Tháng])) *
(Table_ChiPhiKD[Nhóm chi phí] = "Thuế, phí &amp; lệ phí trả NSNN") *
(Table_ChiPhiKD[Phân bổ từ] &lt; DATE(YEAR(E$2),MONTH(E$2)+1,1))*
(Table_ChiPhiKD[Phân bổ đến] &gt; E$2))
),
0)</f>
        <v>0</v>
      </c>
      <c r="F29" s="333" cm="1">
        <f t="array" ref="F29">-IFERROR(
SUM(
_xlfn._xlws.FILTER(Table_ChiPhiKD[Giá trị],
(NOT(ISBLANK(Table_ChiPhiKD[Tháng])))*
(Table_ChiPhiKD[Nhóm chi phí] = "Thuế, phí &amp; lệ phí trả NSNN") *
(Table_ChiPhiKD[Kỳ] = F$2)
)),
0)
- IFERROR(
SUMPRODUCT(
_xlfn._xlws.FILTER(Table_ChiPhiKD[Giá trị],
(ISBLANK(Table_ChiPhiKD[Tháng])) *
(Table_ChiPhiKD[Nhóm chi phí] = "Thuế, phí &amp; lệ phí trả NSNN") *
(Table_ChiPhiKD[Phân bổ từ] &lt; DATE(YEAR(F$2),MONTH(F$2)+1,1))*
(Table_ChiPhiKD[Phân bổ đến] &gt; F$2)
),
1/_xlfn._xlws.FILTER(
ROUND(
(Table_ChiPhiKD[Phân bổ đến]-Table_ChiPhiKD[Phân bổ từ])
/(365.25/12),
0),
(ISBLANK(Table_ChiPhiKD[Tháng])) *
(Table_ChiPhiKD[Nhóm chi phí] = "Thuế, phí &amp; lệ phí trả NSNN") *
(Table_ChiPhiKD[Phân bổ từ] &lt; DATE(YEAR(F$2),MONTH(F$2)+1,1))*
(Table_ChiPhiKD[Phân bổ đến] &gt; F$2))
),
0)</f>
        <v>0</v>
      </c>
      <c r="G29" s="333" cm="1">
        <f t="array" ref="G29">-IFERROR(
SUM(
_xlfn._xlws.FILTER(Table_ChiPhiKD[Giá trị],
(NOT(ISBLANK(Table_ChiPhiKD[Tháng])))*
(Table_ChiPhiKD[Nhóm chi phí] = "Thuế, phí &amp; lệ phí trả NSNN") *
(Table_ChiPhiKD[Kỳ] = G$2)
)),
0)
- IFERROR(
SUMPRODUCT(
_xlfn._xlws.FILTER(Table_ChiPhiKD[Giá trị],
(ISBLANK(Table_ChiPhiKD[Tháng])) *
(Table_ChiPhiKD[Nhóm chi phí] = "Thuế, phí &amp; lệ phí trả NSNN") *
(Table_ChiPhiKD[Phân bổ từ] &lt; DATE(YEAR(G$2),MONTH(G$2)+1,1))*
(Table_ChiPhiKD[Phân bổ đến] &gt; G$2)
),
1/_xlfn._xlws.FILTER(
ROUND(
(Table_ChiPhiKD[Phân bổ đến]-Table_ChiPhiKD[Phân bổ từ])
/(365.25/12),
0),
(ISBLANK(Table_ChiPhiKD[Tháng])) *
(Table_ChiPhiKD[Nhóm chi phí] = "Thuế, phí &amp; lệ phí trả NSNN") *
(Table_ChiPhiKD[Phân bổ từ] &lt; DATE(YEAR(G$2),MONTH(G$2)+1,1))*
(Table_ChiPhiKD[Phân bổ đến] &gt; G$2))
),
0)</f>
        <v>0</v>
      </c>
      <c r="H29" s="333" cm="1">
        <f t="array" ref="H29">-IFERROR(
SUM(
_xlfn._xlws.FILTER(Table_ChiPhiKD[Giá trị],
(NOT(ISBLANK(Table_ChiPhiKD[Tháng])))*
(Table_ChiPhiKD[Nhóm chi phí] = "Thuế, phí &amp; lệ phí trả NSNN") *
(Table_ChiPhiKD[Kỳ] = H$2)
)),
0)
- IFERROR(
SUMPRODUCT(
_xlfn._xlws.FILTER(Table_ChiPhiKD[Giá trị],
(ISBLANK(Table_ChiPhiKD[Tháng])) *
(Table_ChiPhiKD[Nhóm chi phí] = "Thuế, phí &amp; lệ phí trả NSNN") *
(Table_ChiPhiKD[Phân bổ từ] &lt; DATE(YEAR(H$2),MONTH(H$2)+1,1))*
(Table_ChiPhiKD[Phân bổ đến] &gt; H$2)
),
1/_xlfn._xlws.FILTER(
ROUND(
(Table_ChiPhiKD[Phân bổ đến]-Table_ChiPhiKD[Phân bổ từ])
/(365.25/12),
0),
(ISBLANK(Table_ChiPhiKD[Tháng])) *
(Table_ChiPhiKD[Nhóm chi phí] = "Thuế, phí &amp; lệ phí trả NSNN") *
(Table_ChiPhiKD[Phân bổ từ] &lt; DATE(YEAR(H$2),MONTH(H$2)+1,1))*
(Table_ChiPhiKD[Phân bổ đến] &gt; H$2))
),
0)</f>
        <v>0</v>
      </c>
      <c r="I29" s="333" cm="1">
        <f t="array" ref="I29">-IFERROR(
SUM(
_xlfn._xlws.FILTER(Table_ChiPhiKD[Giá trị],
(NOT(ISBLANK(Table_ChiPhiKD[Tháng])))*
(Table_ChiPhiKD[Nhóm chi phí] = "Thuế, phí &amp; lệ phí trả NSNN") *
(Table_ChiPhiKD[Kỳ] = I$2)
)),
0)
- IFERROR(
SUMPRODUCT(
_xlfn._xlws.FILTER(Table_ChiPhiKD[Giá trị],
(ISBLANK(Table_ChiPhiKD[Tháng])) *
(Table_ChiPhiKD[Nhóm chi phí] = "Thuế, phí &amp; lệ phí trả NSNN") *
(Table_ChiPhiKD[Phân bổ từ] &lt; DATE(YEAR(I$2),MONTH(I$2)+1,1))*
(Table_ChiPhiKD[Phân bổ đến] &gt; I$2)
),
1/_xlfn._xlws.FILTER(
ROUND(
(Table_ChiPhiKD[Phân bổ đến]-Table_ChiPhiKD[Phân bổ từ])
/(365.25/12),
0),
(ISBLANK(Table_ChiPhiKD[Tháng])) *
(Table_ChiPhiKD[Nhóm chi phí] = "Thuế, phí &amp; lệ phí trả NSNN") *
(Table_ChiPhiKD[Phân bổ từ] &lt; DATE(YEAR(I$2),MONTH(I$2)+1,1))*
(Table_ChiPhiKD[Phân bổ đến] &gt; I$2))
),
0)</f>
        <v>0</v>
      </c>
      <c r="J29" s="333" cm="1">
        <f t="array" ref="J29">-IFERROR(
SUM(
_xlfn._xlws.FILTER(Table_ChiPhiKD[Giá trị],
(NOT(ISBLANK(Table_ChiPhiKD[Tháng])))*
(Table_ChiPhiKD[Nhóm chi phí] = "Thuế, phí &amp; lệ phí trả NSNN") *
(Table_ChiPhiKD[Kỳ] = J$2)
)),
0)
- IFERROR(
SUMPRODUCT(
_xlfn._xlws.FILTER(Table_ChiPhiKD[Giá trị],
(ISBLANK(Table_ChiPhiKD[Tháng])) *
(Table_ChiPhiKD[Nhóm chi phí] = "Thuế, phí &amp; lệ phí trả NSNN") *
(Table_ChiPhiKD[Phân bổ từ] &lt; DATE(YEAR(J$2),MONTH(J$2)+1,1))*
(Table_ChiPhiKD[Phân bổ đến] &gt; J$2)
),
1/_xlfn._xlws.FILTER(
ROUND(
(Table_ChiPhiKD[Phân bổ đến]-Table_ChiPhiKD[Phân bổ từ])
/(365.25/12),
0),
(ISBLANK(Table_ChiPhiKD[Tháng])) *
(Table_ChiPhiKD[Nhóm chi phí] = "Thuế, phí &amp; lệ phí trả NSNN") *
(Table_ChiPhiKD[Phân bổ từ] &lt; DATE(YEAR(J$2),MONTH(J$2)+1,1))*
(Table_ChiPhiKD[Phân bổ đến] &gt; J$2))
),
0)</f>
        <v>0</v>
      </c>
      <c r="K29" s="333" cm="1">
        <f t="array" ref="K29">-IFERROR(
SUM(
_xlfn._xlws.FILTER(Table_ChiPhiKD[Giá trị],
(NOT(ISBLANK(Table_ChiPhiKD[Tháng])))*
(Table_ChiPhiKD[Nhóm chi phí] = "Thuế, phí &amp; lệ phí trả NSNN") *
(Table_ChiPhiKD[Kỳ] = K$2)
)),
0)
- IFERROR(
SUMPRODUCT(
_xlfn._xlws.FILTER(Table_ChiPhiKD[Giá trị],
(ISBLANK(Table_ChiPhiKD[Tháng])) *
(Table_ChiPhiKD[Nhóm chi phí] = "Thuế, phí &amp; lệ phí trả NSNN") *
(Table_ChiPhiKD[Phân bổ từ] &lt; DATE(YEAR(K$2),MONTH(K$2)+1,1))*
(Table_ChiPhiKD[Phân bổ đến] &gt; K$2)
),
1/_xlfn._xlws.FILTER(
ROUND(
(Table_ChiPhiKD[Phân bổ đến]-Table_ChiPhiKD[Phân bổ từ])
/(365.25/12),
0),
(ISBLANK(Table_ChiPhiKD[Tháng])) *
(Table_ChiPhiKD[Nhóm chi phí] = "Thuế, phí &amp; lệ phí trả NSNN") *
(Table_ChiPhiKD[Phân bổ từ] &lt; DATE(YEAR(K$2),MONTH(K$2)+1,1))*
(Table_ChiPhiKD[Phân bổ đến] &gt; K$2))
),
0)</f>
        <v>0</v>
      </c>
      <c r="L29" s="333" cm="1">
        <f t="array" ref="L29">-IFERROR(
SUM(
_xlfn._xlws.FILTER(Table_ChiPhiKD[Giá trị],
(NOT(ISBLANK(Table_ChiPhiKD[Tháng])))*
(Table_ChiPhiKD[Nhóm chi phí] = "Thuế, phí &amp; lệ phí trả NSNN") *
(Table_ChiPhiKD[Kỳ] = L$2)
)),
0)
- IFERROR(
SUMPRODUCT(
_xlfn._xlws.FILTER(Table_ChiPhiKD[Giá trị],
(ISBLANK(Table_ChiPhiKD[Tháng])) *
(Table_ChiPhiKD[Nhóm chi phí] = "Thuế, phí &amp; lệ phí trả NSNN") *
(Table_ChiPhiKD[Phân bổ từ] &lt; DATE(YEAR(L$2),MONTH(L$2)+1,1))*
(Table_ChiPhiKD[Phân bổ đến] &gt; L$2)
),
1/_xlfn._xlws.FILTER(
ROUND(
(Table_ChiPhiKD[Phân bổ đến]-Table_ChiPhiKD[Phân bổ từ])
/(365.25/12),
0),
(ISBLANK(Table_ChiPhiKD[Tháng])) *
(Table_ChiPhiKD[Nhóm chi phí] = "Thuế, phí &amp; lệ phí trả NSNN") *
(Table_ChiPhiKD[Phân bổ từ] &lt; DATE(YEAR(L$2),MONTH(L$2)+1,1))*
(Table_ChiPhiKD[Phân bổ đến] &gt; L$2))
),
0)</f>
        <v>0</v>
      </c>
      <c r="M29" s="333" cm="1">
        <f t="array" ref="M29">-IFERROR(
SUM(
_xlfn._xlws.FILTER(Table_ChiPhiKD[Giá trị],
(NOT(ISBLANK(Table_ChiPhiKD[Tháng])))*
(Table_ChiPhiKD[Nhóm chi phí] = "Thuế, phí &amp; lệ phí trả NSNN") *
(Table_ChiPhiKD[Kỳ] = M$2)
)),
0)
- IFERROR(
SUMPRODUCT(
_xlfn._xlws.FILTER(Table_ChiPhiKD[Giá trị],
(ISBLANK(Table_ChiPhiKD[Tháng])) *
(Table_ChiPhiKD[Nhóm chi phí] = "Thuế, phí &amp; lệ phí trả NSNN") *
(Table_ChiPhiKD[Phân bổ từ] &lt; DATE(YEAR(M$2),MONTH(M$2)+1,1))*
(Table_ChiPhiKD[Phân bổ đến] &gt; M$2)
),
1/_xlfn._xlws.FILTER(
ROUND(
(Table_ChiPhiKD[Phân bổ đến]-Table_ChiPhiKD[Phân bổ từ])
/(365.25/12),
0),
(ISBLANK(Table_ChiPhiKD[Tháng])) *
(Table_ChiPhiKD[Nhóm chi phí] = "Thuế, phí &amp; lệ phí trả NSNN") *
(Table_ChiPhiKD[Phân bổ từ] &lt; DATE(YEAR(M$2),MONTH(M$2)+1,1))*
(Table_ChiPhiKD[Phân bổ đến] &gt; M$2))
),
0)</f>
        <v>0</v>
      </c>
      <c r="N29" s="333" cm="1">
        <f t="array" ref="N29">-IFERROR(
SUM(
_xlfn._xlws.FILTER(Table_ChiPhiKD[Giá trị],
(NOT(ISBLANK(Table_ChiPhiKD[Tháng])))*
(Table_ChiPhiKD[Nhóm chi phí] = "Thuế, phí &amp; lệ phí trả NSNN") *
(Table_ChiPhiKD[Kỳ] = N$2)
)),
0)
- IFERROR(
SUMPRODUCT(
_xlfn._xlws.FILTER(Table_ChiPhiKD[Giá trị],
(ISBLANK(Table_ChiPhiKD[Tháng])) *
(Table_ChiPhiKD[Nhóm chi phí] = "Thuế, phí &amp; lệ phí trả NSNN") *
(Table_ChiPhiKD[Phân bổ từ] &lt; DATE(YEAR(N$2),MONTH(N$2)+1,1))*
(Table_ChiPhiKD[Phân bổ đến] &gt; N$2)
),
1/_xlfn._xlws.FILTER(
ROUND(
(Table_ChiPhiKD[Phân bổ đến]-Table_ChiPhiKD[Phân bổ từ])
/(365.25/12),
0),
(ISBLANK(Table_ChiPhiKD[Tháng])) *
(Table_ChiPhiKD[Nhóm chi phí] = "Thuế, phí &amp; lệ phí trả NSNN") *
(Table_ChiPhiKD[Phân bổ từ] &lt; DATE(YEAR(N$2),MONTH(N$2)+1,1))*
(Table_ChiPhiKD[Phân bổ đến] &gt; N$2))
),
0)</f>
        <v>0</v>
      </c>
      <c r="O29" s="333" cm="1">
        <f t="array" ref="O29">-IFERROR(
SUM(
_xlfn._xlws.FILTER(Table_ChiPhiKD[Giá trị],
(NOT(ISBLANK(Table_ChiPhiKD[Tháng])))*
(Table_ChiPhiKD[Nhóm chi phí] = "Thuế, phí &amp; lệ phí trả NSNN") *
(Table_ChiPhiKD[Kỳ] = O$2)
)),
0)
- IFERROR(
SUMPRODUCT(
_xlfn._xlws.FILTER(Table_ChiPhiKD[Giá trị],
(ISBLANK(Table_ChiPhiKD[Tháng])) *
(Table_ChiPhiKD[Nhóm chi phí] = "Thuế, phí &amp; lệ phí trả NSNN") *
(Table_ChiPhiKD[Phân bổ từ] &lt; DATE(YEAR(O$2),MONTH(O$2)+1,1))*
(Table_ChiPhiKD[Phân bổ đến] &gt; O$2)
),
1/_xlfn._xlws.FILTER(
ROUND(
(Table_ChiPhiKD[Phân bổ đến]-Table_ChiPhiKD[Phân bổ từ])
/(365.25/12),
0),
(ISBLANK(Table_ChiPhiKD[Tháng])) *
(Table_ChiPhiKD[Nhóm chi phí] = "Thuế, phí &amp; lệ phí trả NSNN") *
(Table_ChiPhiKD[Phân bổ từ] &lt; DATE(YEAR(O$2),MONTH(O$2)+1,1))*
(Table_ChiPhiKD[Phân bổ đến] &gt; O$2))
),
0)</f>
        <v>0</v>
      </c>
      <c r="P29" s="326"/>
      <c r="Q29" s="242"/>
      <c r="R29" s="73" t="s">
        <v>300</v>
      </c>
      <c r="S29" s="331" cm="1">
        <f t="array" ref="S29" xml:space="preserve">
-IFERROR(
SUM(
_xlfn._xlws.FILTER(Table_ChiPhiKD[Giá trị],
(NOT(ISBLANK(Table_ChiPhiKD[Tháng])))*
(Table_ChiPhiKD[Nhóm chi phí] = "Thuế, phí &amp; lệ phí trả NSNN") *
(Table_ChiPhiKD[Năm] = S$1)
)),
0)
- IFERROR(
SUMPRODUCT(
_xlfn._xlws.FILTER(Table_ChiPhiKD[Giá trị],
(ISBLANK(Table_ChiPhiKD[Tháng])) *
(Table_ChiPhiKD[Nhóm chi phí] = "Thuế, phí &amp; lệ phí trả NSNN")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"Thuế, phí &amp; lệ phí trả NSNN") *
(Table_ChiPhiKD[Phân bổ từ] &lt; DATE(S$1+1,1,1))*
(Table_ChiPhiKD[Phân bổ đến] &gt; DATE(S$1,1,1))
),
1/_xlfn._xlws.FILTER(
ROUND(
(Table_ChiPhiKD[Phân bổ đến]-Table_ChiPhiKD[Phân bổ từ])
/(365.25/12),
0),
(ISBLANK(Table_ChiPhiKD[Tháng])) *
(Table_ChiPhiKD[Nhóm chi phí] = "Thuế, phí &amp; lệ phí trả NSNN") *
(Table_ChiPhiKD[Phân bổ từ] &lt; DATE(S$1+1,1,1))*
(Table_ChiPhiKD[Phân bổ đến] &gt; DATE(S$1,1,1))
)
),
0)</f>
        <v>0</v>
      </c>
      <c r="T29" s="242"/>
      <c r="U29" s="73" t="s">
        <v>300</v>
      </c>
      <c r="V29" s="333" cm="1">
        <f t="array" ref="V29">-IFERROR(
SUM(
_xlfn._xlws.FILTER(Table_ChiPhiKD[Giá trị],
(NOT(ISBLANK(Table_ChiPhiKD[Tháng])))*
(Table_ChiPhiKD[Nhóm chi phí] = "Thuế, phí &amp; lệ phí trả NSNN") *
(Table_ChiPhiKD[Kỳ] = V$1)
)),
0)
- IFERROR(
SUMPRODUCT(
_xlfn._xlws.FILTER(Table_ChiPhiKD[Giá trị],
(ISBLANK(Table_ChiPhiKD[Tháng])) *
(Table_ChiPhiKD[Nhóm chi phí] = "Thuế, phí &amp; lệ phí trả NSNN") *
(Table_ChiPhiKD[Phân bổ từ] &lt; DATE(YEAR(V$1),MONTH(V$1)+1,1))*
(Table_ChiPhiKD[Phân bổ đến] &gt; V$1)
),
1/_xlfn._xlws.FILTER(
ROUND(
(Table_ChiPhiKD[Phân bổ đến]-Table_ChiPhiKD[Phân bổ từ])
/(365.25/12),
0),
(ISBLANK(Table_ChiPhiKD[Tháng])) *
(Table_ChiPhiKD[Nhóm chi phí] = "Thuế, phí &amp; lệ phí trả NSNN") *
(Table_ChiPhiKD[Phân bổ từ] &lt; DATE(YEAR(V$1),MONTH(V$1)+1,1))*
(Table_ChiPhiKD[Phân bổ đến] &gt; V$1))
),
0)</f>
        <v>0</v>
      </c>
    </row>
    <row r="30" spans="2:22" ht="18" customHeight="1" outlineLevel="2" x14ac:dyDescent="0.3">
      <c r="B30" s="73" t="s">
        <v>299</v>
      </c>
      <c r="C30" s="331" cm="1">
        <f t="array" ref="C30" xml:space="preserve">
-IFERROR(
SUM(
_xlfn._xlws.FILTER(Table_ChiPhiKD[Giá trị],
(NOT(ISBLANK(Table_ChiPhiKD[Tháng])))*
(RIGHT(Table_ChiPhiKD[Nhóm chi phí],4) = "khác") *
(Table_ChiPhiKD[Năm] = C$2)
)),
0)
- IFERROR(
SUMPRODUCT(
_xlfn._xlws.FILTER(Table_ChiPhiKD[Giá trị],
(ISBLANK(Table_ChiPhiKD[Tháng])) *
(RIGHT(Table_ChiPhiKD[Nhóm chi phí],4) = "khác")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(RIGHT(Table_ChiPhiKD[Nhóm chi phí],4) = "khác") *
(Table_ChiPhiKD[Phân bổ từ] &lt; DATE(C$2+1,1,1))*
(Table_ChiPhiKD[Phân bổ đến] &gt; DATE(C$2,1,1))
),
1/_xlfn._xlws.FILTER(
ROUND(
(Table_ChiPhiKD[Phân bổ đến]-Table_ChiPhiKD[Phân bổ từ])
/(365.25/12),
0),
(ISBLANK(Table_ChiPhiKD[Tháng])) *
(RIGHT(Table_ChiPhiKD[Nhóm chi phí],4) = "khác") *
(Table_ChiPhiKD[Phân bổ từ] &lt; DATE(C$2+1,1,1))*
(Table_ChiPhiKD[Phân bổ đến] &gt; DATE(C$2,1,1))
)
),
0)</f>
        <v>0</v>
      </c>
      <c r="D30" s="331" cm="1">
        <f t="array" ref="D30">-IFERROR(
SUM(
_xlfn._xlws.FILTER(Table_ChiPhiKD[Giá trị],
(NOT(ISBLANK(Table_ChiPhiKD[Tháng])))*
(RIGHT(Table_ChiPhiKD[Nhóm chi phí],4) = "khác") *
(Table_ChiPhiKD[Kỳ] = D$2)
)),
0)
- IFERROR(
SUMPRODUCT(
_xlfn._xlws.FILTER(Table_ChiPhiKD[Giá trị],
(ISBLANK(Table_ChiPhiKD[Tháng])) *
(RIGHT(Table_ChiPhiKD[Nhóm chi phí],4) = "khác") *
(Table_ChiPhiKD[Phân bổ từ] &lt; DATE(YEAR(D$2),MONTH(D$2)+1,1))*
(Table_ChiPhiKD[Phân bổ đến] &gt; D$2)
),
1/_xlfn._xlws.FILTER(
ROUND(
(Table_ChiPhiKD[Phân bổ đến]-Table_ChiPhiKD[Phân bổ từ])
/(365.25/12),
0),
(ISBLANK(Table_ChiPhiKD[Tháng])) *
(RIGHT(Table_ChiPhiKD[Nhóm chi phí],4) = "khác") *
(Table_ChiPhiKD[Phân bổ từ] &lt; DATE(YEAR(D$2),MONTH(D$2)+1,1))*
(Table_ChiPhiKD[Phân bổ đến] &gt; D$2))
),
0)</f>
        <v>0</v>
      </c>
      <c r="E30" s="331" cm="1">
        <f t="array" ref="E30">-IFERROR(
SUM(
_xlfn._xlws.FILTER(Table_ChiPhiKD[Giá trị],
(NOT(ISBLANK(Table_ChiPhiKD[Tháng])))*
(RIGHT(Table_ChiPhiKD[Nhóm chi phí],4) = "khác") *
(Table_ChiPhiKD[Kỳ] = E$2)
)),
0)
- IFERROR(
SUMPRODUCT(
_xlfn._xlws.FILTER(Table_ChiPhiKD[Giá trị],
(ISBLANK(Table_ChiPhiKD[Tháng])) *
(RIGHT(Table_ChiPhiKD[Nhóm chi phí],4) = "khác") *
(Table_ChiPhiKD[Phân bổ từ] &lt; DATE(YEAR(E$2),MONTH(E$2)+1,1))*
(Table_ChiPhiKD[Phân bổ đến] &gt; E$2)
),
1/_xlfn._xlws.FILTER(
ROUND(
(Table_ChiPhiKD[Phân bổ đến]-Table_ChiPhiKD[Phân bổ từ])
/(365.25/12),
0),
(ISBLANK(Table_ChiPhiKD[Tháng])) *
(RIGHT(Table_ChiPhiKD[Nhóm chi phí],4) = "khác") *
(Table_ChiPhiKD[Phân bổ từ] &lt; DATE(YEAR(E$2),MONTH(E$2)+1,1))*
(Table_ChiPhiKD[Phân bổ đến] &gt; E$2))
),
0)</f>
        <v>0</v>
      </c>
      <c r="F30" s="331" cm="1">
        <f t="array" ref="F30">-IFERROR(
SUM(
_xlfn._xlws.FILTER(Table_ChiPhiKD[Giá trị],
(NOT(ISBLANK(Table_ChiPhiKD[Tháng])))*
(RIGHT(Table_ChiPhiKD[Nhóm chi phí],4) = "khác") *
(Table_ChiPhiKD[Kỳ] = F$2)
)),
0)
- IFERROR(
SUMPRODUCT(
_xlfn._xlws.FILTER(Table_ChiPhiKD[Giá trị],
(ISBLANK(Table_ChiPhiKD[Tháng])) *
(RIGHT(Table_ChiPhiKD[Nhóm chi phí],4) = "khác") *
(Table_ChiPhiKD[Phân bổ từ] &lt; DATE(YEAR(F$2),MONTH(F$2)+1,1))*
(Table_ChiPhiKD[Phân bổ đến] &gt; F$2)
),
1/_xlfn._xlws.FILTER(
ROUND(
(Table_ChiPhiKD[Phân bổ đến]-Table_ChiPhiKD[Phân bổ từ])
/(365.25/12),
0),
(ISBLANK(Table_ChiPhiKD[Tháng])) *
(RIGHT(Table_ChiPhiKD[Nhóm chi phí],4) = "khác") *
(Table_ChiPhiKD[Phân bổ từ] &lt; DATE(YEAR(F$2),MONTH(F$2)+1,1))*
(Table_ChiPhiKD[Phân bổ đến] &gt; F$2))
),
0)</f>
        <v>0</v>
      </c>
      <c r="G30" s="331" cm="1">
        <f t="array" ref="G30">-IFERROR(
SUM(
_xlfn._xlws.FILTER(Table_ChiPhiKD[Giá trị],
(NOT(ISBLANK(Table_ChiPhiKD[Tháng])))*
(RIGHT(Table_ChiPhiKD[Nhóm chi phí],4) = "khác") *
(Table_ChiPhiKD[Kỳ] = G$2)
)),
0)
- IFERROR(
SUMPRODUCT(
_xlfn._xlws.FILTER(Table_ChiPhiKD[Giá trị],
(ISBLANK(Table_ChiPhiKD[Tháng])) *
(RIGHT(Table_ChiPhiKD[Nhóm chi phí],4) = "khác") *
(Table_ChiPhiKD[Phân bổ từ] &lt; DATE(YEAR(G$2),MONTH(G$2)+1,1))*
(Table_ChiPhiKD[Phân bổ đến] &gt; G$2)
),
1/_xlfn._xlws.FILTER(
ROUND(
(Table_ChiPhiKD[Phân bổ đến]-Table_ChiPhiKD[Phân bổ từ])
/(365.25/12),
0),
(ISBLANK(Table_ChiPhiKD[Tháng])) *
(RIGHT(Table_ChiPhiKD[Nhóm chi phí],4) = "khác") *
(Table_ChiPhiKD[Phân bổ từ] &lt; DATE(YEAR(G$2),MONTH(G$2)+1,1))*
(Table_ChiPhiKD[Phân bổ đến] &gt; G$2))
),
0)</f>
        <v>0</v>
      </c>
      <c r="H30" s="331" cm="1">
        <f t="array" ref="H30">-IFERROR(
SUM(
_xlfn._xlws.FILTER(Table_ChiPhiKD[Giá trị],
(NOT(ISBLANK(Table_ChiPhiKD[Tháng])))*
(RIGHT(Table_ChiPhiKD[Nhóm chi phí],4) = "khác") *
(Table_ChiPhiKD[Kỳ] = H$2)
)),
0)
- IFERROR(
SUMPRODUCT(
_xlfn._xlws.FILTER(Table_ChiPhiKD[Giá trị],
(ISBLANK(Table_ChiPhiKD[Tháng])) *
(RIGHT(Table_ChiPhiKD[Nhóm chi phí],4) = "khác") *
(Table_ChiPhiKD[Phân bổ từ] &lt; DATE(YEAR(H$2),MONTH(H$2)+1,1))*
(Table_ChiPhiKD[Phân bổ đến] &gt; H$2)
),
1/_xlfn._xlws.FILTER(
ROUND(
(Table_ChiPhiKD[Phân bổ đến]-Table_ChiPhiKD[Phân bổ từ])
/(365.25/12),
0),
(ISBLANK(Table_ChiPhiKD[Tháng])) *
(RIGHT(Table_ChiPhiKD[Nhóm chi phí],4) = "khác") *
(Table_ChiPhiKD[Phân bổ từ] &lt; DATE(YEAR(H$2),MONTH(H$2)+1,1))*
(Table_ChiPhiKD[Phân bổ đến] &gt; H$2))
),
0)</f>
        <v>0</v>
      </c>
      <c r="I30" s="331" cm="1">
        <f t="array" ref="I30">-IFERROR(
SUM(
_xlfn._xlws.FILTER(Table_ChiPhiKD[Giá trị],
(NOT(ISBLANK(Table_ChiPhiKD[Tháng])))*
(RIGHT(Table_ChiPhiKD[Nhóm chi phí],4) = "khác") *
(Table_ChiPhiKD[Kỳ] = I$2)
)),
0)
- IFERROR(
SUMPRODUCT(
_xlfn._xlws.FILTER(Table_ChiPhiKD[Giá trị],
(ISBLANK(Table_ChiPhiKD[Tháng])) *
(RIGHT(Table_ChiPhiKD[Nhóm chi phí],4) = "khác") *
(Table_ChiPhiKD[Phân bổ từ] &lt; DATE(YEAR(I$2),MONTH(I$2)+1,1))*
(Table_ChiPhiKD[Phân bổ đến] &gt; I$2)
),
1/_xlfn._xlws.FILTER(
ROUND(
(Table_ChiPhiKD[Phân bổ đến]-Table_ChiPhiKD[Phân bổ từ])
/(365.25/12),
0),
(ISBLANK(Table_ChiPhiKD[Tháng])) *
(RIGHT(Table_ChiPhiKD[Nhóm chi phí],4) = "khác") *
(Table_ChiPhiKD[Phân bổ từ] &lt; DATE(YEAR(I$2),MONTH(I$2)+1,1))*
(Table_ChiPhiKD[Phân bổ đến] &gt; I$2))
),
0)</f>
        <v>0</v>
      </c>
      <c r="J30" s="331" cm="1">
        <f t="array" ref="J30">-IFERROR(
SUM(
_xlfn._xlws.FILTER(Table_ChiPhiKD[Giá trị],
(NOT(ISBLANK(Table_ChiPhiKD[Tháng])))*
(RIGHT(Table_ChiPhiKD[Nhóm chi phí],4) = "khác") *
(Table_ChiPhiKD[Kỳ] = J$2)
)),
0)
- IFERROR(
SUMPRODUCT(
_xlfn._xlws.FILTER(Table_ChiPhiKD[Giá trị],
(ISBLANK(Table_ChiPhiKD[Tháng])) *
(RIGHT(Table_ChiPhiKD[Nhóm chi phí],4) = "khác") *
(Table_ChiPhiKD[Phân bổ từ] &lt; DATE(YEAR(J$2),MONTH(J$2)+1,1))*
(Table_ChiPhiKD[Phân bổ đến] &gt; J$2)
),
1/_xlfn._xlws.FILTER(
ROUND(
(Table_ChiPhiKD[Phân bổ đến]-Table_ChiPhiKD[Phân bổ từ])
/(365.25/12),
0),
(ISBLANK(Table_ChiPhiKD[Tháng])) *
(RIGHT(Table_ChiPhiKD[Nhóm chi phí],4) = "khác") *
(Table_ChiPhiKD[Phân bổ từ] &lt; DATE(YEAR(J$2),MONTH(J$2)+1,1))*
(Table_ChiPhiKD[Phân bổ đến] &gt; J$2))
),
0)</f>
        <v>0</v>
      </c>
      <c r="K30" s="331" cm="1">
        <f t="array" ref="K30">-IFERROR(
SUM(
_xlfn._xlws.FILTER(Table_ChiPhiKD[Giá trị],
(NOT(ISBLANK(Table_ChiPhiKD[Tháng])))*
(RIGHT(Table_ChiPhiKD[Nhóm chi phí],4) = "khác") *
(Table_ChiPhiKD[Kỳ] = K$2)
)),
0)
- IFERROR(
SUMPRODUCT(
_xlfn._xlws.FILTER(Table_ChiPhiKD[Giá trị],
(ISBLANK(Table_ChiPhiKD[Tháng])) *
(RIGHT(Table_ChiPhiKD[Nhóm chi phí],4) = "khác") *
(Table_ChiPhiKD[Phân bổ từ] &lt; DATE(YEAR(K$2),MONTH(K$2)+1,1))*
(Table_ChiPhiKD[Phân bổ đến] &gt; K$2)
),
1/_xlfn._xlws.FILTER(
ROUND(
(Table_ChiPhiKD[Phân bổ đến]-Table_ChiPhiKD[Phân bổ từ])
/(365.25/12),
0),
(ISBLANK(Table_ChiPhiKD[Tháng])) *
(RIGHT(Table_ChiPhiKD[Nhóm chi phí],4) = "khác") *
(Table_ChiPhiKD[Phân bổ từ] &lt; DATE(YEAR(K$2),MONTH(K$2)+1,1))*
(Table_ChiPhiKD[Phân bổ đến] &gt; K$2))
),
0)</f>
        <v>0</v>
      </c>
      <c r="L30" s="331" cm="1">
        <f t="array" ref="L30">-IFERROR(
SUM(
_xlfn._xlws.FILTER(Table_ChiPhiKD[Giá trị],
(NOT(ISBLANK(Table_ChiPhiKD[Tháng])))*
(RIGHT(Table_ChiPhiKD[Nhóm chi phí],4) = "khác") *
(Table_ChiPhiKD[Kỳ] = L$2)
)),
0)
- IFERROR(
SUMPRODUCT(
_xlfn._xlws.FILTER(Table_ChiPhiKD[Giá trị],
(ISBLANK(Table_ChiPhiKD[Tháng])) *
(RIGHT(Table_ChiPhiKD[Nhóm chi phí],4) = "khác") *
(Table_ChiPhiKD[Phân bổ từ] &lt; DATE(YEAR(L$2),MONTH(L$2)+1,1))*
(Table_ChiPhiKD[Phân bổ đến] &gt; L$2)
),
1/_xlfn._xlws.FILTER(
ROUND(
(Table_ChiPhiKD[Phân bổ đến]-Table_ChiPhiKD[Phân bổ từ])
/(365.25/12),
0),
(ISBLANK(Table_ChiPhiKD[Tháng])) *
(RIGHT(Table_ChiPhiKD[Nhóm chi phí],4) = "khác") *
(Table_ChiPhiKD[Phân bổ từ] &lt; DATE(YEAR(L$2),MONTH(L$2)+1,1))*
(Table_ChiPhiKD[Phân bổ đến] &gt; L$2))
),
0)</f>
        <v>0</v>
      </c>
      <c r="M30" s="331" cm="1">
        <f t="array" ref="M30">-IFERROR(
SUM(
_xlfn._xlws.FILTER(Table_ChiPhiKD[Giá trị],
(NOT(ISBLANK(Table_ChiPhiKD[Tháng])))*
(RIGHT(Table_ChiPhiKD[Nhóm chi phí],4) = "khác") *
(Table_ChiPhiKD[Kỳ] = M$2)
)),
0)
- IFERROR(
SUMPRODUCT(
_xlfn._xlws.FILTER(Table_ChiPhiKD[Giá trị],
(ISBLANK(Table_ChiPhiKD[Tháng])) *
(RIGHT(Table_ChiPhiKD[Nhóm chi phí],4) = "khác") *
(Table_ChiPhiKD[Phân bổ từ] &lt; DATE(YEAR(M$2),MONTH(M$2)+1,1))*
(Table_ChiPhiKD[Phân bổ đến] &gt; M$2)
),
1/_xlfn._xlws.FILTER(
ROUND(
(Table_ChiPhiKD[Phân bổ đến]-Table_ChiPhiKD[Phân bổ từ])
/(365.25/12),
0),
(ISBLANK(Table_ChiPhiKD[Tháng])) *
(RIGHT(Table_ChiPhiKD[Nhóm chi phí],4) = "khác") *
(Table_ChiPhiKD[Phân bổ từ] &lt; DATE(YEAR(M$2),MONTH(M$2)+1,1))*
(Table_ChiPhiKD[Phân bổ đến] &gt; M$2))
),
0)</f>
        <v>0</v>
      </c>
      <c r="N30" s="331" cm="1">
        <f t="array" ref="N30">-IFERROR(
SUM(
_xlfn._xlws.FILTER(Table_ChiPhiKD[Giá trị],
(NOT(ISBLANK(Table_ChiPhiKD[Tháng])))*
(RIGHT(Table_ChiPhiKD[Nhóm chi phí],4) = "khác") *
(Table_ChiPhiKD[Kỳ] = N$2)
)),
0)
- IFERROR(
SUMPRODUCT(
_xlfn._xlws.FILTER(Table_ChiPhiKD[Giá trị],
(ISBLANK(Table_ChiPhiKD[Tháng])) *
(RIGHT(Table_ChiPhiKD[Nhóm chi phí],4) = "khác") *
(Table_ChiPhiKD[Phân bổ từ] &lt; DATE(YEAR(N$2),MONTH(N$2)+1,1))*
(Table_ChiPhiKD[Phân bổ đến] &gt; N$2)
),
1/_xlfn._xlws.FILTER(
ROUND(
(Table_ChiPhiKD[Phân bổ đến]-Table_ChiPhiKD[Phân bổ từ])
/(365.25/12),
0),
(ISBLANK(Table_ChiPhiKD[Tháng])) *
(RIGHT(Table_ChiPhiKD[Nhóm chi phí],4) = "khác") *
(Table_ChiPhiKD[Phân bổ từ] &lt; DATE(YEAR(N$2),MONTH(N$2)+1,1))*
(Table_ChiPhiKD[Phân bổ đến] &gt; N$2))
),
0)</f>
        <v>0</v>
      </c>
      <c r="O30" s="331" cm="1">
        <f t="array" ref="O30">-IFERROR(
SUM(
_xlfn._xlws.FILTER(Table_ChiPhiKD[Giá trị],
(NOT(ISBLANK(Table_ChiPhiKD[Tháng])))*
(RIGHT(Table_ChiPhiKD[Nhóm chi phí],4) = "khác") *
(Table_ChiPhiKD[Kỳ] = O$2)
)),
0)
- IFERROR(
SUMPRODUCT(
_xlfn._xlws.FILTER(Table_ChiPhiKD[Giá trị],
(ISBLANK(Table_ChiPhiKD[Tháng])) *
(RIGHT(Table_ChiPhiKD[Nhóm chi phí],4) = "khác") *
(Table_ChiPhiKD[Phân bổ từ] &lt; DATE(YEAR(O$2),MONTH(O$2)+1,1))*
(Table_ChiPhiKD[Phân bổ đến] &gt; O$2)
),
1/_xlfn._xlws.FILTER(
ROUND(
(Table_ChiPhiKD[Phân bổ đến]-Table_ChiPhiKD[Phân bổ từ])
/(365.25/12),
0),
(ISBLANK(Table_ChiPhiKD[Tháng])) *
(RIGHT(Table_ChiPhiKD[Nhóm chi phí],4) = "khác") *
(Table_ChiPhiKD[Phân bổ từ] &lt; DATE(YEAR(O$2),MONTH(O$2)+1,1))*
(Table_ChiPhiKD[Phân bổ đến] &gt; O$2))
),
0)</f>
        <v>0</v>
      </c>
      <c r="P30" s="326"/>
      <c r="Q30" s="242"/>
      <c r="R30" s="73" t="s">
        <v>299</v>
      </c>
      <c r="S30" s="331" cm="1">
        <f t="array" ref="S30" xml:space="preserve">
-IFERROR(
SUM(
_xlfn._xlws.FILTER(Table_ChiPhiKD[Giá trị],
(NOT(ISBLANK(Table_ChiPhiKD[Tháng])))*
(RIGHT(Table_ChiPhiKD[Nhóm chi phí],4) = "khác") *
(Table_ChiPhiKD[Năm] = S$1)
)),
0)
- IFERROR(
SUMPRODUCT(
_xlfn._xlws.FILTER(Table_ChiPhiKD[Giá trị],
(ISBLANK(Table_ChiPhiKD[Tháng])) *
(RIGHT(Table_ChiPhiKD[Nhóm chi phí],4) = "khác")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(RIGHT(Table_ChiPhiKD[Nhóm chi phí],4) = "khác") *
(Table_ChiPhiKD[Phân bổ từ] &lt; DATE(S$1+1,1,1))*
(Table_ChiPhiKD[Phân bổ đến] &gt; DATE(S$1,1,1))
),
1/_xlfn._xlws.FILTER(
ROUND(
(Table_ChiPhiKD[Phân bổ đến]-Table_ChiPhiKD[Phân bổ từ])
/(365.25/12),
0),
(ISBLANK(Table_ChiPhiKD[Tháng])) *
(RIGHT(Table_ChiPhiKD[Nhóm chi phí],4) = "khác") *
(Table_ChiPhiKD[Phân bổ từ] &lt; DATE(S$1+1,1,1))*
(Table_ChiPhiKD[Phân bổ đến] &gt; DATE(S$1,1,1))
)
),
0)</f>
        <v>0</v>
      </c>
      <c r="T30" s="242"/>
      <c r="U30" s="73" t="s">
        <v>299</v>
      </c>
      <c r="V30" s="331" cm="1">
        <f t="array" ref="V30">-IFERROR(
SUM(
_xlfn._xlws.FILTER(Table_ChiPhiKD[Giá trị],
(NOT(ISBLANK(Table_ChiPhiKD[Tháng])))*
(RIGHT(Table_ChiPhiKD[Nhóm chi phí],4) = "khác") *
(Table_ChiPhiKD[Kỳ] = V$1)
)),
0)
- IFERROR(
SUMPRODUCT(
_xlfn._xlws.FILTER(Table_ChiPhiKD[Giá trị],
(ISBLANK(Table_ChiPhiKD[Tháng])) *
(RIGHT(Table_ChiPhiKD[Nhóm chi phí],4) = "khác") *
(Table_ChiPhiKD[Phân bổ từ] &lt; DATE(YEAR(V$1),MONTH(V$1)+1,1))*
(Table_ChiPhiKD[Phân bổ đến] &gt; V$1)
),
1/_xlfn._xlws.FILTER(
ROUND(
(Table_ChiPhiKD[Phân bổ đến]-Table_ChiPhiKD[Phân bổ từ])
/(365.25/12),
0),
(ISBLANK(Table_ChiPhiKD[Tháng])) *
(RIGHT(Table_ChiPhiKD[Nhóm chi phí],4) = "khác") *
(Table_ChiPhiKD[Phân bổ từ] &lt; DATE(YEAR(V$1),MONTH(V$1)+1,1))*
(Table_ChiPhiKD[Phân bổ đến] &gt; V$1))
),
0)</f>
        <v>0</v>
      </c>
    </row>
    <row r="31" spans="2:22" ht="18" customHeight="1" outlineLevel="1" x14ac:dyDescent="0.3">
      <c r="B31" s="87" t="s">
        <v>301</v>
      </c>
      <c r="C31" s="334">
        <f t="shared" ref="C31:O31" si="9">+C19+C21</f>
        <v>0</v>
      </c>
      <c r="D31" s="334">
        <f t="shared" si="9"/>
        <v>0</v>
      </c>
      <c r="E31" s="334">
        <f t="shared" si="9"/>
        <v>0</v>
      </c>
      <c r="F31" s="334">
        <f t="shared" si="9"/>
        <v>0</v>
      </c>
      <c r="G31" s="334">
        <f t="shared" si="9"/>
        <v>0</v>
      </c>
      <c r="H31" s="334">
        <f t="shared" si="9"/>
        <v>0</v>
      </c>
      <c r="I31" s="334">
        <f t="shared" si="9"/>
        <v>0</v>
      </c>
      <c r="J31" s="334">
        <f t="shared" si="9"/>
        <v>0</v>
      </c>
      <c r="K31" s="334">
        <f t="shared" si="9"/>
        <v>0</v>
      </c>
      <c r="L31" s="334">
        <f t="shared" si="9"/>
        <v>0</v>
      </c>
      <c r="M31" s="334">
        <f t="shared" si="9"/>
        <v>0</v>
      </c>
      <c r="N31" s="334">
        <f t="shared" si="9"/>
        <v>0</v>
      </c>
      <c r="O31" s="334">
        <f t="shared" si="9"/>
        <v>0</v>
      </c>
      <c r="P31" s="326"/>
      <c r="Q31" s="242"/>
      <c r="R31" s="87" t="s">
        <v>301</v>
      </c>
      <c r="S31" s="104">
        <f>+S19+S21</f>
        <v>0</v>
      </c>
      <c r="T31" s="242"/>
      <c r="U31" s="87" t="s">
        <v>301</v>
      </c>
      <c r="V31" s="104">
        <f>+V19+V21</f>
        <v>0</v>
      </c>
    </row>
    <row r="32" spans="2:22" ht="18" customHeight="1" outlineLevel="1" x14ac:dyDescent="0.3">
      <c r="B32" s="87" t="s">
        <v>302</v>
      </c>
      <c r="C32" s="128">
        <f>C31/(-(C13+C14+C22+C23+C24+C25+C26+C28+C29+C30) +
(
+ IFERROR(HLOOKUP(C$2,Table_BCTC_Nam[],Sheet_BaoCaoTaiChinh!$A$96,0),Sheet_BaoCaoTaiChinh!$D$96)
+ IFERROR(HLOOKUP(C$2,Table_BCTC_Nam[],Sheet_BaoCaoTaiChinh!$A$87,0),Sheet_BaoCaoTaiChinh!$D$87)
+ IFERROR(HLOOKUP(C$2,Table_BCTC_Nam[],Sheet_BaoCaoTaiChinh!$A$81,0),Sheet_BaoCaoTaiChinh!$D$81)
+ IFERROR(HLOOKUP(C$2,Table_BCTC_Nam[],Sheet_BaoCaoTaiChinh!$A$82,0),Sheet_BaoCaoTaiChinh!$D$82)
+ IFERROR(HLOOKUP(C$2,Table_BCTC_Nam[],Sheet_BaoCaoTaiChinh!$A$83,0),Sheet_BaoCaoTaiChinh!$D$83)
+ IFERROR(HLOOKUP(C$2,Table_BCTC_Nam[],Sheet_BaoCaoTaiChinh!$A$92,0),Sheet_BaoCaoTaiChinh!$D$92)
+ IFERROR(HLOOKUP(C$2,Table_BCTC_Nam[],Sheet_BaoCaoTaiChinh!$A$93,0),Sheet_BaoCaoTaiChinh!$D$93)
+ IFERROR(HLOOKUP(C$2,Table_BCTC_Nam[],Sheet_BaoCaoTaiChinh!$A$94,0),Sheet_BaoCaoTaiChinh!$D$94)
+ IFERROR(HLOOKUP(C$2-1,Table_BCTC_Nam[],Sheet_BaoCaoTaiChinh!$A$96,0),Sheet_BaoCaoTaiChinh!$D$96)
+ IFERROR(HLOOKUP(C$2-1,Table_BCTC_Nam[],Sheet_BaoCaoTaiChinh!$A$87,0),Sheet_BaoCaoTaiChinh!$D$87)
+ IFERROR(HLOOKUP(C$2-1,Table_BCTC_Nam[],Sheet_BaoCaoTaiChinh!$A$81,0),Sheet_BaoCaoTaiChinh!$D$81)
+ IFERROR(HLOOKUP(C$2-1,Table_BCTC_Nam[],Sheet_BaoCaoTaiChinh!$A$82,0),Sheet_BaoCaoTaiChinh!$D$82)
+ IFERROR(HLOOKUP(C$2-1,Table_BCTC_Nam[],Sheet_BaoCaoTaiChinh!$A$83,0),Sheet_BaoCaoTaiChinh!$D$83)
+ IFERROR(HLOOKUP(C$2-1,Table_BCTC_Nam[],Sheet_BaoCaoTaiChinh!$A$92,0),Sheet_BaoCaoTaiChinh!$D$92)
+ IFERROR(HLOOKUP(C$2-1,Table_BCTC_Nam[],Sheet_BaoCaoTaiChinh!$A$93,0),Sheet_BaoCaoTaiChinh!$D$93)
+ IFERROR(HLOOKUP(C$2-1,Table_BCTC_Nam[],Sheet_BaoCaoTaiChinh!$A$94,0),Sheet_BaoCaoTaiChinh!$D$94)
)/2)</f>
        <v>0</v>
      </c>
      <c r="D32" s="128">
        <f>D31/(-(D13+D14+D22+D23+D24+D25+D26+D28+D29+D30)+
((
+ IFERROR(HLOOKUP(D$2,Table_BCTC_Thang[],Sheet_BaoCaoTaiChinh!$A$96,0),Sheet_BaoCaoTaiChinh!$D$96)
+ IFERROR(HLOOKUP(D$2,Table_BCTC_Thang[],Sheet_BaoCaoTaiChinh!$A$87,0),Sheet_BaoCaoTaiChinh!$D$87)
+ IFERROR(HLOOKUP(D$2,Table_BCTC_Thang[],Sheet_BaoCaoTaiChinh!$A$81,0),Sheet_BaoCaoTaiChinh!$D$81)
+ IFERROR(HLOOKUP(D$2,Table_BCTC_Thang[],Sheet_BaoCaoTaiChinh!$A$82,0),Sheet_BaoCaoTaiChinh!$D$82)
+ IFERROR(HLOOKUP(D$2,Table_BCTC_Thang[],Sheet_BaoCaoTaiChinh!$A$83,0),Sheet_BaoCaoTaiChinh!$D$83)
+ IFERROR(HLOOKUP(D$2,Table_BCTC_Thang[],Sheet_BaoCaoTaiChinh!$A$92,0),Sheet_BaoCaoTaiChinh!$D$92)
+ IFERROR(HLOOKUP(D$2,Table_BCTC_Thang[],Sheet_BaoCaoTaiChinh!$A$93,0),Sheet_BaoCaoTaiChinh!$D$93)
+ IFERROR(HLOOKUP(D$2,Table_BCTC_Thang[],Sheet_BaoCaoTaiChinh!$A$94,0),Sheet_BaoCaoTaiChinh!$D$94)
+ IFERROR(HLOOKUP(DATE(YEAR(D$2),MONTH(D$2)-1,1),Table_BCTC_Thang[],Sheet_BaoCaoTaiChinh!$A$96,0),Sheet_BaoCaoTaiChinh!$D$96)
+ IFERROR(HLOOKUP(DATE(YEAR(D$2),MONTH(D$2)-1,1),Table_BCTC_Nam[],Sheet_BaoCaoTaiChinh!$A$87,0),Sheet_BaoCaoTaiChinh!$D$87)
+ IFERROR(HLOOKUP(DATE(YEAR(D$2),MONTH(D$2)-1,1),Table_BCTC_Nam[],Sheet_BaoCaoTaiChinh!$A$81,0),Sheet_BaoCaoTaiChinh!$D$81)
+ IFERROR(HLOOKUP(DATE(YEAR(D$2),MONTH(D$2)-1,1),Table_BCTC_Nam[],Sheet_BaoCaoTaiChinh!$A$82,0),Sheet_BaoCaoTaiChinh!$D$82)
+ IFERROR(HLOOKUP(DATE(YEAR(D$2),MONTH(D$2)-1,1),Table_BCTC_Nam[],Sheet_BaoCaoTaiChinh!$A$83,0),Sheet_BaoCaoTaiChinh!$D$83)
+ IFERROR(HLOOKUP(DATE(YEAR(D$2),MONTH(D$2)-1,1),Table_BCTC_Nam[],Sheet_BaoCaoTaiChinh!$A$92,0),Sheet_BaoCaoTaiChinh!$D$92)
+ IFERROR(HLOOKUP(DATE(YEAR(D$2),MONTH(D$2)-1,1),Table_BCTC_Nam[],Sheet_BaoCaoTaiChinh!$A$93,0),Sheet_BaoCaoTaiChinh!$D$93)
+ IFERROR(HLOOKUP(DATE(YEAR(D$2),MONTH(D$2)-1,1),Table_BCTC_Nam[],Sheet_BaoCaoTaiChinh!$A$94,0),Sheet_BaoCaoTaiChinh!$D$94)
)/2))</f>
        <v>0</v>
      </c>
      <c r="E32" s="128">
        <f>E31/(-(E13+E14+E22+E23+E24+E25+E26+E28+E29+E30)+
((
+ IFERROR(HLOOKUP(E$2,Table_BCTC_Thang[],Sheet_BaoCaoTaiChinh!$A$96,0),Sheet_BaoCaoTaiChinh!$D$96)
+ IFERROR(HLOOKUP(E$2,Table_BCTC_Thang[],Sheet_BaoCaoTaiChinh!$A$87,0),Sheet_BaoCaoTaiChinh!$D$87)
+ IFERROR(HLOOKUP(E$2,Table_BCTC_Thang[],Sheet_BaoCaoTaiChinh!$A$81,0),Sheet_BaoCaoTaiChinh!$D$81)
+ IFERROR(HLOOKUP(E$2,Table_BCTC_Thang[],Sheet_BaoCaoTaiChinh!$A$82,0),Sheet_BaoCaoTaiChinh!$D$82)
+ IFERROR(HLOOKUP(E$2,Table_BCTC_Thang[],Sheet_BaoCaoTaiChinh!$A$83,0),Sheet_BaoCaoTaiChinh!$D$83)
+ IFERROR(HLOOKUP(E$2,Table_BCTC_Thang[],Sheet_BaoCaoTaiChinh!$A$92,0),Sheet_BaoCaoTaiChinh!$D$92)
+ IFERROR(HLOOKUP(E$2,Table_BCTC_Thang[],Sheet_BaoCaoTaiChinh!$A$93,0),Sheet_BaoCaoTaiChinh!$D$93)
+ IFERROR(HLOOKUP(E$2,Table_BCTC_Thang[],Sheet_BaoCaoTaiChinh!$A$94,0),Sheet_BaoCaoTaiChinh!$D$94)
+ IFERROR(HLOOKUP(DATE(YEAR(E$2),MONTH(E$2)-1,1),Table_BCTC_Thang[],Sheet_BaoCaoTaiChinh!$A$96,0),Sheet_BaoCaoTaiChinh!$D$96)
+ IFERROR(HLOOKUP(DATE(YEAR(E$2),MONTH(E$2)-1,1),Table_BCTC_Nam[],Sheet_BaoCaoTaiChinh!$A$87,0),Sheet_BaoCaoTaiChinh!$D$87)
+ IFERROR(HLOOKUP(DATE(YEAR(E$2),MONTH(E$2)-1,1),Table_BCTC_Nam[],Sheet_BaoCaoTaiChinh!$A$81,0),Sheet_BaoCaoTaiChinh!$D$81)
+ IFERROR(HLOOKUP(DATE(YEAR(E$2),MONTH(E$2)-1,1),Table_BCTC_Nam[],Sheet_BaoCaoTaiChinh!$A$82,0),Sheet_BaoCaoTaiChinh!$D$82)
+ IFERROR(HLOOKUP(DATE(YEAR(E$2),MONTH(E$2)-1,1),Table_BCTC_Nam[],Sheet_BaoCaoTaiChinh!$A$83,0),Sheet_BaoCaoTaiChinh!$D$83)
+ IFERROR(HLOOKUP(DATE(YEAR(E$2),MONTH(E$2)-1,1),Table_BCTC_Nam[],Sheet_BaoCaoTaiChinh!$A$92,0),Sheet_BaoCaoTaiChinh!$D$92)
+ IFERROR(HLOOKUP(DATE(YEAR(E$2),MONTH(E$2)-1,1),Table_BCTC_Nam[],Sheet_BaoCaoTaiChinh!$A$93,0),Sheet_BaoCaoTaiChinh!$D$93)
+ IFERROR(HLOOKUP(DATE(YEAR(E$2),MONTH(E$2)-1,1),Table_BCTC_Nam[],Sheet_BaoCaoTaiChinh!$A$94,0),Sheet_BaoCaoTaiChinh!$D$94)
)/2))</f>
        <v>0</v>
      </c>
      <c r="F32" s="128">
        <f>F31/(-(F13+F14+F22+F23+F24+F25+F26+F28+F29+F30)+
((
+ IFERROR(HLOOKUP(F$2,Table_BCTC_Thang[],Sheet_BaoCaoTaiChinh!$A$96,0),Sheet_BaoCaoTaiChinh!$D$96)
+ IFERROR(HLOOKUP(F$2,Table_BCTC_Thang[],Sheet_BaoCaoTaiChinh!$A$87,0),Sheet_BaoCaoTaiChinh!$D$87)
+ IFERROR(HLOOKUP(F$2,Table_BCTC_Thang[],Sheet_BaoCaoTaiChinh!$A$81,0),Sheet_BaoCaoTaiChinh!$D$81)
+ IFERROR(HLOOKUP(F$2,Table_BCTC_Thang[],Sheet_BaoCaoTaiChinh!$A$82,0),Sheet_BaoCaoTaiChinh!$D$82)
+ IFERROR(HLOOKUP(F$2,Table_BCTC_Thang[],Sheet_BaoCaoTaiChinh!$A$83,0),Sheet_BaoCaoTaiChinh!$D$83)
+ IFERROR(HLOOKUP(F$2,Table_BCTC_Thang[],Sheet_BaoCaoTaiChinh!$A$92,0),Sheet_BaoCaoTaiChinh!$D$92)
+ IFERROR(HLOOKUP(F$2,Table_BCTC_Thang[],Sheet_BaoCaoTaiChinh!$A$93,0),Sheet_BaoCaoTaiChinh!$D$93)
+ IFERROR(HLOOKUP(F$2,Table_BCTC_Thang[],Sheet_BaoCaoTaiChinh!$A$94,0),Sheet_BaoCaoTaiChinh!$D$94)
+ IFERROR(HLOOKUP(DATE(YEAR(F$2),MONTH(F$2)-1,1),Table_BCTC_Thang[],Sheet_BaoCaoTaiChinh!$A$96,0),Sheet_BaoCaoTaiChinh!$D$96)
+ IFERROR(HLOOKUP(DATE(YEAR(F$2),MONTH(F$2)-1,1),Table_BCTC_Nam[],Sheet_BaoCaoTaiChinh!$A$87,0),Sheet_BaoCaoTaiChinh!$D$87)
+ IFERROR(HLOOKUP(DATE(YEAR(F$2),MONTH(F$2)-1,1),Table_BCTC_Nam[],Sheet_BaoCaoTaiChinh!$A$81,0),Sheet_BaoCaoTaiChinh!$D$81)
+ IFERROR(HLOOKUP(DATE(YEAR(F$2),MONTH(F$2)-1,1),Table_BCTC_Nam[],Sheet_BaoCaoTaiChinh!$A$82,0),Sheet_BaoCaoTaiChinh!$D$82)
+ IFERROR(HLOOKUP(DATE(YEAR(F$2),MONTH(F$2)-1,1),Table_BCTC_Nam[],Sheet_BaoCaoTaiChinh!$A$83,0),Sheet_BaoCaoTaiChinh!$D$83)
+ IFERROR(HLOOKUP(DATE(YEAR(F$2),MONTH(F$2)-1,1),Table_BCTC_Nam[],Sheet_BaoCaoTaiChinh!$A$92,0),Sheet_BaoCaoTaiChinh!$D$92)
+ IFERROR(HLOOKUP(DATE(YEAR(F$2),MONTH(F$2)-1,1),Table_BCTC_Nam[],Sheet_BaoCaoTaiChinh!$A$93,0),Sheet_BaoCaoTaiChinh!$D$93)
+ IFERROR(HLOOKUP(DATE(YEAR(F$2),MONTH(F$2)-1,1),Table_BCTC_Nam[],Sheet_BaoCaoTaiChinh!$A$94,0),Sheet_BaoCaoTaiChinh!$D$94)
)/2))</f>
        <v>0</v>
      </c>
      <c r="G32" s="128">
        <f>G31/(-(G13+G14+G22+G23+G24+G25+G26+G28+G29+G30)+
((
+ IFERROR(HLOOKUP(G$2,Table_BCTC_Thang[],Sheet_BaoCaoTaiChinh!$A$96,0),Sheet_BaoCaoTaiChinh!$D$96)
+ IFERROR(HLOOKUP(G$2,Table_BCTC_Thang[],Sheet_BaoCaoTaiChinh!$A$87,0),Sheet_BaoCaoTaiChinh!$D$87)
+ IFERROR(HLOOKUP(G$2,Table_BCTC_Thang[],Sheet_BaoCaoTaiChinh!$A$81,0),Sheet_BaoCaoTaiChinh!$D$81)
+ IFERROR(HLOOKUP(G$2,Table_BCTC_Thang[],Sheet_BaoCaoTaiChinh!$A$82,0),Sheet_BaoCaoTaiChinh!$D$82)
+ IFERROR(HLOOKUP(G$2,Table_BCTC_Thang[],Sheet_BaoCaoTaiChinh!$A$83,0),Sheet_BaoCaoTaiChinh!$D$83)
+ IFERROR(HLOOKUP(G$2,Table_BCTC_Thang[],Sheet_BaoCaoTaiChinh!$A$92,0),Sheet_BaoCaoTaiChinh!$D$92)
+ IFERROR(HLOOKUP(G$2,Table_BCTC_Thang[],Sheet_BaoCaoTaiChinh!$A$93,0),Sheet_BaoCaoTaiChinh!$D$93)
+ IFERROR(HLOOKUP(G$2,Table_BCTC_Thang[],Sheet_BaoCaoTaiChinh!$A$94,0),Sheet_BaoCaoTaiChinh!$D$94)
+ IFERROR(HLOOKUP(DATE(YEAR(G$2),MONTH(G$2)-1,1),Table_BCTC_Thang[],Sheet_BaoCaoTaiChinh!$A$96,0),Sheet_BaoCaoTaiChinh!$D$96)
+ IFERROR(HLOOKUP(DATE(YEAR(G$2),MONTH(G$2)-1,1),Table_BCTC_Nam[],Sheet_BaoCaoTaiChinh!$A$87,0),Sheet_BaoCaoTaiChinh!$D$87)
+ IFERROR(HLOOKUP(DATE(YEAR(G$2),MONTH(G$2)-1,1),Table_BCTC_Nam[],Sheet_BaoCaoTaiChinh!$A$81,0),Sheet_BaoCaoTaiChinh!$D$81)
+ IFERROR(HLOOKUP(DATE(YEAR(G$2),MONTH(G$2)-1,1),Table_BCTC_Nam[],Sheet_BaoCaoTaiChinh!$A$82,0),Sheet_BaoCaoTaiChinh!$D$82)
+ IFERROR(HLOOKUP(DATE(YEAR(G$2),MONTH(G$2)-1,1),Table_BCTC_Nam[],Sheet_BaoCaoTaiChinh!$A$83,0),Sheet_BaoCaoTaiChinh!$D$83)
+ IFERROR(HLOOKUP(DATE(YEAR(G$2),MONTH(G$2)-1,1),Table_BCTC_Nam[],Sheet_BaoCaoTaiChinh!$A$92,0),Sheet_BaoCaoTaiChinh!$D$92)
+ IFERROR(HLOOKUP(DATE(YEAR(G$2),MONTH(G$2)-1,1),Table_BCTC_Nam[],Sheet_BaoCaoTaiChinh!$A$93,0),Sheet_BaoCaoTaiChinh!$D$93)
+ IFERROR(HLOOKUP(DATE(YEAR(G$2),MONTH(G$2)-1,1),Table_BCTC_Nam[],Sheet_BaoCaoTaiChinh!$A$94,0),Sheet_BaoCaoTaiChinh!$D$94)
)/2))</f>
        <v>0</v>
      </c>
      <c r="H32" s="128">
        <f>H31/(-(H13+H14+H22+H23+H24+H25+H26+H28+H29+H30)+
((
+ IFERROR(HLOOKUP(H$2,Table_BCTC_Thang[],Sheet_BaoCaoTaiChinh!$A$96,0),Sheet_BaoCaoTaiChinh!$D$96)
+ IFERROR(HLOOKUP(H$2,Table_BCTC_Thang[],Sheet_BaoCaoTaiChinh!$A$87,0),Sheet_BaoCaoTaiChinh!$D$87)
+ IFERROR(HLOOKUP(H$2,Table_BCTC_Thang[],Sheet_BaoCaoTaiChinh!$A$81,0),Sheet_BaoCaoTaiChinh!$D$81)
+ IFERROR(HLOOKUP(H$2,Table_BCTC_Thang[],Sheet_BaoCaoTaiChinh!$A$82,0),Sheet_BaoCaoTaiChinh!$D$82)
+ IFERROR(HLOOKUP(H$2,Table_BCTC_Thang[],Sheet_BaoCaoTaiChinh!$A$83,0),Sheet_BaoCaoTaiChinh!$D$83)
+ IFERROR(HLOOKUP(H$2,Table_BCTC_Thang[],Sheet_BaoCaoTaiChinh!$A$92,0),Sheet_BaoCaoTaiChinh!$D$92)
+ IFERROR(HLOOKUP(H$2,Table_BCTC_Thang[],Sheet_BaoCaoTaiChinh!$A$93,0),Sheet_BaoCaoTaiChinh!$D$93)
+ IFERROR(HLOOKUP(H$2,Table_BCTC_Thang[],Sheet_BaoCaoTaiChinh!$A$94,0),Sheet_BaoCaoTaiChinh!$D$94)
+ IFERROR(HLOOKUP(DATE(YEAR(H$2),MONTH(H$2)-1,1),Table_BCTC_Thang[],Sheet_BaoCaoTaiChinh!$A$96,0),Sheet_BaoCaoTaiChinh!$D$96)
+ IFERROR(HLOOKUP(DATE(YEAR(H$2),MONTH(H$2)-1,1),Table_BCTC_Nam[],Sheet_BaoCaoTaiChinh!$A$87,0),Sheet_BaoCaoTaiChinh!$D$87)
+ IFERROR(HLOOKUP(DATE(YEAR(H$2),MONTH(H$2)-1,1),Table_BCTC_Nam[],Sheet_BaoCaoTaiChinh!$A$81,0),Sheet_BaoCaoTaiChinh!$D$81)
+ IFERROR(HLOOKUP(DATE(YEAR(H$2),MONTH(H$2)-1,1),Table_BCTC_Nam[],Sheet_BaoCaoTaiChinh!$A$82,0),Sheet_BaoCaoTaiChinh!$D$82)
+ IFERROR(HLOOKUP(DATE(YEAR(H$2),MONTH(H$2)-1,1),Table_BCTC_Nam[],Sheet_BaoCaoTaiChinh!$A$83,0),Sheet_BaoCaoTaiChinh!$D$83)
+ IFERROR(HLOOKUP(DATE(YEAR(H$2),MONTH(H$2)-1,1),Table_BCTC_Nam[],Sheet_BaoCaoTaiChinh!$A$92,0),Sheet_BaoCaoTaiChinh!$D$92)
+ IFERROR(HLOOKUP(DATE(YEAR(H$2),MONTH(H$2)-1,1),Table_BCTC_Nam[],Sheet_BaoCaoTaiChinh!$A$93,0),Sheet_BaoCaoTaiChinh!$D$93)
+ IFERROR(HLOOKUP(DATE(YEAR(H$2),MONTH(H$2)-1,1),Table_BCTC_Nam[],Sheet_BaoCaoTaiChinh!$A$94,0),Sheet_BaoCaoTaiChinh!$D$94)
)/2))</f>
        <v>0</v>
      </c>
      <c r="I32" s="128">
        <f>I31/(-(I13+I14+I22+I23+I24+I25+I26+I28+I29+I30)+
((
+ IFERROR(HLOOKUP(I$2,Table_BCTC_Thang[],Sheet_BaoCaoTaiChinh!$A$96,0),Sheet_BaoCaoTaiChinh!$D$96)
+ IFERROR(HLOOKUP(I$2,Table_BCTC_Thang[],Sheet_BaoCaoTaiChinh!$A$87,0),Sheet_BaoCaoTaiChinh!$D$87)
+ IFERROR(HLOOKUP(I$2,Table_BCTC_Thang[],Sheet_BaoCaoTaiChinh!$A$81,0),Sheet_BaoCaoTaiChinh!$D$81)
+ IFERROR(HLOOKUP(I$2,Table_BCTC_Thang[],Sheet_BaoCaoTaiChinh!$A$82,0),Sheet_BaoCaoTaiChinh!$D$82)
+ IFERROR(HLOOKUP(I$2,Table_BCTC_Thang[],Sheet_BaoCaoTaiChinh!$A$83,0),Sheet_BaoCaoTaiChinh!$D$83)
+ IFERROR(HLOOKUP(I$2,Table_BCTC_Thang[],Sheet_BaoCaoTaiChinh!$A$92,0),Sheet_BaoCaoTaiChinh!$D$92)
+ IFERROR(HLOOKUP(I$2,Table_BCTC_Thang[],Sheet_BaoCaoTaiChinh!$A$93,0),Sheet_BaoCaoTaiChinh!$D$93)
+ IFERROR(HLOOKUP(I$2,Table_BCTC_Thang[],Sheet_BaoCaoTaiChinh!$A$94,0),Sheet_BaoCaoTaiChinh!$D$94)
+ IFERROR(HLOOKUP(DATE(YEAR(I$2),MONTH(I$2)-1,1),Table_BCTC_Thang[],Sheet_BaoCaoTaiChinh!$A$96,0),Sheet_BaoCaoTaiChinh!$D$96)
+ IFERROR(HLOOKUP(DATE(YEAR(I$2),MONTH(I$2)-1,1),Table_BCTC_Nam[],Sheet_BaoCaoTaiChinh!$A$87,0),Sheet_BaoCaoTaiChinh!$D$87)
+ IFERROR(HLOOKUP(DATE(YEAR(I$2),MONTH(I$2)-1,1),Table_BCTC_Nam[],Sheet_BaoCaoTaiChinh!$A$81,0),Sheet_BaoCaoTaiChinh!$D$81)
+ IFERROR(HLOOKUP(DATE(YEAR(I$2),MONTH(I$2)-1,1),Table_BCTC_Nam[],Sheet_BaoCaoTaiChinh!$A$82,0),Sheet_BaoCaoTaiChinh!$D$82)
+ IFERROR(HLOOKUP(DATE(YEAR(I$2),MONTH(I$2)-1,1),Table_BCTC_Nam[],Sheet_BaoCaoTaiChinh!$A$83,0),Sheet_BaoCaoTaiChinh!$D$83)
+ IFERROR(HLOOKUP(DATE(YEAR(I$2),MONTH(I$2)-1,1),Table_BCTC_Nam[],Sheet_BaoCaoTaiChinh!$A$92,0),Sheet_BaoCaoTaiChinh!$D$92)
+ IFERROR(HLOOKUP(DATE(YEAR(I$2),MONTH(I$2)-1,1),Table_BCTC_Nam[],Sheet_BaoCaoTaiChinh!$A$93,0),Sheet_BaoCaoTaiChinh!$D$93)
+ IFERROR(HLOOKUP(DATE(YEAR(I$2),MONTH(I$2)-1,1),Table_BCTC_Nam[],Sheet_BaoCaoTaiChinh!$A$94,0),Sheet_BaoCaoTaiChinh!$D$94)
)/2))</f>
        <v>0</v>
      </c>
      <c r="J32" s="128">
        <f>J31/(-(J13+J14+J22+J23+J24+J25+J26+J28+J29+J30)+
((
+ IFERROR(HLOOKUP(J$2,Table_BCTC_Thang[],Sheet_BaoCaoTaiChinh!$A$96,0),Sheet_BaoCaoTaiChinh!$D$96)
+ IFERROR(HLOOKUP(J$2,Table_BCTC_Thang[],Sheet_BaoCaoTaiChinh!$A$87,0),Sheet_BaoCaoTaiChinh!$D$87)
+ IFERROR(HLOOKUP(J$2,Table_BCTC_Thang[],Sheet_BaoCaoTaiChinh!$A$81,0),Sheet_BaoCaoTaiChinh!$D$81)
+ IFERROR(HLOOKUP(J$2,Table_BCTC_Thang[],Sheet_BaoCaoTaiChinh!$A$82,0),Sheet_BaoCaoTaiChinh!$D$82)
+ IFERROR(HLOOKUP(J$2,Table_BCTC_Thang[],Sheet_BaoCaoTaiChinh!$A$83,0),Sheet_BaoCaoTaiChinh!$D$83)
+ IFERROR(HLOOKUP(J$2,Table_BCTC_Thang[],Sheet_BaoCaoTaiChinh!$A$92,0),Sheet_BaoCaoTaiChinh!$D$92)
+ IFERROR(HLOOKUP(J$2,Table_BCTC_Thang[],Sheet_BaoCaoTaiChinh!$A$93,0),Sheet_BaoCaoTaiChinh!$D$93)
+ IFERROR(HLOOKUP(J$2,Table_BCTC_Thang[],Sheet_BaoCaoTaiChinh!$A$94,0),Sheet_BaoCaoTaiChinh!$D$94)
+ IFERROR(HLOOKUP(DATE(YEAR(J$2),MONTH(J$2)-1,1),Table_BCTC_Thang[],Sheet_BaoCaoTaiChinh!$A$96,0),Sheet_BaoCaoTaiChinh!$D$96)
+ IFERROR(HLOOKUP(DATE(YEAR(J$2),MONTH(J$2)-1,1),Table_BCTC_Nam[],Sheet_BaoCaoTaiChinh!$A$87,0),Sheet_BaoCaoTaiChinh!$D$87)
+ IFERROR(HLOOKUP(DATE(YEAR(J$2),MONTH(J$2)-1,1),Table_BCTC_Nam[],Sheet_BaoCaoTaiChinh!$A$81,0),Sheet_BaoCaoTaiChinh!$D$81)
+ IFERROR(HLOOKUP(DATE(YEAR(J$2),MONTH(J$2)-1,1),Table_BCTC_Nam[],Sheet_BaoCaoTaiChinh!$A$82,0),Sheet_BaoCaoTaiChinh!$D$82)
+ IFERROR(HLOOKUP(DATE(YEAR(J$2),MONTH(J$2)-1,1),Table_BCTC_Nam[],Sheet_BaoCaoTaiChinh!$A$83,0),Sheet_BaoCaoTaiChinh!$D$83)
+ IFERROR(HLOOKUP(DATE(YEAR(J$2),MONTH(J$2)-1,1),Table_BCTC_Nam[],Sheet_BaoCaoTaiChinh!$A$92,0),Sheet_BaoCaoTaiChinh!$D$92)
+ IFERROR(HLOOKUP(DATE(YEAR(J$2),MONTH(J$2)-1,1),Table_BCTC_Nam[],Sheet_BaoCaoTaiChinh!$A$93,0),Sheet_BaoCaoTaiChinh!$D$93)
+ IFERROR(HLOOKUP(DATE(YEAR(J$2),MONTH(J$2)-1,1),Table_BCTC_Nam[],Sheet_BaoCaoTaiChinh!$A$94,0),Sheet_BaoCaoTaiChinh!$D$94)
)/2))</f>
        <v>0</v>
      </c>
      <c r="K32" s="128">
        <f>K31/(-(K13+K14+K22+K23+K24+K25+K26+K28+K29+K30)+
((
+ IFERROR(HLOOKUP(K$2,Table_BCTC_Thang[],Sheet_BaoCaoTaiChinh!$A$96,0),Sheet_BaoCaoTaiChinh!$D$96)
+ IFERROR(HLOOKUP(K$2,Table_BCTC_Thang[],Sheet_BaoCaoTaiChinh!$A$87,0),Sheet_BaoCaoTaiChinh!$D$87)
+ IFERROR(HLOOKUP(K$2,Table_BCTC_Thang[],Sheet_BaoCaoTaiChinh!$A$81,0),Sheet_BaoCaoTaiChinh!$D$81)
+ IFERROR(HLOOKUP(K$2,Table_BCTC_Thang[],Sheet_BaoCaoTaiChinh!$A$82,0),Sheet_BaoCaoTaiChinh!$D$82)
+ IFERROR(HLOOKUP(K$2,Table_BCTC_Thang[],Sheet_BaoCaoTaiChinh!$A$83,0),Sheet_BaoCaoTaiChinh!$D$83)
+ IFERROR(HLOOKUP(K$2,Table_BCTC_Thang[],Sheet_BaoCaoTaiChinh!$A$92,0),Sheet_BaoCaoTaiChinh!$D$92)
+ IFERROR(HLOOKUP(K$2,Table_BCTC_Thang[],Sheet_BaoCaoTaiChinh!$A$93,0),Sheet_BaoCaoTaiChinh!$D$93)
+ IFERROR(HLOOKUP(K$2,Table_BCTC_Thang[],Sheet_BaoCaoTaiChinh!$A$94,0),Sheet_BaoCaoTaiChinh!$D$94)
+ IFERROR(HLOOKUP(DATE(YEAR(K$2),MONTH(K$2)-1,1),Table_BCTC_Thang[],Sheet_BaoCaoTaiChinh!$A$96,0),Sheet_BaoCaoTaiChinh!$D$96)
+ IFERROR(HLOOKUP(DATE(YEAR(K$2),MONTH(K$2)-1,1),Table_BCTC_Nam[],Sheet_BaoCaoTaiChinh!$A$87,0),Sheet_BaoCaoTaiChinh!$D$87)
+ IFERROR(HLOOKUP(DATE(YEAR(K$2),MONTH(K$2)-1,1),Table_BCTC_Nam[],Sheet_BaoCaoTaiChinh!$A$81,0),Sheet_BaoCaoTaiChinh!$D$81)
+ IFERROR(HLOOKUP(DATE(YEAR(K$2),MONTH(K$2)-1,1),Table_BCTC_Nam[],Sheet_BaoCaoTaiChinh!$A$82,0),Sheet_BaoCaoTaiChinh!$D$82)
+ IFERROR(HLOOKUP(DATE(YEAR(K$2),MONTH(K$2)-1,1),Table_BCTC_Nam[],Sheet_BaoCaoTaiChinh!$A$83,0),Sheet_BaoCaoTaiChinh!$D$83)
+ IFERROR(HLOOKUP(DATE(YEAR(K$2),MONTH(K$2)-1,1),Table_BCTC_Nam[],Sheet_BaoCaoTaiChinh!$A$92,0),Sheet_BaoCaoTaiChinh!$D$92)
+ IFERROR(HLOOKUP(DATE(YEAR(K$2),MONTH(K$2)-1,1),Table_BCTC_Nam[],Sheet_BaoCaoTaiChinh!$A$93,0),Sheet_BaoCaoTaiChinh!$D$93)
+ IFERROR(HLOOKUP(DATE(YEAR(K$2),MONTH(K$2)-1,1),Table_BCTC_Nam[],Sheet_BaoCaoTaiChinh!$A$94,0),Sheet_BaoCaoTaiChinh!$D$94)
)/2))</f>
        <v>0</v>
      </c>
      <c r="L32" s="128">
        <f>L31/(-(L13+L14+L22+L23+L24+L25+L26+L28+L29+L30)+
((
+ IFERROR(HLOOKUP(L$2,Table_BCTC_Thang[],Sheet_BaoCaoTaiChinh!$A$96,0),Sheet_BaoCaoTaiChinh!$D$96)
+ IFERROR(HLOOKUP(L$2,Table_BCTC_Thang[],Sheet_BaoCaoTaiChinh!$A$87,0),Sheet_BaoCaoTaiChinh!$D$87)
+ IFERROR(HLOOKUP(L$2,Table_BCTC_Thang[],Sheet_BaoCaoTaiChinh!$A$81,0),Sheet_BaoCaoTaiChinh!$D$81)
+ IFERROR(HLOOKUP(L$2,Table_BCTC_Thang[],Sheet_BaoCaoTaiChinh!$A$82,0),Sheet_BaoCaoTaiChinh!$D$82)
+ IFERROR(HLOOKUP(L$2,Table_BCTC_Thang[],Sheet_BaoCaoTaiChinh!$A$83,0),Sheet_BaoCaoTaiChinh!$D$83)
+ IFERROR(HLOOKUP(L$2,Table_BCTC_Thang[],Sheet_BaoCaoTaiChinh!$A$92,0),Sheet_BaoCaoTaiChinh!$D$92)
+ IFERROR(HLOOKUP(L$2,Table_BCTC_Thang[],Sheet_BaoCaoTaiChinh!$A$93,0),Sheet_BaoCaoTaiChinh!$D$93)
+ IFERROR(HLOOKUP(L$2,Table_BCTC_Thang[],Sheet_BaoCaoTaiChinh!$A$94,0),Sheet_BaoCaoTaiChinh!$D$94)
+ IFERROR(HLOOKUP(DATE(YEAR(L$2),MONTH(L$2)-1,1),Table_BCTC_Thang[],Sheet_BaoCaoTaiChinh!$A$96,0),Sheet_BaoCaoTaiChinh!$D$96)
+ IFERROR(HLOOKUP(DATE(YEAR(L$2),MONTH(L$2)-1,1),Table_BCTC_Nam[],Sheet_BaoCaoTaiChinh!$A$87,0),Sheet_BaoCaoTaiChinh!$D$87)
+ IFERROR(HLOOKUP(DATE(YEAR(L$2),MONTH(L$2)-1,1),Table_BCTC_Nam[],Sheet_BaoCaoTaiChinh!$A$81,0),Sheet_BaoCaoTaiChinh!$D$81)
+ IFERROR(HLOOKUP(DATE(YEAR(L$2),MONTH(L$2)-1,1),Table_BCTC_Nam[],Sheet_BaoCaoTaiChinh!$A$82,0),Sheet_BaoCaoTaiChinh!$D$82)
+ IFERROR(HLOOKUP(DATE(YEAR(L$2),MONTH(L$2)-1,1),Table_BCTC_Nam[],Sheet_BaoCaoTaiChinh!$A$83,0),Sheet_BaoCaoTaiChinh!$D$83)
+ IFERROR(HLOOKUP(DATE(YEAR(L$2),MONTH(L$2)-1,1),Table_BCTC_Nam[],Sheet_BaoCaoTaiChinh!$A$92,0),Sheet_BaoCaoTaiChinh!$D$92)
+ IFERROR(HLOOKUP(DATE(YEAR(L$2),MONTH(L$2)-1,1),Table_BCTC_Nam[],Sheet_BaoCaoTaiChinh!$A$93,0),Sheet_BaoCaoTaiChinh!$D$93)
+ IFERROR(HLOOKUP(DATE(YEAR(L$2),MONTH(L$2)-1,1),Table_BCTC_Nam[],Sheet_BaoCaoTaiChinh!$A$94,0),Sheet_BaoCaoTaiChinh!$D$94)
)/2))</f>
        <v>0</v>
      </c>
      <c r="M32" s="128">
        <f>M31/(-(M13+M14+M22+M23+M24+M25+M26+M28+M29+M30)+
((
+ IFERROR(HLOOKUP(M$2,Table_BCTC_Thang[],Sheet_BaoCaoTaiChinh!$A$96,0),Sheet_BaoCaoTaiChinh!$D$96)
+ IFERROR(HLOOKUP(M$2,Table_BCTC_Thang[],Sheet_BaoCaoTaiChinh!$A$87,0),Sheet_BaoCaoTaiChinh!$D$87)
+ IFERROR(HLOOKUP(M$2,Table_BCTC_Thang[],Sheet_BaoCaoTaiChinh!$A$81,0),Sheet_BaoCaoTaiChinh!$D$81)
+ IFERROR(HLOOKUP(M$2,Table_BCTC_Thang[],Sheet_BaoCaoTaiChinh!$A$82,0),Sheet_BaoCaoTaiChinh!$D$82)
+ IFERROR(HLOOKUP(M$2,Table_BCTC_Thang[],Sheet_BaoCaoTaiChinh!$A$83,0),Sheet_BaoCaoTaiChinh!$D$83)
+ IFERROR(HLOOKUP(M$2,Table_BCTC_Thang[],Sheet_BaoCaoTaiChinh!$A$92,0),Sheet_BaoCaoTaiChinh!$D$92)
+ IFERROR(HLOOKUP(M$2,Table_BCTC_Thang[],Sheet_BaoCaoTaiChinh!$A$93,0),Sheet_BaoCaoTaiChinh!$D$93)
+ IFERROR(HLOOKUP(M$2,Table_BCTC_Thang[],Sheet_BaoCaoTaiChinh!$A$94,0),Sheet_BaoCaoTaiChinh!$D$94)
+ IFERROR(HLOOKUP(DATE(YEAR(M$2),MONTH(M$2)-1,1),Table_BCTC_Thang[],Sheet_BaoCaoTaiChinh!$A$96,0),Sheet_BaoCaoTaiChinh!$D$96)
+ IFERROR(HLOOKUP(DATE(YEAR(M$2),MONTH(M$2)-1,1),Table_BCTC_Nam[],Sheet_BaoCaoTaiChinh!$A$87,0),Sheet_BaoCaoTaiChinh!$D$87)
+ IFERROR(HLOOKUP(DATE(YEAR(M$2),MONTH(M$2)-1,1),Table_BCTC_Nam[],Sheet_BaoCaoTaiChinh!$A$81,0),Sheet_BaoCaoTaiChinh!$D$81)
+ IFERROR(HLOOKUP(DATE(YEAR(M$2),MONTH(M$2)-1,1),Table_BCTC_Nam[],Sheet_BaoCaoTaiChinh!$A$82,0),Sheet_BaoCaoTaiChinh!$D$82)
+ IFERROR(HLOOKUP(DATE(YEAR(M$2),MONTH(M$2)-1,1),Table_BCTC_Nam[],Sheet_BaoCaoTaiChinh!$A$83,0),Sheet_BaoCaoTaiChinh!$D$83)
+ IFERROR(HLOOKUP(DATE(YEAR(M$2),MONTH(M$2)-1,1),Table_BCTC_Nam[],Sheet_BaoCaoTaiChinh!$A$92,0),Sheet_BaoCaoTaiChinh!$D$92)
+ IFERROR(HLOOKUP(DATE(YEAR(M$2),MONTH(M$2)-1,1),Table_BCTC_Nam[],Sheet_BaoCaoTaiChinh!$A$93,0),Sheet_BaoCaoTaiChinh!$D$93)
+ IFERROR(HLOOKUP(DATE(YEAR(M$2),MONTH(M$2)-1,1),Table_BCTC_Nam[],Sheet_BaoCaoTaiChinh!$A$94,0),Sheet_BaoCaoTaiChinh!$D$94)
)/2))</f>
        <v>0</v>
      </c>
      <c r="N32" s="128">
        <f>N31/(-(N13+N14+N22+N23+N24+N25+N26+N28+N29+N30)+
((
+ IFERROR(HLOOKUP(N$2,Table_BCTC_Thang[],Sheet_BaoCaoTaiChinh!$A$96,0),Sheet_BaoCaoTaiChinh!$D$96)
+ IFERROR(HLOOKUP(N$2,Table_BCTC_Thang[],Sheet_BaoCaoTaiChinh!$A$87,0),Sheet_BaoCaoTaiChinh!$D$87)
+ IFERROR(HLOOKUP(N$2,Table_BCTC_Thang[],Sheet_BaoCaoTaiChinh!$A$81,0),Sheet_BaoCaoTaiChinh!$D$81)
+ IFERROR(HLOOKUP(N$2,Table_BCTC_Thang[],Sheet_BaoCaoTaiChinh!$A$82,0),Sheet_BaoCaoTaiChinh!$D$82)
+ IFERROR(HLOOKUP(N$2,Table_BCTC_Thang[],Sheet_BaoCaoTaiChinh!$A$83,0),Sheet_BaoCaoTaiChinh!$D$83)
+ IFERROR(HLOOKUP(N$2,Table_BCTC_Thang[],Sheet_BaoCaoTaiChinh!$A$92,0),Sheet_BaoCaoTaiChinh!$D$92)
+ IFERROR(HLOOKUP(N$2,Table_BCTC_Thang[],Sheet_BaoCaoTaiChinh!$A$93,0),Sheet_BaoCaoTaiChinh!$D$93)
+ IFERROR(HLOOKUP(N$2,Table_BCTC_Thang[],Sheet_BaoCaoTaiChinh!$A$94,0),Sheet_BaoCaoTaiChinh!$D$94)
+ IFERROR(HLOOKUP(DATE(YEAR(N$2),MONTH(N$2)-1,1),Table_BCTC_Thang[],Sheet_BaoCaoTaiChinh!$A$96,0),Sheet_BaoCaoTaiChinh!$D$96)
+ IFERROR(HLOOKUP(DATE(YEAR(N$2),MONTH(N$2)-1,1),Table_BCTC_Nam[],Sheet_BaoCaoTaiChinh!$A$87,0),Sheet_BaoCaoTaiChinh!$D$87)
+ IFERROR(HLOOKUP(DATE(YEAR(N$2),MONTH(N$2)-1,1),Table_BCTC_Nam[],Sheet_BaoCaoTaiChinh!$A$81,0),Sheet_BaoCaoTaiChinh!$D$81)
+ IFERROR(HLOOKUP(DATE(YEAR(N$2),MONTH(N$2)-1,1),Table_BCTC_Nam[],Sheet_BaoCaoTaiChinh!$A$82,0),Sheet_BaoCaoTaiChinh!$D$82)
+ IFERROR(HLOOKUP(DATE(YEAR(N$2),MONTH(N$2)-1,1),Table_BCTC_Nam[],Sheet_BaoCaoTaiChinh!$A$83,0),Sheet_BaoCaoTaiChinh!$D$83)
+ IFERROR(HLOOKUP(DATE(YEAR(N$2),MONTH(N$2)-1,1),Table_BCTC_Nam[],Sheet_BaoCaoTaiChinh!$A$92,0),Sheet_BaoCaoTaiChinh!$D$92)
+ IFERROR(HLOOKUP(DATE(YEAR(N$2),MONTH(N$2)-1,1),Table_BCTC_Nam[],Sheet_BaoCaoTaiChinh!$A$93,0),Sheet_BaoCaoTaiChinh!$D$93)
+ IFERROR(HLOOKUP(DATE(YEAR(N$2),MONTH(N$2)-1,1),Table_BCTC_Nam[],Sheet_BaoCaoTaiChinh!$A$94,0),Sheet_BaoCaoTaiChinh!$D$94)
)/2))</f>
        <v>0</v>
      </c>
      <c r="O32" s="128">
        <f>O31/(-(O13+O14+O22+O23+O24+O25+O26+O28+O29+O30)+
((
+ IFERROR(HLOOKUP(O$2,Table_BCTC_Thang[],Sheet_BaoCaoTaiChinh!$A$96,0),Sheet_BaoCaoTaiChinh!$D$96)
+ IFERROR(HLOOKUP(O$2,Table_BCTC_Thang[],Sheet_BaoCaoTaiChinh!$A$87,0),Sheet_BaoCaoTaiChinh!$D$87)
+ IFERROR(HLOOKUP(O$2,Table_BCTC_Thang[],Sheet_BaoCaoTaiChinh!$A$81,0),Sheet_BaoCaoTaiChinh!$D$81)
+ IFERROR(HLOOKUP(O$2,Table_BCTC_Thang[],Sheet_BaoCaoTaiChinh!$A$82,0),Sheet_BaoCaoTaiChinh!$D$82)
+ IFERROR(HLOOKUP(O$2,Table_BCTC_Thang[],Sheet_BaoCaoTaiChinh!$A$83,0),Sheet_BaoCaoTaiChinh!$D$83)
+ IFERROR(HLOOKUP(O$2,Table_BCTC_Thang[],Sheet_BaoCaoTaiChinh!$A$92,0),Sheet_BaoCaoTaiChinh!$D$92)
+ IFERROR(HLOOKUP(O$2,Table_BCTC_Thang[],Sheet_BaoCaoTaiChinh!$A$93,0),Sheet_BaoCaoTaiChinh!$D$93)
+ IFERROR(HLOOKUP(O$2,Table_BCTC_Thang[],Sheet_BaoCaoTaiChinh!$A$94,0),Sheet_BaoCaoTaiChinh!$D$94)
+ IFERROR(HLOOKUP(DATE(YEAR(O$2),MONTH(O$2)-1,1),Table_BCTC_Thang[],Sheet_BaoCaoTaiChinh!$A$96,0),Sheet_BaoCaoTaiChinh!$D$96)
+ IFERROR(HLOOKUP(DATE(YEAR(O$2),MONTH(O$2)-1,1),Table_BCTC_Nam[],Sheet_BaoCaoTaiChinh!$A$87,0),Sheet_BaoCaoTaiChinh!$D$87)
+ IFERROR(HLOOKUP(DATE(YEAR(O$2),MONTH(O$2)-1,1),Table_BCTC_Nam[],Sheet_BaoCaoTaiChinh!$A$81,0),Sheet_BaoCaoTaiChinh!$D$81)
+ IFERROR(HLOOKUP(DATE(YEAR(O$2),MONTH(O$2)-1,1),Table_BCTC_Nam[],Sheet_BaoCaoTaiChinh!$A$82,0),Sheet_BaoCaoTaiChinh!$D$82)
+ IFERROR(HLOOKUP(DATE(YEAR(O$2),MONTH(O$2)-1,1),Table_BCTC_Nam[],Sheet_BaoCaoTaiChinh!$A$83,0),Sheet_BaoCaoTaiChinh!$D$83)
+ IFERROR(HLOOKUP(DATE(YEAR(O$2),MONTH(O$2)-1,1),Table_BCTC_Nam[],Sheet_BaoCaoTaiChinh!$A$92,0),Sheet_BaoCaoTaiChinh!$D$92)
+ IFERROR(HLOOKUP(DATE(YEAR(O$2),MONTH(O$2)-1,1),Table_BCTC_Nam[],Sheet_BaoCaoTaiChinh!$A$93,0),Sheet_BaoCaoTaiChinh!$D$93)
+ IFERROR(HLOOKUP(DATE(YEAR(O$2),MONTH(O$2)-1,1),Table_BCTC_Nam[],Sheet_BaoCaoTaiChinh!$A$94,0),Sheet_BaoCaoTaiChinh!$D$94)
)/2))</f>
        <v>0</v>
      </c>
      <c r="P32" s="326"/>
      <c r="Q32" s="242"/>
      <c r="R32" s="87" t="s">
        <v>302</v>
      </c>
      <c r="S32" s="128">
        <f>S31/(-(S13+S14+S22+S23+S24+S25+S26+S28+S29+S30) +
(
+ IFERROR(HLOOKUP(S$1,Table_BCTC_Nam[],Sheet_BaoCaoTaiChinh!$A$96,0),Sheet_BaoCaoTaiChinh!$D$96)
+ IFERROR(HLOOKUP(S$1,Table_BCTC_Nam[],Sheet_BaoCaoTaiChinh!$A$87,0),Sheet_BaoCaoTaiChinh!$D$87)
+ IFERROR(HLOOKUP(S$1,Table_BCTC_Nam[],Sheet_BaoCaoTaiChinh!$A$81,0),Sheet_BaoCaoTaiChinh!$D$81)
+ IFERROR(HLOOKUP(S$1,Table_BCTC_Nam[],Sheet_BaoCaoTaiChinh!$A$82,0),Sheet_BaoCaoTaiChinh!$D$82)
+ IFERROR(HLOOKUP(S$1,Table_BCTC_Nam[],Sheet_BaoCaoTaiChinh!$A$83,0),Sheet_BaoCaoTaiChinh!$D$83)
+ IFERROR(HLOOKUP(S$1,Table_BCTC_Nam[],Sheet_BaoCaoTaiChinh!$A$92,0),Sheet_BaoCaoTaiChinh!$D$92)
+ IFERROR(HLOOKUP(S$1,Table_BCTC_Nam[],Sheet_BaoCaoTaiChinh!$A$93,0),Sheet_BaoCaoTaiChinh!$D$93)
+ IFERROR(HLOOKUP(S$1,Table_BCTC_Nam[],Sheet_BaoCaoTaiChinh!$A$94,0),Sheet_BaoCaoTaiChinh!$D$94)
+ IFERROR(HLOOKUP(S$1-1,Table_BCTC_Nam[],Sheet_BaoCaoTaiChinh!$A$96,0),Sheet_BaoCaoTaiChinh!$D$96)
+ IFERROR(HLOOKUP(S$1-1,Table_BCTC_Nam[],Sheet_BaoCaoTaiChinh!$A$87,0),Sheet_BaoCaoTaiChinh!$D$87)
+ IFERROR(HLOOKUP(S$1-1,Table_BCTC_Nam[],Sheet_BaoCaoTaiChinh!$A$81,0),Sheet_BaoCaoTaiChinh!$D$81)
+ IFERROR(HLOOKUP(S$1-1,Table_BCTC_Nam[],Sheet_BaoCaoTaiChinh!$A$82,0),Sheet_BaoCaoTaiChinh!$D$82)
+ IFERROR(HLOOKUP(S$1-1,Table_BCTC_Nam[],Sheet_BaoCaoTaiChinh!$A$83,0),Sheet_BaoCaoTaiChinh!$D$83)
+ IFERROR(HLOOKUP(S$1-1,Table_BCTC_Nam[],Sheet_BaoCaoTaiChinh!$A$92,0),Sheet_BaoCaoTaiChinh!$D$92)
+ IFERROR(HLOOKUP(S$1-1,Table_BCTC_Nam[],Sheet_BaoCaoTaiChinh!$A$93,0),Sheet_BaoCaoTaiChinh!$D$93)
+ IFERROR(HLOOKUP(S$1-1,Table_BCTC_Nam[],Sheet_BaoCaoTaiChinh!$A$94,0),Sheet_BaoCaoTaiChinh!$D$94)
)/2)</f>
        <v>0</v>
      </c>
      <c r="T32" s="242"/>
      <c r="U32" s="87" t="s">
        <v>302</v>
      </c>
      <c r="V32" s="128">
        <f>V31/(-(V13+V14+V22+V23+V24+V25+V26+V28+V29+V30)+
((
+ IFERROR(HLOOKUP(V$1,Table_BCTC_Thang[],Sheet_BaoCaoTaiChinh!$A$96,0),Sheet_BaoCaoTaiChinh!$D$96)
+ IFERROR(HLOOKUP(V$1,Table_BCTC_Thang[],Sheet_BaoCaoTaiChinh!$A$87,0),Sheet_BaoCaoTaiChinh!$D$87)
+ IFERROR(HLOOKUP(V$1,Table_BCTC_Thang[],Sheet_BaoCaoTaiChinh!$A$81,0),Sheet_BaoCaoTaiChinh!$D$81)
+ IFERROR(HLOOKUP(V$1,Table_BCTC_Thang[],Sheet_BaoCaoTaiChinh!$A$82,0),Sheet_BaoCaoTaiChinh!$D$82)
+ IFERROR(HLOOKUP(V$1,Table_BCTC_Thang[],Sheet_BaoCaoTaiChinh!$A$83,0),Sheet_BaoCaoTaiChinh!$D$83)
+ IFERROR(HLOOKUP(V$1,Table_BCTC_Thang[],Sheet_BaoCaoTaiChinh!$A$92,0),Sheet_BaoCaoTaiChinh!$D$92)
+ IFERROR(HLOOKUP(V$1,Table_BCTC_Thang[],Sheet_BaoCaoTaiChinh!$A$93,0),Sheet_BaoCaoTaiChinh!$D$93)
+ IFERROR(HLOOKUP(V$1,Table_BCTC_Thang[],Sheet_BaoCaoTaiChinh!$A$94,0),Sheet_BaoCaoTaiChinh!$D$94)
+ IFERROR(HLOOKUP(DATE(YEAR(V$1),MONTH(V$1)-1,1),Table_BCTC_Thang[],Sheet_BaoCaoTaiChinh!$A$96,0),Sheet_BaoCaoTaiChinh!$D$96)
+ IFERROR(HLOOKUP(DATE(YEAR(V$1),MONTH(V$1)-1,1),Table_BCTC_Nam[],Sheet_BaoCaoTaiChinh!$A$87,0),Sheet_BaoCaoTaiChinh!$D$87)
+ IFERROR(HLOOKUP(DATE(YEAR(V$1),MONTH(V$1)-1,1),Table_BCTC_Nam[],Sheet_BaoCaoTaiChinh!$A$81,0),Sheet_BaoCaoTaiChinh!$D$81)
+ IFERROR(HLOOKUP(DATE(YEAR(V$1),MONTH(V$1)-1,1),Table_BCTC_Nam[],Sheet_BaoCaoTaiChinh!$A$82,0),Sheet_BaoCaoTaiChinh!$D$82)
+ IFERROR(HLOOKUP(DATE(YEAR(V$1),MONTH(V$1)-1,1),Table_BCTC_Nam[],Sheet_BaoCaoTaiChinh!$A$83,0),Sheet_BaoCaoTaiChinh!$D$83)
+ IFERROR(HLOOKUP(DATE(YEAR(V$1),MONTH(V$1)-1,1),Table_BCTC_Nam[],Sheet_BaoCaoTaiChinh!$A$92,0),Sheet_BaoCaoTaiChinh!$D$92)
+ IFERROR(HLOOKUP(DATE(YEAR(V$1),MONTH(V$1)-1,1),Table_BCTC_Nam[],Sheet_BaoCaoTaiChinh!$A$93,0),Sheet_BaoCaoTaiChinh!$D$93)
+ IFERROR(HLOOKUP(DATE(YEAR(V$1),MONTH(V$1)-1,1),Table_BCTC_Nam[],Sheet_BaoCaoTaiChinh!$A$94,0),Sheet_BaoCaoTaiChinh!$D$94)
)/2))</f>
        <v>0</v>
      </c>
    </row>
    <row r="33" spans="2:22" ht="18" customHeight="1" outlineLevel="1" x14ac:dyDescent="0.3">
      <c r="B33" s="126" t="s">
        <v>99</v>
      </c>
      <c r="C33" s="335">
        <f>+C34+C35+C37+C42</f>
        <v>0</v>
      </c>
      <c r="D33" s="335">
        <f t="shared" ref="D33:O33" si="10">+D34+D35+D37+D42</f>
        <v>0</v>
      </c>
      <c r="E33" s="335">
        <f t="shared" si="10"/>
        <v>0</v>
      </c>
      <c r="F33" s="335">
        <f t="shared" si="10"/>
        <v>0</v>
      </c>
      <c r="G33" s="335">
        <f t="shared" si="10"/>
        <v>0</v>
      </c>
      <c r="H33" s="335">
        <f t="shared" si="10"/>
        <v>0</v>
      </c>
      <c r="I33" s="335">
        <f t="shared" si="10"/>
        <v>0</v>
      </c>
      <c r="J33" s="335">
        <f t="shared" si="10"/>
        <v>0</v>
      </c>
      <c r="K33" s="335">
        <f t="shared" si="10"/>
        <v>0</v>
      </c>
      <c r="L33" s="335">
        <f t="shared" si="10"/>
        <v>0</v>
      </c>
      <c r="M33" s="335">
        <f t="shared" si="10"/>
        <v>0</v>
      </c>
      <c r="N33" s="335">
        <f t="shared" si="10"/>
        <v>0</v>
      </c>
      <c r="O33" s="335">
        <f t="shared" si="10"/>
        <v>0</v>
      </c>
      <c r="P33" s="336"/>
      <c r="Q33" s="242"/>
      <c r="R33" s="126" t="s">
        <v>99</v>
      </c>
      <c r="S33" s="127">
        <f>+S34+S35+S37+S42</f>
        <v>0</v>
      </c>
      <c r="T33" s="242"/>
      <c r="U33" s="126" t="s">
        <v>99</v>
      </c>
      <c r="V33" s="127">
        <f>+V34+V35+V37+V42</f>
        <v>0</v>
      </c>
    </row>
    <row r="34" spans="2:22" s="21" customFormat="1" ht="18" customHeight="1" outlineLevel="1" x14ac:dyDescent="0.3">
      <c r="B34" s="54" t="s">
        <v>303</v>
      </c>
      <c r="C34" s="331" cm="1">
        <f t="array" ref="C34">IFERROR(
SUM(_xlfn._xlws.FILTER(Table_ThuChiKD[Giá trị sau phí],
(Table_ThuChiKD[Loại GD] = "THU") *
(Table_ThuChiKD[Nội dung GD] ="Thu chi bán hàng") *
(YEAR(Table_ThuChiKD[Ngày GD]) = C$2)
)),0)
- IFERROR(
SUM(_xlfn._xlws.FILTER(Table_ThuChiKD[Giá trị sau phí],
(Table_ThuChiKD[Loại GD] = "CHI") *
(Table_ThuChiKD[Nội dung GD] ="Thu chi bán hàng") *
(YEAR(Table_ThuChiKD[Ngày GD]) = C$2)
)),0)
-IFERROR(
SUM(_xlfn._xlws.FILTER(Table_NopNS[Giá trị tính thuế],
(Table_NopNS[Ngân sách] = "Thuế VAT")*
(Table_NopNS[Năm]=C$2)
)),0)</f>
        <v>0</v>
      </c>
      <c r="D34" s="337" cm="1">
        <f t="array" ref="D34">IFERROR(
SUM(_xlfn._xlws.FILTER(Table_ThuChiKD[Giá trị sau phí],
(Table_ThuChiKD[Loại GD] = "THU") *
(Table_ThuChiKD[Nội dung GD] ="Thu chi bán hàng") *
(YEAR(Table_ThuChiKD[Ngày GD]) = YEAR(D$2)) *
(MONTH(Table_ThuChiKD[Ngày GD]) = MONTH(D$2))
)),0)
-IFERROR(
SUM(_xlfn._xlws.FILTER(Table_ThuChiKD[Giá trị sau phí],
(Table_ThuChiKD[Loại GD] = "CHI") *
(Table_ThuChiKD[Nội dung GD] ="Thu chi bán hàng") *
(YEAR(Table_ThuChiKD[Ngày GD]) = YEAR(D$2)) *
(MONTH(Table_ThuChiKD[Ngày GD]) = MONTH(D$2))
)),0)
-IFERROR(
SUM(_xlfn._xlws.FILTER(Table_NopNS[Giá trị tính thuế],
(Table_NopNS[Ngân sách] = "Thuế VAT")*
(Table_NopNS[Năm]=YEAR(D$2))*
(Table_NopNS[Tháng] = MONTH(D$2))
)),0)</f>
        <v>0</v>
      </c>
      <c r="E34" s="337" cm="1">
        <f t="array" ref="E34">IFERROR(
SUM(_xlfn._xlws.FILTER(Table_ThuChiKD[Giá trị sau phí],
(Table_ThuChiKD[Loại GD] = "THU") *
(Table_ThuChiKD[Nội dung GD] ="Thu chi bán hàng") *
(YEAR(Table_ThuChiKD[Ngày GD]) = YEAR(E$2)) *
(MONTH(Table_ThuChiKD[Ngày GD]) = MONTH(E$2))
)),0)
-IFERROR(
SUM(_xlfn._xlws.FILTER(Table_ThuChiKD[Giá trị sau phí],
(Table_ThuChiKD[Loại GD] = "CHI") *
(Table_ThuChiKD[Nội dung GD] ="Thu chi bán hàng") *
(YEAR(Table_ThuChiKD[Ngày GD]) = YEAR(E$2)) *
(MONTH(Table_ThuChiKD[Ngày GD]) = MONTH(E$2))
)),0)
-IFERROR(
SUM(_xlfn._xlws.FILTER(Table_NopNS[Giá trị tính thuế],
(Table_NopNS[Ngân sách] = "Thuế VAT")*
(Table_NopNS[Năm]=YEAR(E$2))*
(Table_NopNS[Tháng] = MONTH(E$2))
)),0)</f>
        <v>0</v>
      </c>
      <c r="F34" s="337" cm="1">
        <f t="array" ref="F34">IFERROR(
SUM(_xlfn._xlws.FILTER(Table_ThuChiKD[Giá trị sau phí],
(Table_ThuChiKD[Loại GD] = "THU") *
(Table_ThuChiKD[Nội dung GD] ="Thu chi bán hàng") *
(YEAR(Table_ThuChiKD[Ngày GD]) = YEAR(F$2)) *
(MONTH(Table_ThuChiKD[Ngày GD]) = MONTH(F$2))
)),0)
-IFERROR(
SUM(_xlfn._xlws.FILTER(Table_ThuChiKD[Giá trị sau phí],
(Table_ThuChiKD[Loại GD] = "CHI") *
(Table_ThuChiKD[Nội dung GD] ="Thu chi bán hàng") *
(YEAR(Table_ThuChiKD[Ngày GD]) = YEAR(F$2)) *
(MONTH(Table_ThuChiKD[Ngày GD]) = MONTH(F$2))
)),0)
-IFERROR(
SUM(_xlfn._xlws.FILTER(Table_NopNS[Giá trị tính thuế],
(Table_NopNS[Ngân sách] = "Thuế VAT")*
(Table_NopNS[Năm]=YEAR(F$2))*
(Table_NopNS[Tháng] = MONTH(F$2))
)),0)</f>
        <v>0</v>
      </c>
      <c r="G34" s="337" cm="1">
        <f t="array" ref="G34">IFERROR(
SUM(_xlfn._xlws.FILTER(Table_ThuChiKD[Giá trị sau phí],
(Table_ThuChiKD[Loại GD] = "THU") *
(Table_ThuChiKD[Nội dung GD] ="Thu chi bán hàng") *
(YEAR(Table_ThuChiKD[Ngày GD]) = YEAR(G$2)) *
(MONTH(Table_ThuChiKD[Ngày GD]) = MONTH(G$2))
)),0)
-IFERROR(
SUM(_xlfn._xlws.FILTER(Table_ThuChiKD[Giá trị sau phí],
(Table_ThuChiKD[Loại GD] = "CHI") *
(Table_ThuChiKD[Nội dung GD] ="Thu chi bán hàng") *
(YEAR(Table_ThuChiKD[Ngày GD]) = YEAR(G$2)) *
(MONTH(Table_ThuChiKD[Ngày GD]) = MONTH(G$2))
)),0)
-IFERROR(
SUM(_xlfn._xlws.FILTER(Table_NopNS[Giá trị tính thuế],
(Table_NopNS[Ngân sách] = "Thuế VAT")*
(Table_NopNS[Năm]=YEAR(G$2))*
(Table_NopNS[Tháng] = MONTH(G$2))
)),0)</f>
        <v>0</v>
      </c>
      <c r="H34" s="337" cm="1">
        <f t="array" ref="H34">IFERROR(
SUM(_xlfn._xlws.FILTER(Table_ThuChiKD[Giá trị sau phí],
(Table_ThuChiKD[Loại GD] = "THU") *
(Table_ThuChiKD[Nội dung GD] ="Thu chi bán hàng") *
(YEAR(Table_ThuChiKD[Ngày GD]) = YEAR(H$2)) *
(MONTH(Table_ThuChiKD[Ngày GD]) = MONTH(H$2))
)),0)
-IFERROR(
SUM(_xlfn._xlws.FILTER(Table_ThuChiKD[Giá trị sau phí],
(Table_ThuChiKD[Loại GD] = "CHI") *
(Table_ThuChiKD[Nội dung GD] ="Thu chi bán hàng") *
(YEAR(Table_ThuChiKD[Ngày GD]) = YEAR(H$2)) *
(MONTH(Table_ThuChiKD[Ngày GD]) = MONTH(H$2))
)),0)
-IFERROR(
SUM(_xlfn._xlws.FILTER(Table_NopNS[Giá trị tính thuế],
(Table_NopNS[Ngân sách] = "Thuế VAT")*
(Table_NopNS[Năm]=YEAR(H$2))*
(Table_NopNS[Tháng] = MONTH(H$2))
)),0)</f>
        <v>0</v>
      </c>
      <c r="I34" s="337" cm="1">
        <f t="array" ref="I34">IFERROR(
SUM(_xlfn._xlws.FILTER(Table_ThuChiKD[Giá trị sau phí],
(Table_ThuChiKD[Loại GD] = "THU") *
(Table_ThuChiKD[Nội dung GD] ="Thu chi bán hàng") *
(YEAR(Table_ThuChiKD[Ngày GD]) = YEAR(I$2)) *
(MONTH(Table_ThuChiKD[Ngày GD]) = MONTH(I$2))
)),0)
-IFERROR(
SUM(_xlfn._xlws.FILTER(Table_ThuChiKD[Giá trị sau phí],
(Table_ThuChiKD[Loại GD] = "CHI") *
(Table_ThuChiKD[Nội dung GD] ="Thu chi bán hàng") *
(YEAR(Table_ThuChiKD[Ngày GD]) = YEAR(I$2)) *
(MONTH(Table_ThuChiKD[Ngày GD]) = MONTH(I$2))
)),0)
-IFERROR(
SUM(_xlfn._xlws.FILTER(Table_NopNS[Giá trị tính thuế],
(Table_NopNS[Ngân sách] = "Thuế VAT")*
(Table_NopNS[Năm]=YEAR(I$2))*
(Table_NopNS[Tháng] = MONTH(I$2))
)),0)</f>
        <v>0</v>
      </c>
      <c r="J34" s="337" cm="1">
        <f t="array" ref="J34">IFERROR(
SUM(_xlfn._xlws.FILTER(Table_ThuChiKD[Giá trị sau phí],
(Table_ThuChiKD[Loại GD] = "THU") *
(Table_ThuChiKD[Nội dung GD] ="Thu chi bán hàng") *
(YEAR(Table_ThuChiKD[Ngày GD]) = YEAR(J$2)) *
(MONTH(Table_ThuChiKD[Ngày GD]) = MONTH(J$2))
)),0)
-IFERROR(
SUM(_xlfn._xlws.FILTER(Table_ThuChiKD[Giá trị sau phí],
(Table_ThuChiKD[Loại GD] = "CHI") *
(Table_ThuChiKD[Nội dung GD] ="Thu chi bán hàng") *
(YEAR(Table_ThuChiKD[Ngày GD]) = YEAR(J$2)) *
(MONTH(Table_ThuChiKD[Ngày GD]) = MONTH(J$2))
)),0)
-IFERROR(
SUM(_xlfn._xlws.FILTER(Table_NopNS[Giá trị tính thuế],
(Table_NopNS[Ngân sách] = "Thuế VAT")*
(Table_NopNS[Năm]=YEAR(J$2))*
(Table_NopNS[Tháng] = MONTH(J$2))
)),0)</f>
        <v>0</v>
      </c>
      <c r="K34" s="337" cm="1">
        <f t="array" ref="K34">IFERROR(
SUM(_xlfn._xlws.FILTER(Table_ThuChiKD[Giá trị sau phí],
(Table_ThuChiKD[Loại GD] = "THU") *
(Table_ThuChiKD[Nội dung GD] ="Thu chi bán hàng") *
(YEAR(Table_ThuChiKD[Ngày GD]) = YEAR(K$2)) *
(MONTH(Table_ThuChiKD[Ngày GD]) = MONTH(K$2))
)),0)
-IFERROR(
SUM(_xlfn._xlws.FILTER(Table_ThuChiKD[Giá trị sau phí],
(Table_ThuChiKD[Loại GD] = "CHI") *
(Table_ThuChiKD[Nội dung GD] ="Thu chi bán hàng") *
(YEAR(Table_ThuChiKD[Ngày GD]) = YEAR(K$2)) *
(MONTH(Table_ThuChiKD[Ngày GD]) = MONTH(K$2))
)),0)
-IFERROR(
SUM(_xlfn._xlws.FILTER(Table_NopNS[Giá trị tính thuế],
(Table_NopNS[Ngân sách] = "Thuế VAT")*
(Table_NopNS[Năm]=YEAR(K$2))*
(Table_NopNS[Tháng] = MONTH(K$2))
)),0)</f>
        <v>0</v>
      </c>
      <c r="L34" s="337" cm="1">
        <f t="array" ref="L34">IFERROR(
SUM(_xlfn._xlws.FILTER(Table_ThuChiKD[Giá trị sau phí],
(Table_ThuChiKD[Loại GD] = "THU") *
(Table_ThuChiKD[Nội dung GD] ="Thu chi bán hàng") *
(YEAR(Table_ThuChiKD[Ngày GD]) = YEAR(L$2)) *
(MONTH(Table_ThuChiKD[Ngày GD]) = MONTH(L$2))
)),0)
-IFERROR(
SUM(_xlfn._xlws.FILTER(Table_ThuChiKD[Giá trị sau phí],
(Table_ThuChiKD[Loại GD] = "CHI") *
(Table_ThuChiKD[Nội dung GD] ="Thu chi bán hàng") *
(YEAR(Table_ThuChiKD[Ngày GD]) = YEAR(L$2)) *
(MONTH(Table_ThuChiKD[Ngày GD]) = MONTH(L$2))
)),0)
-IFERROR(
SUM(_xlfn._xlws.FILTER(Table_NopNS[Giá trị tính thuế],
(Table_NopNS[Ngân sách] = "Thuế VAT")*
(Table_NopNS[Năm]=YEAR(L$2))*
(Table_NopNS[Tháng] = MONTH(L$2))
)),0)</f>
        <v>0</v>
      </c>
      <c r="M34" s="337" cm="1">
        <f t="array" ref="M34">IFERROR(
SUM(_xlfn._xlws.FILTER(Table_ThuChiKD[Giá trị sau phí],
(Table_ThuChiKD[Loại GD] = "THU") *
(Table_ThuChiKD[Nội dung GD] ="Thu chi bán hàng") *
(YEAR(Table_ThuChiKD[Ngày GD]) = YEAR(M$2)) *
(MONTH(Table_ThuChiKD[Ngày GD]) = MONTH(M$2))
)),0)
-IFERROR(
SUM(_xlfn._xlws.FILTER(Table_ThuChiKD[Giá trị sau phí],
(Table_ThuChiKD[Loại GD] = "CHI") *
(Table_ThuChiKD[Nội dung GD] ="Thu chi bán hàng") *
(YEAR(Table_ThuChiKD[Ngày GD]) = YEAR(M$2)) *
(MONTH(Table_ThuChiKD[Ngày GD]) = MONTH(M$2))
)),0)
-IFERROR(
SUM(_xlfn._xlws.FILTER(Table_NopNS[Giá trị tính thuế],
(Table_NopNS[Ngân sách] = "Thuế VAT")*
(Table_NopNS[Năm]=YEAR(M$2))*
(Table_NopNS[Tháng] = MONTH(M$2))
)),0)</f>
        <v>0</v>
      </c>
      <c r="N34" s="337" cm="1">
        <f t="array" ref="N34">IFERROR(
SUM(_xlfn._xlws.FILTER(Table_ThuChiKD[Giá trị sau phí],
(Table_ThuChiKD[Loại GD] = "THU") *
(Table_ThuChiKD[Nội dung GD] ="Thu chi bán hàng") *
(YEAR(Table_ThuChiKD[Ngày GD]) = YEAR(N$2)) *
(MONTH(Table_ThuChiKD[Ngày GD]) = MONTH(N$2))
)),0)
-IFERROR(
SUM(_xlfn._xlws.FILTER(Table_ThuChiKD[Giá trị sau phí],
(Table_ThuChiKD[Loại GD] = "CHI") *
(Table_ThuChiKD[Nội dung GD] ="Thu chi bán hàng") *
(YEAR(Table_ThuChiKD[Ngày GD]) = YEAR(N$2)) *
(MONTH(Table_ThuChiKD[Ngày GD]) = MONTH(N$2))
)),0)
-IFERROR(
SUM(_xlfn._xlws.FILTER(Table_NopNS[Giá trị tính thuế],
(Table_NopNS[Ngân sách] = "Thuế VAT")*
(Table_NopNS[Năm]=YEAR(N$2))*
(Table_NopNS[Tháng] = MONTH(N$2))
)),0)</f>
        <v>0</v>
      </c>
      <c r="O34" s="337" cm="1">
        <f t="array" ref="O34">IFERROR(
SUM(_xlfn._xlws.FILTER(Table_ThuChiKD[Giá trị sau phí],
(Table_ThuChiKD[Loại GD] = "THU") *
(Table_ThuChiKD[Nội dung GD] ="Thu chi bán hàng") *
(YEAR(Table_ThuChiKD[Ngày GD]) = YEAR(O$2)) *
(MONTH(Table_ThuChiKD[Ngày GD]) = MONTH(O$2))
)),0)
-IFERROR(
SUM(_xlfn._xlws.FILTER(Table_ThuChiKD[Giá trị sau phí],
(Table_ThuChiKD[Loại GD] = "CHI") *
(Table_ThuChiKD[Nội dung GD] ="Thu chi bán hàng") *
(YEAR(Table_ThuChiKD[Ngày GD]) = YEAR(O$2)) *
(MONTH(Table_ThuChiKD[Ngày GD]) = MONTH(O$2))
)),0)
-IFERROR(
SUM(_xlfn._xlws.FILTER(Table_NopNS[Giá trị tính thuế],
(Table_NopNS[Ngân sách] = "Thuế VAT")*
(Table_NopNS[Năm]=YEAR(O$2))*
(Table_NopNS[Tháng] = MONTH(O$2))
)),0)</f>
        <v>0</v>
      </c>
      <c r="P34" s="326"/>
      <c r="Q34" s="249"/>
      <c r="R34" s="54" t="s">
        <v>303</v>
      </c>
      <c r="S34" s="331" cm="1">
        <f t="array" ref="S34">IFERROR(
SUM(_xlfn._xlws.FILTER(Table_ThuChiKD[Giá trị sau phí],
(Table_ThuChiKD[Loại GD] = "THU") *
(Table_ThuChiKD[Nội dung GD] ="Thu chi bán hàng") *
(YEAR(Table_ThuChiKD[Ngày GD]) = S$1)
)),0)
- IFERROR(
SUM(_xlfn._xlws.FILTER(Table_ThuChiKD[Giá trị sau phí],
(Table_ThuChiKD[Loại GD] = "CHI") *
(Table_ThuChiKD[Nội dung GD] ="Thu chi bán hàng") *
(YEAR(Table_ThuChiKD[Ngày GD]) = S$1)
)),0)
-IFERROR(
SUM(_xlfn._xlws.FILTER(Table_NopNS[Giá trị tính thuế],
(Table_NopNS[Ngân sách] = "Thuế VAT")*
(Table_NopNS[Năm]=S$1)
)),0)</f>
        <v>0</v>
      </c>
      <c r="T34" s="249"/>
      <c r="U34" s="54" t="s">
        <v>303</v>
      </c>
      <c r="V34" s="337" cm="1">
        <f t="array" ref="V34">IFERROR(
SUM(_xlfn._xlws.FILTER(Table_ThuChiKD[Giá trị sau phí],
(Table_ThuChiKD[Loại GD] = "THU") *
(Table_ThuChiKD[Nội dung GD] ="Thu chi bán hàng") *
(YEAR(Table_ThuChiKD[Ngày GD]) = YEAR(V$1)) *
(MONTH(Table_ThuChiKD[Ngày GD]) = MONTH(V$1))
)),0)
-IFERROR(
SUM(_xlfn._xlws.FILTER(Table_ThuChiKD[Giá trị sau phí],
(Table_ThuChiKD[Loại GD] = "CHI") *
(Table_ThuChiKD[Nội dung GD] ="Thu chi bán hàng") *
(YEAR(Table_ThuChiKD[Ngày GD]) = YEAR(V$1)) *
(MONTH(Table_ThuChiKD[Ngày GD]) = MONTH(V$1))
)),0)
-IFERROR(
SUM(_xlfn._xlws.FILTER(Table_NopNS[Giá trị tính thuế],
(Table_NopNS[Ngân sách] = "Thuế VAT")*
(Table_NopNS[Năm]=YEAR(V$1))*
(Table_NopNS[Tháng] = MONTH(V$1))
)),0)</f>
        <v>0</v>
      </c>
    </row>
    <row r="35" spans="2:22" ht="18" customHeight="1" outlineLevel="2" x14ac:dyDescent="0.3">
      <c r="B35" s="54" t="s">
        <v>304</v>
      </c>
      <c r="C35" s="338" cm="1">
        <f t="array" ref="C35">IFERROR(
SUM(_xlfn._xlws.FILTER(Table_NopNS[Giá trị tính thuế],
(Table_NopNS[Ngân sách] = "Thuế VAT")*
(Table_NopNS[Năm]=C$2)
)),0)</f>
        <v>0</v>
      </c>
      <c r="D35" s="337" cm="1">
        <f t="array" ref="D35">IFERROR(
SUM(_xlfn._xlws.FILTER(Table_NopNS[Giá trị tính thuế],
(Table_NopNS[Ngân sách] = "Thuế VAT")*
(Table_NopNS[Năm]=YEAR(D$2))*
(Table_NopNS[Tháng] = MONTH(D$2))
)),0)</f>
        <v>0</v>
      </c>
      <c r="E35" s="337" cm="1">
        <f t="array" ref="E35">IFERROR(
SUM(_xlfn._xlws.FILTER(Table_NopNS[Giá trị tính thuế],
(Table_NopNS[Ngân sách] = "Thuế VAT")*
(Table_NopNS[Năm]=YEAR(E$2))*
(Table_NopNS[Tháng] = MONTH(E$2))
)),0)</f>
        <v>0</v>
      </c>
      <c r="F35" s="337" cm="1">
        <f t="array" ref="F35">IFERROR(
SUM(_xlfn._xlws.FILTER(Table_NopNS[Giá trị tính thuế],
(Table_NopNS[Ngân sách] = "Thuế VAT")*
(Table_NopNS[Năm]=YEAR(F$2))*
(Table_NopNS[Tháng] = MONTH(F$2))
)),0)</f>
        <v>0</v>
      </c>
      <c r="G35" s="337" cm="1">
        <f t="array" ref="G35">IFERROR(
SUM(_xlfn._xlws.FILTER(Table_NopNS[Giá trị tính thuế],
(Table_NopNS[Ngân sách] = "Thuế VAT")*
(Table_NopNS[Năm]=YEAR(G$2))*
(Table_NopNS[Tháng] = MONTH(G$2))
)),0)</f>
        <v>0</v>
      </c>
      <c r="H35" s="337" cm="1">
        <f t="array" ref="H35">IFERROR(
SUM(_xlfn._xlws.FILTER(Table_NopNS[Giá trị tính thuế],
(Table_NopNS[Ngân sách] = "Thuế VAT")*
(Table_NopNS[Năm]=YEAR(H$2))*
(Table_NopNS[Tháng] = MONTH(H$2))
)),0)</f>
        <v>0</v>
      </c>
      <c r="I35" s="337" cm="1">
        <f t="array" ref="I35">IFERROR(
SUM(_xlfn._xlws.FILTER(Table_NopNS[Giá trị tính thuế],
(Table_NopNS[Ngân sách] = "Thuế VAT")*
(Table_NopNS[Năm]=YEAR(I$2))*
(Table_NopNS[Tháng] = MONTH(I$2))
)),0)</f>
        <v>0</v>
      </c>
      <c r="J35" s="337" cm="1">
        <f t="array" ref="J35">IFERROR(
SUM(_xlfn._xlws.FILTER(Table_NopNS[Giá trị tính thuế],
(Table_NopNS[Ngân sách] = "Thuế VAT")*
(Table_NopNS[Năm]=YEAR(J$2))*
(Table_NopNS[Tháng] = MONTH(J$2))
)),0)</f>
        <v>0</v>
      </c>
      <c r="K35" s="337" cm="1">
        <f t="array" ref="K35">IFERROR(
SUM(_xlfn._xlws.FILTER(Table_NopNS[Giá trị tính thuế],
(Table_NopNS[Ngân sách] = "Thuế VAT")*
(Table_NopNS[Năm]=YEAR(K$2))*
(Table_NopNS[Tháng] = MONTH(K$2))
)),0)</f>
        <v>0</v>
      </c>
      <c r="L35" s="337" cm="1">
        <f t="array" ref="L35">IFERROR(
SUM(_xlfn._xlws.FILTER(Table_NopNS[Giá trị tính thuế],
(Table_NopNS[Ngân sách] = "Thuế VAT")*
(Table_NopNS[Năm]=YEAR(L$2))*
(Table_NopNS[Tháng] = MONTH(L$2))
)),0)</f>
        <v>0</v>
      </c>
      <c r="M35" s="337" cm="1">
        <f t="array" ref="M35">IFERROR(
SUM(_xlfn._xlws.FILTER(Table_NopNS[Giá trị tính thuế],
(Table_NopNS[Ngân sách] = "Thuế VAT")*
(Table_NopNS[Năm]=YEAR(M$2))*
(Table_NopNS[Tháng] = MONTH(M$2))
)),0)</f>
        <v>0</v>
      </c>
      <c r="N35" s="337" cm="1">
        <f t="array" ref="N35">IFERROR(
SUM(_xlfn._xlws.FILTER(Table_NopNS[Giá trị tính thuế],
(Table_NopNS[Ngân sách] = "Thuế VAT")*
(Table_NopNS[Năm]=YEAR(N$2))*
(Table_NopNS[Tháng] = MONTH(N$2))
)),0)</f>
        <v>0</v>
      </c>
      <c r="O35" s="337" cm="1">
        <f t="array" ref="O35">IFERROR(
SUM(_xlfn._xlws.FILTER(Table_NopNS[Giá trị tính thuế],
(Table_NopNS[Ngân sách] = "Thuế VAT")*
(Table_NopNS[Năm]=YEAR(O$2))*
(Table_NopNS[Tháng] = MONTH(O$2))
)),0)</f>
        <v>0</v>
      </c>
      <c r="P35" s="337"/>
      <c r="Q35" s="242"/>
      <c r="R35" s="54" t="s">
        <v>304</v>
      </c>
      <c r="S35" s="338" cm="1">
        <f t="array" ref="S35">IFERROR(
SUM(_xlfn._xlws.FILTER(Table_NopNS[Giá trị tính thuế],
(Table_NopNS[Ngân sách] = "Thuế VAT")*
(Table_NopNS[Năm]=S$1)
)),0)</f>
        <v>0</v>
      </c>
      <c r="T35" s="242"/>
      <c r="U35" s="54" t="s">
        <v>304</v>
      </c>
      <c r="V35" s="337" cm="1">
        <f t="array" ref="V35">IFERROR(
SUM(_xlfn._xlws.FILTER(Table_NopNS[Giá trị tính thuế],
(Table_NopNS[Ngân sách] = "Thuế VAT")*
(Table_NopNS[Năm]=YEAR(V$1))*
(Table_NopNS[Tháng] = MONTH(V$1))
)),0)</f>
        <v>0</v>
      </c>
    </row>
    <row r="36" spans="2:22" ht="18" customHeight="1" outlineLevel="1" x14ac:dyDescent="0.3">
      <c r="B36" s="99" t="s">
        <v>102</v>
      </c>
      <c r="C36" s="123" t="e">
        <f t="shared" ref="C36:O36" si="11">(C9-C34)/C9</f>
        <v>#DIV/0!</v>
      </c>
      <c r="D36" s="123" t="e">
        <f t="shared" si="11"/>
        <v>#DIV/0!</v>
      </c>
      <c r="E36" s="123" t="e">
        <f t="shared" si="11"/>
        <v>#DIV/0!</v>
      </c>
      <c r="F36" s="123" t="e">
        <f t="shared" si="11"/>
        <v>#DIV/0!</v>
      </c>
      <c r="G36" s="123" t="e">
        <f t="shared" si="11"/>
        <v>#DIV/0!</v>
      </c>
      <c r="H36" s="123" t="e">
        <f t="shared" si="11"/>
        <v>#DIV/0!</v>
      </c>
      <c r="I36" s="123" t="e">
        <f t="shared" si="11"/>
        <v>#DIV/0!</v>
      </c>
      <c r="J36" s="123" t="e">
        <f t="shared" si="11"/>
        <v>#DIV/0!</v>
      </c>
      <c r="K36" s="123" t="e">
        <f t="shared" si="11"/>
        <v>#DIV/0!</v>
      </c>
      <c r="L36" s="123" t="e">
        <f t="shared" si="11"/>
        <v>#DIV/0!</v>
      </c>
      <c r="M36" s="123" t="e">
        <f t="shared" si="11"/>
        <v>#DIV/0!</v>
      </c>
      <c r="N36" s="123" t="e">
        <f t="shared" si="11"/>
        <v>#DIV/0!</v>
      </c>
      <c r="O36" s="123" t="e">
        <f t="shared" si="11"/>
        <v>#DIV/0!</v>
      </c>
      <c r="P36" s="326"/>
      <c r="Q36" s="242"/>
      <c r="R36" s="99" t="s">
        <v>102</v>
      </c>
      <c r="S36" s="123" t="e">
        <f>(S9-S34)/S9</f>
        <v>#DIV/0!</v>
      </c>
      <c r="T36" s="242"/>
      <c r="U36" s="99" t="s">
        <v>102</v>
      </c>
      <c r="V36" s="123" t="e">
        <f>(V9-V34)/V9</f>
        <v>#DIV/0!</v>
      </c>
    </row>
    <row r="37" spans="2:22" ht="18" customHeight="1" outlineLevel="1" x14ac:dyDescent="0.3">
      <c r="B37" s="124" t="s">
        <v>305</v>
      </c>
      <c r="C37" s="331">
        <f>+C38+C39+C40</f>
        <v>0</v>
      </c>
      <c r="D37" s="331">
        <f t="shared" ref="D37:O37" si="12">+D38+D39+D40</f>
        <v>0</v>
      </c>
      <c r="E37" s="331">
        <f t="shared" si="12"/>
        <v>0</v>
      </c>
      <c r="F37" s="331">
        <f t="shared" si="12"/>
        <v>0</v>
      </c>
      <c r="G37" s="331">
        <f t="shared" si="12"/>
        <v>0</v>
      </c>
      <c r="H37" s="331">
        <f t="shared" si="12"/>
        <v>0</v>
      </c>
      <c r="I37" s="331">
        <f t="shared" si="12"/>
        <v>0</v>
      </c>
      <c r="J37" s="331">
        <f t="shared" si="12"/>
        <v>0</v>
      </c>
      <c r="K37" s="331">
        <f t="shared" si="12"/>
        <v>0</v>
      </c>
      <c r="L37" s="331">
        <f t="shared" si="12"/>
        <v>0</v>
      </c>
      <c r="M37" s="331">
        <f t="shared" si="12"/>
        <v>0</v>
      </c>
      <c r="N37" s="331">
        <f t="shared" si="12"/>
        <v>0</v>
      </c>
      <c r="O37" s="331">
        <f t="shared" si="12"/>
        <v>0</v>
      </c>
      <c r="P37" s="326"/>
      <c r="Q37" s="242"/>
      <c r="R37" s="124" t="s">
        <v>305</v>
      </c>
      <c r="S37" s="107">
        <f>+S38+S39+S40</f>
        <v>0</v>
      </c>
      <c r="T37" s="242"/>
      <c r="U37" s="124" t="s">
        <v>305</v>
      </c>
      <c r="V37" s="107">
        <f>+V38+V39+V40</f>
        <v>0</v>
      </c>
    </row>
    <row r="38" spans="2:22" ht="18" customHeight="1" outlineLevel="2" x14ac:dyDescent="0.3">
      <c r="B38" s="73" t="s">
        <v>306</v>
      </c>
      <c r="C38" s="331" cm="1">
        <f t="array" ref="C38">IFERROR(
SUM(_xlfn._xlws.FILTER(Table_ThuChiKD[Giá trị sau phí],
(Table_ThuChiKD[Loại GD] = "THU") *
(Table_ThuChiKD[Nội dung GD] = "Thu chi mua hàng hóa, nguyên liệu, vật tư") *
(YEAR(Table_ThuChiKD[Ngày GD]) = $C$2)
)),0)
- IFERROR(
SUM(_xlfn._xlws.FILTER(Table_ThuChiKD[Giá trị sau phí],
(Table_ThuChiKD[Loại GD] = "CHI") *
(Table_ThuChiKD[Nội dung GD] ="Thu chi mua hàng hóa, nguyên liệu, vật tư") *
(YEAR(Table_ThuChiKD[Ngày GD]) = $C$2)
)),0)</f>
        <v>0</v>
      </c>
      <c r="D38" s="337" cm="1">
        <f t="array" ref="D38">IFERROR(
SUM(_xlfn._xlws.FILTER(Table_ThuChiKD[Giá trị sau phí],
(Table_ThuChiKD[Loại GD] = "THU") *
(Table_ThuChiKD[Nội dung GD] ="Thu chi mua hàng hóa, nguyên liệu, vật tư") *
(YEAR(Table_ThuChiKD[Ngày GD]) = YEAR(D$2)) *
(MONTH(Table_ThuChiKD[Ngày GD]) = MONTH(D$2))
)),0)
-IFERROR(
SUM(_xlfn._xlws.FILTER(Table_ThuChiKD[Giá trị sau phí],
(Table_ThuChiKD[Loại GD] = "CHI") *
(Table_ThuChiKD[Nội dung GD] ="Thu chi mua hàng hóa, nguyên liệu, vật tư") *
(YEAR(Table_ThuChiKD[Ngày GD]) = YEAR(D$2)) *
(MONTH(Table_ThuChiKD[Ngày GD]) = MONTH(D$2))
)),0)</f>
        <v>0</v>
      </c>
      <c r="E38" s="337" cm="1">
        <f t="array" ref="E38">IFERROR(
SUM(_xlfn._xlws.FILTER(Table_ThuChiKD[Giá trị sau phí],
(Table_ThuChiKD[Loại GD] = "THU") *
(Table_ThuChiKD[Nội dung GD] ="Thu chi mua hàng hóa, nguyên liệu, vật tư") *
(YEAR(Table_ThuChiKD[Ngày GD]) = YEAR(E$2)) *
(MONTH(Table_ThuChiKD[Ngày GD]) = MONTH(E$2))
)),0)
-IFERROR(
SUM(_xlfn._xlws.FILTER(Table_ThuChiKD[Giá trị sau phí],
(Table_ThuChiKD[Loại GD] = "CHI") *
(Table_ThuChiKD[Nội dung GD] ="Thu chi mua hàng hóa, nguyên liệu, vật tư") *
(YEAR(Table_ThuChiKD[Ngày GD]) = YEAR(E$2)) *
(MONTH(Table_ThuChiKD[Ngày GD]) = MONTH(E$2))
)),0)</f>
        <v>0</v>
      </c>
      <c r="F38" s="337" cm="1">
        <f t="array" ref="F38">IFERROR(
SUM(_xlfn._xlws.FILTER(Table_ThuChiKD[Giá trị sau phí],
(Table_ThuChiKD[Loại GD] = "THU") *
(Table_ThuChiKD[Nội dung GD] ="Thu chi mua hàng hóa, nguyên liệu, vật tư") *
(YEAR(Table_ThuChiKD[Ngày GD]) = YEAR(F$2)) *
(MONTH(Table_ThuChiKD[Ngày GD]) = MONTH(F$2))
)),0)
-IFERROR(
SUM(_xlfn._xlws.FILTER(Table_ThuChiKD[Giá trị sau phí],
(Table_ThuChiKD[Loại GD] = "CHI") *
(Table_ThuChiKD[Nội dung GD] ="Thu chi mua hàng hóa, nguyên liệu, vật tư") *
(YEAR(Table_ThuChiKD[Ngày GD]) = YEAR(F$2)) *
(MONTH(Table_ThuChiKD[Ngày GD]) = MONTH(F$2))
)),0)</f>
        <v>0</v>
      </c>
      <c r="G38" s="337" cm="1">
        <f t="array" ref="G38">IFERROR(
SUM(_xlfn._xlws.FILTER(Table_ThuChiKD[Giá trị sau phí],
(Table_ThuChiKD[Loại GD] = "THU") *
(Table_ThuChiKD[Nội dung GD] ="Thu chi mua hàng hóa, nguyên liệu, vật tư") *
(YEAR(Table_ThuChiKD[Ngày GD]) = YEAR(G$2)) *
(MONTH(Table_ThuChiKD[Ngày GD]) = MONTH(G$2))
)),0)
-IFERROR(
SUM(_xlfn._xlws.FILTER(Table_ThuChiKD[Giá trị sau phí],
(Table_ThuChiKD[Loại GD] = "CHI") *
(Table_ThuChiKD[Nội dung GD] ="Thu chi mua hàng hóa, nguyên liệu, vật tư") *
(YEAR(Table_ThuChiKD[Ngày GD]) = YEAR(G$2)) *
(MONTH(Table_ThuChiKD[Ngày GD]) = MONTH(G$2))
)),0)</f>
        <v>0</v>
      </c>
      <c r="H38" s="337" cm="1">
        <f t="array" ref="H38">IFERROR(
SUM(_xlfn._xlws.FILTER(Table_ThuChiKD[Giá trị sau phí],
(Table_ThuChiKD[Loại GD] = "THU") *
(Table_ThuChiKD[Nội dung GD] ="Thu chi mua hàng hóa, nguyên liệu, vật tư") *
(YEAR(Table_ThuChiKD[Ngày GD]) = YEAR(H$2)) *
(MONTH(Table_ThuChiKD[Ngày GD]) = MONTH(H$2))
)),0)
-IFERROR(
SUM(_xlfn._xlws.FILTER(Table_ThuChiKD[Giá trị sau phí],
(Table_ThuChiKD[Loại GD] = "CHI") *
(Table_ThuChiKD[Nội dung GD] ="Thu chi mua hàng hóa, nguyên liệu, vật tư") *
(YEAR(Table_ThuChiKD[Ngày GD]) = YEAR(H$2)) *
(MONTH(Table_ThuChiKD[Ngày GD]) = MONTH(H$2))
)),0)</f>
        <v>0</v>
      </c>
      <c r="I38" s="337" cm="1">
        <f t="array" ref="I38">IFERROR(
SUM(_xlfn._xlws.FILTER(Table_ThuChiKD[Giá trị sau phí],
(Table_ThuChiKD[Loại GD] = "THU") *
(Table_ThuChiKD[Nội dung GD] ="Thu chi mua hàng hóa, nguyên liệu, vật tư") *
(YEAR(Table_ThuChiKD[Ngày GD]) = YEAR(I$2)) *
(MONTH(Table_ThuChiKD[Ngày GD]) = MONTH(I$2))
)),0)
-IFERROR(
SUM(_xlfn._xlws.FILTER(Table_ThuChiKD[Giá trị sau phí],
(Table_ThuChiKD[Loại GD] = "CHI") *
(Table_ThuChiKD[Nội dung GD] ="Thu chi mua hàng hóa, nguyên liệu, vật tư") *
(YEAR(Table_ThuChiKD[Ngày GD]) = YEAR(I$2)) *
(MONTH(Table_ThuChiKD[Ngày GD]) = MONTH(I$2))
)),0)</f>
        <v>0</v>
      </c>
      <c r="J38" s="337" cm="1">
        <f t="array" ref="J38">IFERROR(
SUM(_xlfn._xlws.FILTER(Table_ThuChiKD[Giá trị sau phí],
(Table_ThuChiKD[Loại GD] = "THU") *
(Table_ThuChiKD[Nội dung GD] ="Thu chi mua hàng hóa, nguyên liệu, vật tư") *
(YEAR(Table_ThuChiKD[Ngày GD]) = YEAR(J$2)) *
(MONTH(Table_ThuChiKD[Ngày GD]) = MONTH(J$2))
)),0)
-IFERROR(
SUM(_xlfn._xlws.FILTER(Table_ThuChiKD[Giá trị sau phí],
(Table_ThuChiKD[Loại GD] = "CHI") *
(Table_ThuChiKD[Nội dung GD] ="Thu chi mua hàng hóa, nguyên liệu, vật tư") *
(YEAR(Table_ThuChiKD[Ngày GD]) = YEAR(J$2)) *
(MONTH(Table_ThuChiKD[Ngày GD]) = MONTH(J$2))
)),0)</f>
        <v>0</v>
      </c>
      <c r="K38" s="337" cm="1">
        <f t="array" ref="K38">IFERROR(
SUM(_xlfn._xlws.FILTER(Table_ThuChiKD[Giá trị sau phí],
(Table_ThuChiKD[Loại GD] = "THU") *
(Table_ThuChiKD[Nội dung GD] ="Thu chi mua hàng hóa, nguyên liệu, vật tư") *
(YEAR(Table_ThuChiKD[Ngày GD]) = YEAR(K$2)) *
(MONTH(Table_ThuChiKD[Ngày GD]) = MONTH(K$2))
)),0)
-IFERROR(
SUM(_xlfn._xlws.FILTER(Table_ThuChiKD[Giá trị sau phí],
(Table_ThuChiKD[Loại GD] = "CHI") *
(Table_ThuChiKD[Nội dung GD] ="Thu chi mua hàng hóa, nguyên liệu, vật tư") *
(YEAR(Table_ThuChiKD[Ngày GD]) = YEAR(K$2)) *
(MONTH(Table_ThuChiKD[Ngày GD]) = MONTH(K$2))
)),0)</f>
        <v>0</v>
      </c>
      <c r="L38" s="337" cm="1">
        <f t="array" ref="L38">IFERROR(
SUM(_xlfn._xlws.FILTER(Table_ThuChiKD[Giá trị sau phí],
(Table_ThuChiKD[Loại GD] = "THU") *
(Table_ThuChiKD[Nội dung GD] ="Thu chi mua hàng hóa, nguyên liệu, vật tư") *
(YEAR(Table_ThuChiKD[Ngày GD]) = YEAR(L$2)) *
(MONTH(Table_ThuChiKD[Ngày GD]) = MONTH(L$2))
)),0)
-IFERROR(
SUM(_xlfn._xlws.FILTER(Table_ThuChiKD[Giá trị sau phí],
(Table_ThuChiKD[Loại GD] = "CHI") *
(Table_ThuChiKD[Nội dung GD] ="Thu chi mua hàng hóa, nguyên liệu, vật tư") *
(YEAR(Table_ThuChiKD[Ngày GD]) = YEAR(L$2)) *
(MONTH(Table_ThuChiKD[Ngày GD]) = MONTH(L$2))
)),0)</f>
        <v>0</v>
      </c>
      <c r="M38" s="337" cm="1">
        <f t="array" ref="M38">IFERROR(
SUM(_xlfn._xlws.FILTER(Table_ThuChiKD[Giá trị sau phí],
(Table_ThuChiKD[Loại GD] = "THU") *
(Table_ThuChiKD[Nội dung GD] ="Thu chi mua hàng hóa, nguyên liệu, vật tư") *
(YEAR(Table_ThuChiKD[Ngày GD]) = YEAR(M$2)) *
(MONTH(Table_ThuChiKD[Ngày GD]) = MONTH(M$2))
)),0)
-IFERROR(
SUM(_xlfn._xlws.FILTER(Table_ThuChiKD[Giá trị sau phí],
(Table_ThuChiKD[Loại GD] = "CHI") *
(Table_ThuChiKD[Nội dung GD] ="Thu chi mua hàng hóa, nguyên liệu, vật tư") *
(YEAR(Table_ThuChiKD[Ngày GD]) = YEAR(M$2)) *
(MONTH(Table_ThuChiKD[Ngày GD]) = MONTH(M$2))
)),0)</f>
        <v>0</v>
      </c>
      <c r="N38" s="337" cm="1">
        <f t="array" ref="N38">IFERROR(
SUM(_xlfn._xlws.FILTER(Table_ThuChiKD[Giá trị sau phí],
(Table_ThuChiKD[Loại GD] = "THU") *
(Table_ThuChiKD[Nội dung GD] ="Thu chi mua hàng hóa, nguyên liệu, vật tư") *
(YEAR(Table_ThuChiKD[Ngày GD]) = YEAR(N$2)) *
(MONTH(Table_ThuChiKD[Ngày GD]) = MONTH(N$2))
)),0)
-IFERROR(
SUM(_xlfn._xlws.FILTER(Table_ThuChiKD[Giá trị sau phí],
(Table_ThuChiKD[Loại GD] = "CHI") *
(Table_ThuChiKD[Nội dung GD] ="Thu chi mua hàng hóa, nguyên liệu, vật tư") *
(YEAR(Table_ThuChiKD[Ngày GD]) = YEAR(N$2)) *
(MONTH(Table_ThuChiKD[Ngày GD]) = MONTH(N$2))
)),0)</f>
        <v>0</v>
      </c>
      <c r="O38" s="337" cm="1">
        <f t="array" ref="O38">IFERROR(
SUM(_xlfn._xlws.FILTER(Table_ThuChiKD[Giá trị sau phí],
(Table_ThuChiKD[Loại GD] = "THU") *
(Table_ThuChiKD[Nội dung GD] ="Thu chi mua hàng hóa, nguyên liệu, vật tư") *
(YEAR(Table_ThuChiKD[Ngày GD]) = YEAR(O$2)) *
(MONTH(Table_ThuChiKD[Ngày GD]) = MONTH(O$2))
)),0)
-IFERROR(
SUM(_xlfn._xlws.FILTER(Table_ThuChiKD[Giá trị sau phí],
(Table_ThuChiKD[Loại GD] = "CHI") *
(Table_ThuChiKD[Nội dung GD] ="Thu chi mua hàng hóa, nguyên liệu, vật tư") *
(YEAR(Table_ThuChiKD[Ngày GD]) = YEAR(O$2)) *
(MONTH(Table_ThuChiKD[Ngày GD]) = MONTH(O$2))
)),0)</f>
        <v>0</v>
      </c>
      <c r="P38" s="326"/>
      <c r="Q38" s="242"/>
      <c r="R38" s="73" t="s">
        <v>306</v>
      </c>
      <c r="S38" s="331" cm="1">
        <f t="array" ref="S38">IFERROR(
SUM(_xlfn._xlws.FILTER(Table_ThuChiKD[Giá trị sau phí],
(Table_ThuChiKD[Loại GD] = "THU") *
(Table_ThuChiKD[Nội dung GD] = "Thu chi mua hàng hóa, nguyên liệu, vật tư") *
(YEAR(Table_ThuChiKD[Ngày GD]) = S$1)
)),0)
- IFERROR(
SUM(_xlfn._xlws.FILTER(Table_ThuChiKD[Giá trị sau phí],
(Table_ThuChiKD[Loại GD] = "CHI") *
(Table_ThuChiKD[Nội dung GD] ="Thu chi mua hàng hóa, nguyên liệu, vật tư") *
(YEAR(Table_ThuChiKD[Ngày GD]) = S$1)
)),0)</f>
        <v>0</v>
      </c>
      <c r="T38" s="242"/>
      <c r="U38" s="73" t="s">
        <v>306</v>
      </c>
      <c r="V38" s="337" cm="1">
        <f t="array" ref="V38">IFERROR(
SUM(_xlfn._xlws.FILTER(Table_ThuChiKD[Giá trị sau phí],
(Table_ThuChiKD[Loại GD] = "THU") *
(Table_ThuChiKD[Nội dung GD] ="Thu chi mua hàng hóa, nguyên liệu, vật tư") *
(YEAR(Table_ThuChiKD[Ngày GD]) = YEAR(V$1)) *
(MONTH(Table_ThuChiKD[Ngày GD]) = MONTH(V$1))
)),0)
-IFERROR(
SUM(_xlfn._xlws.FILTER(Table_ThuChiKD[Giá trị sau phí],
(Table_ThuChiKD[Loại GD] = "CHI") *
(Table_ThuChiKD[Nội dung GD] ="Thu chi mua hàng hóa, nguyên liệu, vật tư") *
(YEAR(Table_ThuChiKD[Ngày GD]) = YEAR(V$1)) *
(MONTH(Table_ThuChiKD[Ngày GD]) = MONTH(V$1))
)),0)</f>
        <v>0</v>
      </c>
    </row>
    <row r="39" spans="2:22" ht="18" customHeight="1" outlineLevel="2" x14ac:dyDescent="0.3">
      <c r="B39" s="73" t="s">
        <v>307</v>
      </c>
      <c r="C39" s="331" cm="1">
        <f t="array" ref="C39">IFERROR(
SUM(_xlfn._xlws.FILTER(Table_ThuChiKD[Giá trị sau phí],
(Table_ThuChiKD[Loại GD] = "THU") *
(Table_ThuChiKD[Nội dung GD] = "Thu chi chi phí tiện ích") *
(YEAR(Table_ThuChiKD[Ngày GD]) = $C$2)
)),0)
- IFERROR(
SUM(_xlfn._xlws.FILTER(Table_ThuChiKD[Giá trị sau phí],
(Table_ThuChiKD[Loại GD] = "CHI") *
(Table_ThuChiKD[Nội dung GD] ="Thu chi chi phí tiện ích") *
(YEAR(Table_ThuChiKD[Ngày GD]) = $C$2)
)),0)
+IFERROR(
SUM(_xlfn._xlws.FILTER(Table_ThuChiKD[Giá trị sau phí],
(Table_ThuChiKD[Loại GD] = "THU") *
(Table_ThuChiKD[Nội dung GD] = "Thu chi chi phí marketing &amp; bán hàng") *
(YEAR(Table_ThuChiKD[Ngày GD]) = $C$2)
)),0)
- IFERROR(
SUM(_xlfn._xlws.FILTER(Table_ThuChiKD[Giá trị sau phí],
(Table_ThuChiKD[Loại GD] = "CHI") *
(Table_ThuChiKD[Nội dung GD] ="Thu chi chi phí marketing &amp; bán hàng") *
(YEAR(Table_ThuChiKD[Ngày GD]) = $C$2)
)),0)
+IFERROR(
SUM(_xlfn._xlws.FILTER(Table_ThuChiKD[Giá trị sau phí],
(Table_ThuChiKD[Loại GD] = "THU") *
(Table_ThuChiKD[Nội dung GD] = "Thu chi chi phí vận tải và dịch vụ khác") *
(YEAR(Table_ThuChiKD[Ngày GD]) = $C$2)
)),0)
- IFERROR(
SUM(_xlfn._xlws.FILTER(Table_ThuChiKD[Giá trị sau phí],
(Table_ThuChiKD[Loại GD] = "CHI") *
(Table_ThuChiKD[Nội dung GD] ="Thu chi chi phí vận tải và dịch vụ khác") *
(YEAR(Table_ThuChiKD[Ngày GD]) = $C$2)
)),0)</f>
        <v>0</v>
      </c>
      <c r="D39" s="337" cm="1">
        <f t="array" ref="D39">IFERROR(
SUM(_xlfn._xlws.FILTER(Table_ThuChiKD[Giá trị sau phí],
(Table_ThuChiKD[Loại GD] = "THU") *
(Table_ThuChiKD[Nội dung GD] ="Thu chi chi phí tiện ích") *
(YEAR(Table_ThuChiKD[Ngày GD]) = YEAR(D$2)) *
(MONTH(Table_ThuChiKD[Ngày GD]) = MONTH(D$2))
)),0)
-IFERROR(
SUM(_xlfn._xlws.FILTER(Table_ThuChiKD[Giá trị sau phí],
(Table_ThuChiKD[Loại GD] = "CHI") *
(Table_ThuChiKD[Nội dung GD] ="Thu chi chi phí tiện ích") *
(YEAR(Table_ThuChiKD[Ngày GD]) = YEAR(D$2)) *
(MONTH(Table_ThuChiKD[Ngày GD]) = MONTH(D$2))
)),0)
+IFERROR(
SUM(_xlfn._xlws.FILTER(Table_ThuChiKD[Giá trị sau phí],
(Table_ThuChiKD[Loại GD] = "THU") *
(Table_ThuChiKD[Nội dung GD] ="Thu chi chi phí marketing &amp; bán hàng") *
(YEAR(Table_ThuChiKD[Ngày GD]) = YEAR(D$2)) *
(MONTH(Table_ThuChiKD[Ngày GD]) = MONTH(D$2))
)),0)
-IFERROR(
SUM(_xlfn._xlws.FILTER(Table_ThuChiKD[Giá trị sau phí],
(Table_ThuChiKD[Loại GD] = "CHI") *
(Table_ThuChiKD[Nội dung GD] ="Thu chi chi phí marketing &amp; bán hàng") *
(YEAR(Table_ThuChiKD[Ngày GD]) = YEAR(D$2)) *
(MONTH(Table_ThuChiKD[Ngày GD]) = MONTH(D$2))
)),0)
+IFERROR(
SUM(_xlfn._xlws.FILTER(Table_ThuChiKD[Giá trị sau phí],
(Table_ThuChiKD[Loại GD] = "THU") *
(Table_ThuChiKD[Nội dung GD] ="Thu chi chi phí vận tải và dịch vụ khác") *
(YEAR(Table_ThuChiKD[Ngày GD]) = YEAR(D$2)) *
(MONTH(Table_ThuChiKD[Ngày GD]) = MONTH(D$2))
)),0)
-IFERROR(
SUM(_xlfn._xlws.FILTER(Table_ThuChiKD[Giá trị sau phí],
(Table_ThuChiKD[Loại GD] = "CHI") *
(Table_ThuChiKD[Nội dung GD] ="Thu chi chi phí vận tải và dịch vụ khác") *
(YEAR(Table_ThuChiKD[Ngày GD]) = YEAR(D$2)) *
(MONTH(Table_ThuChiKD[Ngày GD]) = MONTH(D$2))
)),0)</f>
        <v>0</v>
      </c>
      <c r="E39" s="337" cm="1">
        <f t="array" ref="E39">IFERROR(
SUM(_xlfn._xlws.FILTER(Table_ThuChiKD[Giá trị sau phí],
(Table_ThuChiKD[Loại GD] = "THU") *
(Table_ThuChiKD[Nội dung GD] ="Thu chi chi phí tiện ích") *
(YEAR(Table_ThuChiKD[Ngày GD]) = YEAR(E$2)) *
(MONTH(Table_ThuChiKD[Ngày GD]) = MONTH(E$2))
)),0)
-IFERROR(
SUM(_xlfn._xlws.FILTER(Table_ThuChiKD[Giá trị sau phí],
(Table_ThuChiKD[Loại GD] = "CHI") *
(Table_ThuChiKD[Nội dung GD] ="Thu chi chi phí tiện ích") *
(YEAR(Table_ThuChiKD[Ngày GD]) = YEAR(E$2)) *
(MONTH(Table_ThuChiKD[Ngày GD]) = MONTH(E$2))
)),0)
+IFERROR(
SUM(_xlfn._xlws.FILTER(Table_ThuChiKD[Giá trị sau phí],
(Table_ThuChiKD[Loại GD] = "THU") *
(Table_ThuChiKD[Nội dung GD] ="Thu chi chi phí marketing &amp; bán hàng") *
(YEAR(Table_ThuChiKD[Ngày GD]) = YEAR(E$2)) *
(MONTH(Table_ThuChiKD[Ngày GD]) = MONTH(E$2))
)),0)
-IFERROR(
SUM(_xlfn._xlws.FILTER(Table_ThuChiKD[Giá trị sau phí],
(Table_ThuChiKD[Loại GD] = "CHI") *
(Table_ThuChiKD[Nội dung GD] ="Thu chi chi phí marketing &amp; bán hàng") *
(YEAR(Table_ThuChiKD[Ngày GD]) = YEAR(E$2)) *
(MONTH(Table_ThuChiKD[Ngày GD]) = MONTH(E$2))
)),0)
+IFERROR(
SUM(_xlfn._xlws.FILTER(Table_ThuChiKD[Giá trị sau phí],
(Table_ThuChiKD[Loại GD] = "THU") *
(Table_ThuChiKD[Nội dung GD] ="Thu chi chi phí vận tải và dịch vụ khác") *
(YEAR(Table_ThuChiKD[Ngày GD]) = YEAR(E$2)) *
(MONTH(Table_ThuChiKD[Ngày GD]) = MONTH(E$2))
)),0)
-IFERROR(
SUM(_xlfn._xlws.FILTER(Table_ThuChiKD[Giá trị sau phí],
(Table_ThuChiKD[Loại GD] = "CHI") *
(Table_ThuChiKD[Nội dung GD] ="Thu chi chi phí vận tải và dịch vụ khác") *
(YEAR(Table_ThuChiKD[Ngày GD]) = YEAR(E$2)) *
(MONTH(Table_ThuChiKD[Ngày GD]) = MONTH(E$2))
)),0)</f>
        <v>0</v>
      </c>
      <c r="F39" s="337" cm="1">
        <f t="array" ref="F39">IFERROR(
SUM(_xlfn._xlws.FILTER(Table_ThuChiKD[Giá trị sau phí],
(Table_ThuChiKD[Loại GD] = "THU") *
(Table_ThuChiKD[Nội dung GD] ="Thu chi chi phí tiện ích") *
(YEAR(Table_ThuChiKD[Ngày GD]) = YEAR(F$2)) *
(MONTH(Table_ThuChiKD[Ngày GD]) = MONTH(F$2))
)),0)
-IFERROR(
SUM(_xlfn._xlws.FILTER(Table_ThuChiKD[Giá trị sau phí],
(Table_ThuChiKD[Loại GD] = "CHI") *
(Table_ThuChiKD[Nội dung GD] ="Thu chi chi phí tiện ích") *
(YEAR(Table_ThuChiKD[Ngày GD]) = YEAR(F$2)) *
(MONTH(Table_ThuChiKD[Ngày GD]) = MONTH(F$2))
)),0)
+IFERROR(
SUM(_xlfn._xlws.FILTER(Table_ThuChiKD[Giá trị sau phí],
(Table_ThuChiKD[Loại GD] = "THU") *
(Table_ThuChiKD[Nội dung GD] ="Thu chi chi phí marketing &amp; bán hàng") *
(YEAR(Table_ThuChiKD[Ngày GD]) = YEAR(F$2)) *
(MONTH(Table_ThuChiKD[Ngày GD]) = MONTH(F$2))
)),0)
-IFERROR(
SUM(_xlfn._xlws.FILTER(Table_ThuChiKD[Giá trị sau phí],
(Table_ThuChiKD[Loại GD] = "CHI") *
(Table_ThuChiKD[Nội dung GD] ="Thu chi chi phí marketing &amp; bán hàng") *
(YEAR(Table_ThuChiKD[Ngày GD]) = YEAR(F$2)) *
(MONTH(Table_ThuChiKD[Ngày GD]) = MONTH(F$2))
)),0)
+IFERROR(
SUM(_xlfn._xlws.FILTER(Table_ThuChiKD[Giá trị sau phí],
(Table_ThuChiKD[Loại GD] = "THU") *
(Table_ThuChiKD[Nội dung GD] ="Thu chi chi phí vận tải và dịch vụ khác") *
(YEAR(Table_ThuChiKD[Ngày GD]) = YEAR(F$2)) *
(MONTH(Table_ThuChiKD[Ngày GD]) = MONTH(F$2))
)),0)
-IFERROR(
SUM(_xlfn._xlws.FILTER(Table_ThuChiKD[Giá trị sau phí],
(Table_ThuChiKD[Loại GD] = "CHI") *
(Table_ThuChiKD[Nội dung GD] ="Thu chi chi phí vận tải và dịch vụ khác") *
(YEAR(Table_ThuChiKD[Ngày GD]) = YEAR(F$2)) *
(MONTH(Table_ThuChiKD[Ngày GD]) = MONTH(F$2))
)),0)</f>
        <v>0</v>
      </c>
      <c r="G39" s="337" cm="1">
        <f t="array" ref="G39">IFERROR(
SUM(_xlfn._xlws.FILTER(Table_ThuChiKD[Giá trị sau phí],
(Table_ThuChiKD[Loại GD] = "THU") *
(Table_ThuChiKD[Nội dung GD] ="Thu chi chi phí tiện ích") *
(YEAR(Table_ThuChiKD[Ngày GD]) = YEAR(G$2)) *
(MONTH(Table_ThuChiKD[Ngày GD]) = MONTH(G$2))
)),0)
-IFERROR(
SUM(_xlfn._xlws.FILTER(Table_ThuChiKD[Giá trị sau phí],
(Table_ThuChiKD[Loại GD] = "CHI") *
(Table_ThuChiKD[Nội dung GD] ="Thu chi chi phí tiện ích") *
(YEAR(Table_ThuChiKD[Ngày GD]) = YEAR(G$2)) *
(MONTH(Table_ThuChiKD[Ngày GD]) = MONTH(G$2))
)),0)
+IFERROR(
SUM(_xlfn._xlws.FILTER(Table_ThuChiKD[Giá trị sau phí],
(Table_ThuChiKD[Loại GD] = "THU") *
(Table_ThuChiKD[Nội dung GD] ="Thu chi chi phí marketing &amp; bán hàng") *
(YEAR(Table_ThuChiKD[Ngày GD]) = YEAR(G$2)) *
(MONTH(Table_ThuChiKD[Ngày GD]) = MONTH(G$2))
)),0)
-IFERROR(
SUM(_xlfn._xlws.FILTER(Table_ThuChiKD[Giá trị sau phí],
(Table_ThuChiKD[Loại GD] = "CHI") *
(Table_ThuChiKD[Nội dung GD] ="Thu chi chi phí marketing &amp; bán hàng") *
(YEAR(Table_ThuChiKD[Ngày GD]) = YEAR(G$2)) *
(MONTH(Table_ThuChiKD[Ngày GD]) = MONTH(G$2))
)),0)
+IFERROR(
SUM(_xlfn._xlws.FILTER(Table_ThuChiKD[Giá trị sau phí],
(Table_ThuChiKD[Loại GD] = "THU") *
(Table_ThuChiKD[Nội dung GD] ="Thu chi chi phí vận tải và dịch vụ khác") *
(YEAR(Table_ThuChiKD[Ngày GD]) = YEAR(G$2)) *
(MONTH(Table_ThuChiKD[Ngày GD]) = MONTH(G$2))
)),0)
-IFERROR(
SUM(_xlfn._xlws.FILTER(Table_ThuChiKD[Giá trị sau phí],
(Table_ThuChiKD[Loại GD] = "CHI") *
(Table_ThuChiKD[Nội dung GD] ="Thu chi chi phí vận tải và dịch vụ khác") *
(YEAR(Table_ThuChiKD[Ngày GD]) = YEAR(G$2)) *
(MONTH(Table_ThuChiKD[Ngày GD]) = MONTH(G$2))
)),0)</f>
        <v>0</v>
      </c>
      <c r="H39" s="337" cm="1">
        <f t="array" ref="H39">IFERROR(
SUM(_xlfn._xlws.FILTER(Table_ThuChiKD[Giá trị sau phí],
(Table_ThuChiKD[Loại GD] = "THU") *
(Table_ThuChiKD[Nội dung GD] ="Thu chi chi phí tiện ích") *
(YEAR(Table_ThuChiKD[Ngày GD]) = YEAR(H$2)) *
(MONTH(Table_ThuChiKD[Ngày GD]) = MONTH(H$2))
)),0)
-IFERROR(
SUM(_xlfn._xlws.FILTER(Table_ThuChiKD[Giá trị sau phí],
(Table_ThuChiKD[Loại GD] = "CHI") *
(Table_ThuChiKD[Nội dung GD] ="Thu chi chi phí tiện ích") *
(YEAR(Table_ThuChiKD[Ngày GD]) = YEAR(H$2)) *
(MONTH(Table_ThuChiKD[Ngày GD]) = MONTH(H$2))
)),0)
+IFERROR(
SUM(_xlfn._xlws.FILTER(Table_ThuChiKD[Giá trị sau phí],
(Table_ThuChiKD[Loại GD] = "THU") *
(Table_ThuChiKD[Nội dung GD] ="Thu chi chi phí marketing &amp; bán hàng") *
(YEAR(Table_ThuChiKD[Ngày GD]) = YEAR(H$2)) *
(MONTH(Table_ThuChiKD[Ngày GD]) = MONTH(H$2))
)),0)
-IFERROR(
SUM(_xlfn._xlws.FILTER(Table_ThuChiKD[Giá trị sau phí],
(Table_ThuChiKD[Loại GD] = "CHI") *
(Table_ThuChiKD[Nội dung GD] ="Thu chi chi phí marketing &amp; bán hàng") *
(YEAR(Table_ThuChiKD[Ngày GD]) = YEAR(H$2)) *
(MONTH(Table_ThuChiKD[Ngày GD]) = MONTH(H$2))
)),0)
+IFERROR(
SUM(_xlfn._xlws.FILTER(Table_ThuChiKD[Giá trị sau phí],
(Table_ThuChiKD[Loại GD] = "THU") *
(Table_ThuChiKD[Nội dung GD] ="Thu chi chi phí vận tải và dịch vụ khác") *
(YEAR(Table_ThuChiKD[Ngày GD]) = YEAR(H$2)) *
(MONTH(Table_ThuChiKD[Ngày GD]) = MONTH(H$2))
)),0)
-IFERROR(
SUM(_xlfn._xlws.FILTER(Table_ThuChiKD[Giá trị sau phí],
(Table_ThuChiKD[Loại GD] = "CHI") *
(Table_ThuChiKD[Nội dung GD] ="Thu chi chi phí vận tải và dịch vụ khác") *
(YEAR(Table_ThuChiKD[Ngày GD]) = YEAR(H$2)) *
(MONTH(Table_ThuChiKD[Ngày GD]) = MONTH(H$2))
)),0)</f>
        <v>0</v>
      </c>
      <c r="I39" s="337" cm="1">
        <f t="array" ref="I39">IFERROR(
SUM(_xlfn._xlws.FILTER(Table_ThuChiKD[Giá trị sau phí],
(Table_ThuChiKD[Loại GD] = "THU") *
(Table_ThuChiKD[Nội dung GD] ="Thu chi chi phí tiện ích") *
(YEAR(Table_ThuChiKD[Ngày GD]) = YEAR(I$2)) *
(MONTH(Table_ThuChiKD[Ngày GD]) = MONTH(I$2))
)),0)
-IFERROR(
SUM(_xlfn._xlws.FILTER(Table_ThuChiKD[Giá trị sau phí],
(Table_ThuChiKD[Loại GD] = "CHI") *
(Table_ThuChiKD[Nội dung GD] ="Thu chi chi phí tiện ích") *
(YEAR(Table_ThuChiKD[Ngày GD]) = YEAR(I$2)) *
(MONTH(Table_ThuChiKD[Ngày GD]) = MONTH(I$2))
)),0)
+IFERROR(
SUM(_xlfn._xlws.FILTER(Table_ThuChiKD[Giá trị sau phí],
(Table_ThuChiKD[Loại GD] = "THU") *
(Table_ThuChiKD[Nội dung GD] ="Thu chi chi phí marketing &amp; bán hàng") *
(YEAR(Table_ThuChiKD[Ngày GD]) = YEAR(I$2)) *
(MONTH(Table_ThuChiKD[Ngày GD]) = MONTH(I$2))
)),0)
-IFERROR(
SUM(_xlfn._xlws.FILTER(Table_ThuChiKD[Giá trị sau phí],
(Table_ThuChiKD[Loại GD] = "CHI") *
(Table_ThuChiKD[Nội dung GD] ="Thu chi chi phí marketing &amp; bán hàng") *
(YEAR(Table_ThuChiKD[Ngày GD]) = YEAR(I$2)) *
(MONTH(Table_ThuChiKD[Ngày GD]) = MONTH(I$2))
)),0)
+IFERROR(
SUM(_xlfn._xlws.FILTER(Table_ThuChiKD[Giá trị sau phí],
(Table_ThuChiKD[Loại GD] = "THU") *
(Table_ThuChiKD[Nội dung GD] ="Thu chi chi phí vận tải và dịch vụ khác") *
(YEAR(Table_ThuChiKD[Ngày GD]) = YEAR(I$2)) *
(MONTH(Table_ThuChiKD[Ngày GD]) = MONTH(I$2))
)),0)
-IFERROR(
SUM(_xlfn._xlws.FILTER(Table_ThuChiKD[Giá trị sau phí],
(Table_ThuChiKD[Loại GD] = "CHI") *
(Table_ThuChiKD[Nội dung GD] ="Thu chi chi phí vận tải và dịch vụ khác") *
(YEAR(Table_ThuChiKD[Ngày GD]) = YEAR(I$2)) *
(MONTH(Table_ThuChiKD[Ngày GD]) = MONTH(I$2))
)),0)</f>
        <v>0</v>
      </c>
      <c r="J39" s="337" cm="1">
        <f t="array" ref="J39">IFERROR(
SUM(_xlfn._xlws.FILTER(Table_ThuChiKD[Giá trị sau phí],
(Table_ThuChiKD[Loại GD] = "THU") *
(Table_ThuChiKD[Nội dung GD] ="Thu chi chi phí tiện ích") *
(YEAR(Table_ThuChiKD[Ngày GD]) = YEAR(J$2)) *
(MONTH(Table_ThuChiKD[Ngày GD]) = MONTH(J$2))
)),0)
-IFERROR(
SUM(_xlfn._xlws.FILTER(Table_ThuChiKD[Giá trị sau phí],
(Table_ThuChiKD[Loại GD] = "CHI") *
(Table_ThuChiKD[Nội dung GD] ="Thu chi chi phí tiện ích") *
(YEAR(Table_ThuChiKD[Ngày GD]) = YEAR(J$2)) *
(MONTH(Table_ThuChiKD[Ngày GD]) = MONTH(J$2))
)),0)
+IFERROR(
SUM(_xlfn._xlws.FILTER(Table_ThuChiKD[Giá trị sau phí],
(Table_ThuChiKD[Loại GD] = "THU") *
(Table_ThuChiKD[Nội dung GD] ="Thu chi chi phí marketing &amp; bán hàng") *
(YEAR(Table_ThuChiKD[Ngày GD]) = YEAR(J$2)) *
(MONTH(Table_ThuChiKD[Ngày GD]) = MONTH(J$2))
)),0)
-IFERROR(
SUM(_xlfn._xlws.FILTER(Table_ThuChiKD[Giá trị sau phí],
(Table_ThuChiKD[Loại GD] = "CHI") *
(Table_ThuChiKD[Nội dung GD] ="Thu chi chi phí marketing &amp; bán hàng") *
(YEAR(Table_ThuChiKD[Ngày GD]) = YEAR(J$2)) *
(MONTH(Table_ThuChiKD[Ngày GD]) = MONTH(J$2))
)),0)
+IFERROR(
SUM(_xlfn._xlws.FILTER(Table_ThuChiKD[Giá trị sau phí],
(Table_ThuChiKD[Loại GD] = "THU") *
(Table_ThuChiKD[Nội dung GD] ="Thu chi chi phí vận tải và dịch vụ khác") *
(YEAR(Table_ThuChiKD[Ngày GD]) = YEAR(J$2)) *
(MONTH(Table_ThuChiKD[Ngày GD]) = MONTH(J$2))
)),0)
-IFERROR(
SUM(_xlfn._xlws.FILTER(Table_ThuChiKD[Giá trị sau phí],
(Table_ThuChiKD[Loại GD] = "CHI") *
(Table_ThuChiKD[Nội dung GD] ="Thu chi chi phí vận tải và dịch vụ khác") *
(YEAR(Table_ThuChiKD[Ngày GD]) = YEAR(J$2)) *
(MONTH(Table_ThuChiKD[Ngày GD]) = MONTH(J$2))
)),0)</f>
        <v>0</v>
      </c>
      <c r="K39" s="337" cm="1">
        <f t="array" ref="K39">IFERROR(
SUM(_xlfn._xlws.FILTER(Table_ThuChiKD[Giá trị sau phí],
(Table_ThuChiKD[Loại GD] = "THU") *
(Table_ThuChiKD[Nội dung GD] ="Thu chi chi phí tiện ích") *
(YEAR(Table_ThuChiKD[Ngày GD]) = YEAR(K$2)) *
(MONTH(Table_ThuChiKD[Ngày GD]) = MONTH(K$2))
)),0)
-IFERROR(
SUM(_xlfn._xlws.FILTER(Table_ThuChiKD[Giá trị sau phí],
(Table_ThuChiKD[Loại GD] = "CHI") *
(Table_ThuChiKD[Nội dung GD] ="Thu chi chi phí tiện ích") *
(YEAR(Table_ThuChiKD[Ngày GD]) = YEAR(K$2)) *
(MONTH(Table_ThuChiKD[Ngày GD]) = MONTH(K$2))
)),0)
+IFERROR(
SUM(_xlfn._xlws.FILTER(Table_ThuChiKD[Giá trị sau phí],
(Table_ThuChiKD[Loại GD] = "THU") *
(Table_ThuChiKD[Nội dung GD] ="Thu chi chi phí marketing &amp; bán hàng") *
(YEAR(Table_ThuChiKD[Ngày GD]) = YEAR(K$2)) *
(MONTH(Table_ThuChiKD[Ngày GD]) = MONTH(K$2))
)),0)
-IFERROR(
SUM(_xlfn._xlws.FILTER(Table_ThuChiKD[Giá trị sau phí],
(Table_ThuChiKD[Loại GD] = "CHI") *
(Table_ThuChiKD[Nội dung GD] ="Thu chi chi phí marketing &amp; bán hàng") *
(YEAR(Table_ThuChiKD[Ngày GD]) = YEAR(K$2)) *
(MONTH(Table_ThuChiKD[Ngày GD]) = MONTH(K$2))
)),0)
+IFERROR(
SUM(_xlfn._xlws.FILTER(Table_ThuChiKD[Giá trị sau phí],
(Table_ThuChiKD[Loại GD] = "THU") *
(Table_ThuChiKD[Nội dung GD] ="Thu chi chi phí vận tải và dịch vụ khác") *
(YEAR(Table_ThuChiKD[Ngày GD]) = YEAR(K$2)) *
(MONTH(Table_ThuChiKD[Ngày GD]) = MONTH(K$2))
)),0)
-IFERROR(
SUM(_xlfn._xlws.FILTER(Table_ThuChiKD[Giá trị sau phí],
(Table_ThuChiKD[Loại GD] = "CHI") *
(Table_ThuChiKD[Nội dung GD] ="Thu chi chi phí vận tải và dịch vụ khác") *
(YEAR(Table_ThuChiKD[Ngày GD]) = YEAR(K$2)) *
(MONTH(Table_ThuChiKD[Ngày GD]) = MONTH(K$2))
)),0)</f>
        <v>0</v>
      </c>
      <c r="L39" s="337" cm="1">
        <f t="array" ref="L39">IFERROR(
SUM(_xlfn._xlws.FILTER(Table_ThuChiKD[Giá trị sau phí],
(Table_ThuChiKD[Loại GD] = "THU") *
(Table_ThuChiKD[Nội dung GD] ="Thu chi chi phí tiện ích") *
(YEAR(Table_ThuChiKD[Ngày GD]) = YEAR(L$2)) *
(MONTH(Table_ThuChiKD[Ngày GD]) = MONTH(L$2))
)),0)
-IFERROR(
SUM(_xlfn._xlws.FILTER(Table_ThuChiKD[Giá trị sau phí],
(Table_ThuChiKD[Loại GD] = "CHI") *
(Table_ThuChiKD[Nội dung GD] ="Thu chi chi phí tiện ích") *
(YEAR(Table_ThuChiKD[Ngày GD]) = YEAR(L$2)) *
(MONTH(Table_ThuChiKD[Ngày GD]) = MONTH(L$2))
)),0)
+IFERROR(
SUM(_xlfn._xlws.FILTER(Table_ThuChiKD[Giá trị sau phí],
(Table_ThuChiKD[Loại GD] = "THU") *
(Table_ThuChiKD[Nội dung GD] ="Thu chi chi phí marketing &amp; bán hàng") *
(YEAR(Table_ThuChiKD[Ngày GD]) = YEAR(L$2)) *
(MONTH(Table_ThuChiKD[Ngày GD]) = MONTH(L$2))
)),0)
-IFERROR(
SUM(_xlfn._xlws.FILTER(Table_ThuChiKD[Giá trị sau phí],
(Table_ThuChiKD[Loại GD] = "CHI") *
(Table_ThuChiKD[Nội dung GD] ="Thu chi chi phí marketing &amp; bán hàng") *
(YEAR(Table_ThuChiKD[Ngày GD]) = YEAR(L$2)) *
(MONTH(Table_ThuChiKD[Ngày GD]) = MONTH(L$2))
)),0)
+IFERROR(
SUM(_xlfn._xlws.FILTER(Table_ThuChiKD[Giá trị sau phí],
(Table_ThuChiKD[Loại GD] = "THU") *
(Table_ThuChiKD[Nội dung GD] ="Thu chi chi phí vận tải và dịch vụ khác") *
(YEAR(Table_ThuChiKD[Ngày GD]) = YEAR(L$2)) *
(MONTH(Table_ThuChiKD[Ngày GD]) = MONTH(L$2))
)),0)
-IFERROR(
SUM(_xlfn._xlws.FILTER(Table_ThuChiKD[Giá trị sau phí],
(Table_ThuChiKD[Loại GD] = "CHI") *
(Table_ThuChiKD[Nội dung GD] ="Thu chi chi phí vận tải và dịch vụ khác") *
(YEAR(Table_ThuChiKD[Ngày GD]) = YEAR(L$2)) *
(MONTH(Table_ThuChiKD[Ngày GD]) = MONTH(L$2))
)),0)</f>
        <v>0</v>
      </c>
      <c r="M39" s="337" cm="1">
        <f t="array" ref="M39">IFERROR(
SUM(_xlfn._xlws.FILTER(Table_ThuChiKD[Giá trị sau phí],
(Table_ThuChiKD[Loại GD] = "THU") *
(Table_ThuChiKD[Nội dung GD] ="Thu chi chi phí tiện ích") *
(YEAR(Table_ThuChiKD[Ngày GD]) = YEAR(M$2)) *
(MONTH(Table_ThuChiKD[Ngày GD]) = MONTH(M$2))
)),0)
-IFERROR(
SUM(_xlfn._xlws.FILTER(Table_ThuChiKD[Giá trị sau phí],
(Table_ThuChiKD[Loại GD] = "CHI") *
(Table_ThuChiKD[Nội dung GD] ="Thu chi chi phí tiện ích") *
(YEAR(Table_ThuChiKD[Ngày GD]) = YEAR(M$2)) *
(MONTH(Table_ThuChiKD[Ngày GD]) = MONTH(M$2))
)),0)
+IFERROR(
SUM(_xlfn._xlws.FILTER(Table_ThuChiKD[Giá trị sau phí],
(Table_ThuChiKD[Loại GD] = "THU") *
(Table_ThuChiKD[Nội dung GD] ="Thu chi chi phí marketing &amp; bán hàng") *
(YEAR(Table_ThuChiKD[Ngày GD]) = YEAR(M$2)) *
(MONTH(Table_ThuChiKD[Ngày GD]) = MONTH(M$2))
)),0)
-IFERROR(
SUM(_xlfn._xlws.FILTER(Table_ThuChiKD[Giá trị sau phí],
(Table_ThuChiKD[Loại GD] = "CHI") *
(Table_ThuChiKD[Nội dung GD] ="Thu chi chi phí marketing &amp; bán hàng") *
(YEAR(Table_ThuChiKD[Ngày GD]) = YEAR(M$2)) *
(MONTH(Table_ThuChiKD[Ngày GD]) = MONTH(M$2))
)),0)
+IFERROR(
SUM(_xlfn._xlws.FILTER(Table_ThuChiKD[Giá trị sau phí],
(Table_ThuChiKD[Loại GD] = "THU") *
(Table_ThuChiKD[Nội dung GD] ="Thu chi chi phí vận tải và dịch vụ khác") *
(YEAR(Table_ThuChiKD[Ngày GD]) = YEAR(M$2)) *
(MONTH(Table_ThuChiKD[Ngày GD]) = MONTH(M$2))
)),0)
-IFERROR(
SUM(_xlfn._xlws.FILTER(Table_ThuChiKD[Giá trị sau phí],
(Table_ThuChiKD[Loại GD] = "CHI") *
(Table_ThuChiKD[Nội dung GD] ="Thu chi chi phí vận tải và dịch vụ khác") *
(YEAR(Table_ThuChiKD[Ngày GD]) = YEAR(M$2)) *
(MONTH(Table_ThuChiKD[Ngày GD]) = MONTH(M$2))
)),0)</f>
        <v>0</v>
      </c>
      <c r="N39" s="337" cm="1">
        <f t="array" ref="N39">IFERROR(
SUM(_xlfn._xlws.FILTER(Table_ThuChiKD[Giá trị sau phí],
(Table_ThuChiKD[Loại GD] = "THU") *
(Table_ThuChiKD[Nội dung GD] ="Thu chi chi phí tiện ích") *
(YEAR(Table_ThuChiKD[Ngày GD]) = YEAR(N$2)) *
(MONTH(Table_ThuChiKD[Ngày GD]) = MONTH(N$2))
)),0)
-IFERROR(
SUM(_xlfn._xlws.FILTER(Table_ThuChiKD[Giá trị sau phí],
(Table_ThuChiKD[Loại GD] = "CHI") *
(Table_ThuChiKD[Nội dung GD] ="Thu chi chi phí tiện ích") *
(YEAR(Table_ThuChiKD[Ngày GD]) = YEAR(N$2)) *
(MONTH(Table_ThuChiKD[Ngày GD]) = MONTH(N$2))
)),0)
+IFERROR(
SUM(_xlfn._xlws.FILTER(Table_ThuChiKD[Giá trị sau phí],
(Table_ThuChiKD[Loại GD] = "THU") *
(Table_ThuChiKD[Nội dung GD] ="Thu chi chi phí marketing &amp; bán hàng") *
(YEAR(Table_ThuChiKD[Ngày GD]) = YEAR(N$2)) *
(MONTH(Table_ThuChiKD[Ngày GD]) = MONTH(N$2))
)),0)
-IFERROR(
SUM(_xlfn._xlws.FILTER(Table_ThuChiKD[Giá trị sau phí],
(Table_ThuChiKD[Loại GD] = "CHI") *
(Table_ThuChiKD[Nội dung GD] ="Thu chi chi phí marketing &amp; bán hàng") *
(YEAR(Table_ThuChiKD[Ngày GD]) = YEAR(N$2)) *
(MONTH(Table_ThuChiKD[Ngày GD]) = MONTH(N$2))
)),0)
+IFERROR(
SUM(_xlfn._xlws.FILTER(Table_ThuChiKD[Giá trị sau phí],
(Table_ThuChiKD[Loại GD] = "THU") *
(Table_ThuChiKD[Nội dung GD] ="Thu chi chi phí vận tải và dịch vụ khác") *
(YEAR(Table_ThuChiKD[Ngày GD]) = YEAR(N$2)) *
(MONTH(Table_ThuChiKD[Ngày GD]) = MONTH(N$2))
)),0)
-IFERROR(
SUM(_xlfn._xlws.FILTER(Table_ThuChiKD[Giá trị sau phí],
(Table_ThuChiKD[Loại GD] = "CHI") *
(Table_ThuChiKD[Nội dung GD] ="Thu chi chi phí vận tải và dịch vụ khác") *
(YEAR(Table_ThuChiKD[Ngày GD]) = YEAR(N$2)) *
(MONTH(Table_ThuChiKD[Ngày GD]) = MONTH(N$2))
)),0)</f>
        <v>0</v>
      </c>
      <c r="O39" s="337" cm="1">
        <f t="array" ref="O39">IFERROR(
SUM(_xlfn._xlws.FILTER(Table_ThuChiKD[Giá trị sau phí],
(Table_ThuChiKD[Loại GD] = "THU") *
(Table_ThuChiKD[Nội dung GD] ="Thu chi chi phí tiện ích") *
(YEAR(Table_ThuChiKD[Ngày GD]) = YEAR(O$2)) *
(MONTH(Table_ThuChiKD[Ngày GD]) = MONTH(O$2))
)),0)
-IFERROR(
SUM(_xlfn._xlws.FILTER(Table_ThuChiKD[Giá trị sau phí],
(Table_ThuChiKD[Loại GD] = "CHI") *
(Table_ThuChiKD[Nội dung GD] ="Thu chi chi phí tiện ích") *
(YEAR(Table_ThuChiKD[Ngày GD]) = YEAR(O$2)) *
(MONTH(Table_ThuChiKD[Ngày GD]) = MONTH(O$2))
)),0)
+IFERROR(
SUM(_xlfn._xlws.FILTER(Table_ThuChiKD[Giá trị sau phí],
(Table_ThuChiKD[Loại GD] = "THU") *
(Table_ThuChiKD[Nội dung GD] ="Thu chi chi phí marketing &amp; bán hàng") *
(YEAR(Table_ThuChiKD[Ngày GD]) = YEAR(O$2)) *
(MONTH(Table_ThuChiKD[Ngày GD]) = MONTH(O$2))
)),0)
-IFERROR(
SUM(_xlfn._xlws.FILTER(Table_ThuChiKD[Giá trị sau phí],
(Table_ThuChiKD[Loại GD] = "CHI") *
(Table_ThuChiKD[Nội dung GD] ="Thu chi chi phí marketing &amp; bán hàng") *
(YEAR(Table_ThuChiKD[Ngày GD]) = YEAR(O$2)) *
(MONTH(Table_ThuChiKD[Ngày GD]) = MONTH(O$2))
)),0)
+IFERROR(
SUM(_xlfn._xlws.FILTER(Table_ThuChiKD[Giá trị sau phí],
(Table_ThuChiKD[Loại GD] = "THU") *
(Table_ThuChiKD[Nội dung GD] ="Thu chi chi phí vận tải và dịch vụ khác") *
(YEAR(Table_ThuChiKD[Ngày GD]) = YEAR(O$2)) *
(MONTH(Table_ThuChiKD[Ngày GD]) = MONTH(O$2))
)),0)
-IFERROR(
SUM(_xlfn._xlws.FILTER(Table_ThuChiKD[Giá trị sau phí],
(Table_ThuChiKD[Loại GD] = "CHI") *
(Table_ThuChiKD[Nội dung GD] ="Thu chi chi phí vận tải và dịch vụ khác") *
(YEAR(Table_ThuChiKD[Ngày GD]) = YEAR(O$2)) *
(MONTH(Table_ThuChiKD[Ngày GD]) = MONTH(O$2))
)),0)</f>
        <v>0</v>
      </c>
      <c r="P39" s="326"/>
      <c r="Q39" s="242"/>
      <c r="R39" s="73" t="s">
        <v>307</v>
      </c>
      <c r="S39" s="331" cm="1">
        <f t="array" ref="S39">IFERROR(
SUM(_xlfn._xlws.FILTER(Table_ThuChiKD[Giá trị sau phí],
(Table_ThuChiKD[Loại GD] = "THU") *
(Table_ThuChiKD[Nội dung GD] = "Thu chi chi phí tiện ích") *
(YEAR(Table_ThuChiKD[Ngày GD]) = S$1)
)),0)
- IFERROR(
SUM(_xlfn._xlws.FILTER(Table_ThuChiKD[Giá trị sau phí],
(Table_ThuChiKD[Loại GD] = "CHI") *
(Table_ThuChiKD[Nội dung GD] ="Thu chi chi phí tiện ích") *
(YEAR(Table_ThuChiKD[Ngày GD]) = S$1)
)),0)
+IFERROR(
SUM(_xlfn._xlws.FILTER(Table_ThuChiKD[Giá trị sau phí],
(Table_ThuChiKD[Loại GD] = "THU") *
(Table_ThuChiKD[Nội dung GD] = "Thu chi chi phí marketing &amp; bán hàng") *
(YEAR(Table_ThuChiKD[Ngày GD]) = S$1)
)),0)
- IFERROR(
SUM(_xlfn._xlws.FILTER(Table_ThuChiKD[Giá trị sau phí],
(Table_ThuChiKD[Loại GD] = "CHI") *
(Table_ThuChiKD[Nội dung GD] ="Thu chi chi phí marketing &amp; bán hàng") *
(YEAR(Table_ThuChiKD[Ngày GD]) = S$1)
)),0)
+IFERROR(
SUM(_xlfn._xlws.FILTER(Table_ThuChiKD[Giá trị sau phí],
(Table_ThuChiKD[Loại GD] = "THU") *
(Table_ThuChiKD[Nội dung GD] = "Thu chi chi phí vận tải và dịch vụ khác") *
(YEAR(Table_ThuChiKD[Ngày GD]) = S$1)
)),0)
- IFERROR(
SUM(_xlfn._xlws.FILTER(Table_ThuChiKD[Giá trị sau phí],
(Table_ThuChiKD[Loại GD] = "CHI") *
(Table_ThuChiKD[Nội dung GD] ="Thu chi chi phí vận tải và dịch vụ khác") *
(YEAR(Table_ThuChiKD[Ngày GD]) = S$1)
)),0)</f>
        <v>0</v>
      </c>
      <c r="T39" s="242"/>
      <c r="U39" s="73" t="s">
        <v>307</v>
      </c>
      <c r="V39" s="337" cm="1">
        <f t="array" ref="V39">IFERROR(
SUM(_xlfn._xlws.FILTER(Table_ThuChiKD[Giá trị sau phí],
(Table_ThuChiKD[Loại GD] = "THU") *
(Table_ThuChiKD[Nội dung GD] ="Thu chi chi phí tiện ích") *
(YEAR(Table_ThuChiKD[Ngày GD]) = YEAR(V$1)) *
(MONTH(Table_ThuChiKD[Ngày GD]) = MONTH(V$1))
)),0)
-IFERROR(
SUM(_xlfn._xlws.FILTER(Table_ThuChiKD[Giá trị sau phí],
(Table_ThuChiKD[Loại GD] = "CHI") *
(Table_ThuChiKD[Nội dung GD] ="Thu chi chi phí tiện ích") *
(YEAR(Table_ThuChiKD[Ngày GD]) = YEAR(V$1)) *
(MONTH(Table_ThuChiKD[Ngày GD]) = MONTH(V$1))
)),0)
+IFERROR(
SUM(_xlfn._xlws.FILTER(Table_ThuChiKD[Giá trị sau phí],
(Table_ThuChiKD[Loại GD] = "THU") *
(Table_ThuChiKD[Nội dung GD] ="Thu chi chi phí marketing &amp; bán hàng") *
(YEAR(Table_ThuChiKD[Ngày GD]) = YEAR(V$1)) *
(MONTH(Table_ThuChiKD[Ngày GD]) = MONTH(V$1))
)),0)
-IFERROR(
SUM(_xlfn._xlws.FILTER(Table_ThuChiKD[Giá trị sau phí],
(Table_ThuChiKD[Loại GD] = "CHI") *
(Table_ThuChiKD[Nội dung GD] ="Thu chi chi phí marketing &amp; bán hàng") *
(YEAR(Table_ThuChiKD[Ngày GD]) = YEAR(V$1)) *
(MONTH(Table_ThuChiKD[Ngày GD]) = MONTH(V$1))
)),0)
+IFERROR(
SUM(_xlfn._xlws.FILTER(Table_ThuChiKD[Giá trị sau phí],
(Table_ThuChiKD[Loại GD] = "THU") *
(Table_ThuChiKD[Nội dung GD] ="Thu chi chi phí vận tải và dịch vụ khác") *
(YEAR(Table_ThuChiKD[Ngày GD]) = YEAR(V$1)) *
(MONTH(Table_ThuChiKD[Ngày GD]) = MONTH(V$1))
)),0)
-IFERROR(
SUM(_xlfn._xlws.FILTER(Table_ThuChiKD[Giá trị sau phí],
(Table_ThuChiKD[Loại GD] = "CHI") *
(Table_ThuChiKD[Nội dung GD] ="Thu chi chi phí vận tải và dịch vụ khác") *
(YEAR(Table_ThuChiKD[Ngày GD]) = YEAR(V$1)) *
(MONTH(Table_ThuChiKD[Ngày GD]) = MONTH(V$1))
)),0)</f>
        <v>0</v>
      </c>
    </row>
    <row r="40" spans="2:22" ht="18" customHeight="1" outlineLevel="2" x14ac:dyDescent="0.3">
      <c r="B40" s="73" t="s">
        <v>308</v>
      </c>
      <c r="C40" s="331" cm="1">
        <f t="array" ref="C40">IFERROR(
SUM(_xlfn._xlws.FILTER(Table_ThuChiKD[Giá trị sau phí],
(Table_ThuChiKD[Loại GD] = "THU") *
(Table_ThuChiKD[Nội dung GD] = "Tiền trả người lao động") *
(YEAR(Table_ThuChiKD[Ngày GD]) = $C$2)
)),0)
- IFERROR(
SUM(_xlfn._xlws.FILTER(Table_ThuChiKD[Giá trị sau phí],
(Table_ThuChiKD[Loại GD] = "CHI") *
(Table_ThuChiKD[Nội dung GD] ="Tiền trả người lao động") *
(YEAR(Table_ThuChiKD[Ngày GD]) = $C$2)
)),0)</f>
        <v>0</v>
      </c>
      <c r="D40" s="337" cm="1">
        <f t="array" ref="D40">IFERROR(
SUM(_xlfn._xlws.FILTER(Table_ThuChiKD[Giá trị sau phí],
(Table_ThuChiKD[Loại GD] = "THU") *
(Table_ThuChiKD[Nội dung GD] ="Tiền trả người lao động") *
(YEAR(Table_ThuChiKD[Ngày GD]) = YEAR(D$2)) *
(MONTH(Table_ThuChiKD[Ngày GD]) = MONTH(D$2))
)),0)
-IFERROR(
SUM(_xlfn._xlws.FILTER(Table_ThuChiKD[Giá trị sau phí],
(Table_ThuChiKD[Loại GD] = "CHI") *
(Table_ThuChiKD[Nội dung GD] ="Tiền trả người lao động") *
(YEAR(Table_ThuChiKD[Ngày GD]) = YEAR(D$2)) *
(MONTH(Table_ThuChiKD[Ngày GD]) = MONTH(D$2))
)),0)</f>
        <v>0</v>
      </c>
      <c r="E40" s="337" cm="1">
        <f t="array" ref="E40">IFERROR(
SUM(_xlfn._xlws.FILTER(Table_ThuChiKD[Giá trị sau phí],
(Table_ThuChiKD[Loại GD] = "THU") *
(Table_ThuChiKD[Nội dung GD] ="Tiền trả người lao động") *
(YEAR(Table_ThuChiKD[Ngày GD]) = YEAR(E$2)) *
(MONTH(Table_ThuChiKD[Ngày GD]) = MONTH(E$2))
)),0)
-IFERROR(
SUM(_xlfn._xlws.FILTER(Table_ThuChiKD[Giá trị sau phí],
(Table_ThuChiKD[Loại GD] = "CHI") *
(Table_ThuChiKD[Nội dung GD] ="Tiền trả người lao động") *
(YEAR(Table_ThuChiKD[Ngày GD]) = YEAR(E$2)) *
(MONTH(Table_ThuChiKD[Ngày GD]) = MONTH(E$2))
)),0)</f>
        <v>0</v>
      </c>
      <c r="F40" s="337" cm="1">
        <f t="array" ref="F40">IFERROR(
SUM(_xlfn._xlws.FILTER(Table_ThuChiKD[Giá trị sau phí],
(Table_ThuChiKD[Loại GD] = "THU") *
(Table_ThuChiKD[Nội dung GD] ="Tiền trả người lao động") *
(YEAR(Table_ThuChiKD[Ngày GD]) = YEAR(F$2)) *
(MONTH(Table_ThuChiKD[Ngày GD]) = MONTH(F$2))
)),0)
-IFERROR(
SUM(_xlfn._xlws.FILTER(Table_ThuChiKD[Giá trị sau phí],
(Table_ThuChiKD[Loại GD] = "CHI") *
(Table_ThuChiKD[Nội dung GD] ="Tiền trả người lao động") *
(YEAR(Table_ThuChiKD[Ngày GD]) = YEAR(F$2)) *
(MONTH(Table_ThuChiKD[Ngày GD]) = MONTH(F$2))
)),0)</f>
        <v>0</v>
      </c>
      <c r="G40" s="337" cm="1">
        <f t="array" ref="G40">IFERROR(
SUM(_xlfn._xlws.FILTER(Table_ThuChiKD[Giá trị sau phí],
(Table_ThuChiKD[Loại GD] = "THU") *
(Table_ThuChiKD[Nội dung GD] ="Tiền trả người lao động") *
(YEAR(Table_ThuChiKD[Ngày GD]) = YEAR(G$2)) *
(MONTH(Table_ThuChiKD[Ngày GD]) = MONTH(G$2))
)),0)
-IFERROR(
SUM(_xlfn._xlws.FILTER(Table_ThuChiKD[Giá trị sau phí],
(Table_ThuChiKD[Loại GD] = "CHI") *
(Table_ThuChiKD[Nội dung GD] ="Tiền trả người lao động") *
(YEAR(Table_ThuChiKD[Ngày GD]) = YEAR(G$2)) *
(MONTH(Table_ThuChiKD[Ngày GD]) = MONTH(G$2))
)),0)</f>
        <v>0</v>
      </c>
      <c r="H40" s="337" cm="1">
        <f t="array" ref="H40">IFERROR(
SUM(_xlfn._xlws.FILTER(Table_ThuChiKD[Giá trị sau phí],
(Table_ThuChiKD[Loại GD] = "THU") *
(Table_ThuChiKD[Nội dung GD] ="Tiền trả người lao động") *
(YEAR(Table_ThuChiKD[Ngày GD]) = YEAR(H$2)) *
(MONTH(Table_ThuChiKD[Ngày GD]) = MONTH(H$2))
)),0)
-IFERROR(
SUM(_xlfn._xlws.FILTER(Table_ThuChiKD[Giá trị sau phí],
(Table_ThuChiKD[Loại GD] = "CHI") *
(Table_ThuChiKD[Nội dung GD] ="Tiền trả người lao động") *
(YEAR(Table_ThuChiKD[Ngày GD]) = YEAR(H$2)) *
(MONTH(Table_ThuChiKD[Ngày GD]) = MONTH(H$2))
)),0)</f>
        <v>0</v>
      </c>
      <c r="I40" s="337" cm="1">
        <f t="array" ref="I40">IFERROR(
SUM(_xlfn._xlws.FILTER(Table_ThuChiKD[Giá trị sau phí],
(Table_ThuChiKD[Loại GD] = "THU") *
(Table_ThuChiKD[Nội dung GD] ="Tiền trả người lao động") *
(YEAR(Table_ThuChiKD[Ngày GD]) = YEAR(I$2)) *
(MONTH(Table_ThuChiKD[Ngày GD]) = MONTH(I$2))
)),0)
-IFERROR(
SUM(_xlfn._xlws.FILTER(Table_ThuChiKD[Giá trị sau phí],
(Table_ThuChiKD[Loại GD] = "CHI") *
(Table_ThuChiKD[Nội dung GD] ="Tiền trả người lao động") *
(YEAR(Table_ThuChiKD[Ngày GD]) = YEAR(I$2)) *
(MONTH(Table_ThuChiKD[Ngày GD]) = MONTH(I$2))
)),0)</f>
        <v>0</v>
      </c>
      <c r="J40" s="337" cm="1">
        <f t="array" ref="J40">IFERROR(
SUM(_xlfn._xlws.FILTER(Table_ThuChiKD[Giá trị sau phí],
(Table_ThuChiKD[Loại GD] = "THU") *
(Table_ThuChiKD[Nội dung GD] ="Tiền trả người lao động") *
(YEAR(Table_ThuChiKD[Ngày GD]) = YEAR(J$2)) *
(MONTH(Table_ThuChiKD[Ngày GD]) = MONTH(J$2))
)),0)
-IFERROR(
SUM(_xlfn._xlws.FILTER(Table_ThuChiKD[Giá trị sau phí],
(Table_ThuChiKD[Loại GD] = "CHI") *
(Table_ThuChiKD[Nội dung GD] ="Tiền trả người lao động") *
(YEAR(Table_ThuChiKD[Ngày GD]) = YEAR(J$2)) *
(MONTH(Table_ThuChiKD[Ngày GD]) = MONTH(J$2))
)),0)</f>
        <v>0</v>
      </c>
      <c r="K40" s="337" cm="1">
        <f t="array" ref="K40">IFERROR(
SUM(_xlfn._xlws.FILTER(Table_ThuChiKD[Giá trị sau phí],
(Table_ThuChiKD[Loại GD] = "THU") *
(Table_ThuChiKD[Nội dung GD] ="Tiền trả người lao động") *
(YEAR(Table_ThuChiKD[Ngày GD]) = YEAR(K$2)) *
(MONTH(Table_ThuChiKD[Ngày GD]) = MONTH(K$2))
)),0)
-IFERROR(
SUM(_xlfn._xlws.FILTER(Table_ThuChiKD[Giá trị sau phí],
(Table_ThuChiKD[Loại GD] = "CHI") *
(Table_ThuChiKD[Nội dung GD] ="Tiền trả người lao động") *
(YEAR(Table_ThuChiKD[Ngày GD]) = YEAR(K$2)) *
(MONTH(Table_ThuChiKD[Ngày GD]) = MONTH(K$2))
)),0)</f>
        <v>0</v>
      </c>
      <c r="L40" s="337" cm="1">
        <f t="array" ref="L40">IFERROR(
SUM(_xlfn._xlws.FILTER(Table_ThuChiKD[Giá trị sau phí],
(Table_ThuChiKD[Loại GD] = "THU") *
(Table_ThuChiKD[Nội dung GD] ="Tiền trả người lao động") *
(YEAR(Table_ThuChiKD[Ngày GD]) = YEAR(L$2)) *
(MONTH(Table_ThuChiKD[Ngày GD]) = MONTH(L$2))
)),0)
-IFERROR(
SUM(_xlfn._xlws.FILTER(Table_ThuChiKD[Giá trị sau phí],
(Table_ThuChiKD[Loại GD] = "CHI") *
(Table_ThuChiKD[Nội dung GD] ="Tiền trả người lao động") *
(YEAR(Table_ThuChiKD[Ngày GD]) = YEAR(L$2)) *
(MONTH(Table_ThuChiKD[Ngày GD]) = MONTH(L$2))
)),0)</f>
        <v>0</v>
      </c>
      <c r="M40" s="337" cm="1">
        <f t="array" ref="M40">IFERROR(
SUM(_xlfn._xlws.FILTER(Table_ThuChiKD[Giá trị sau phí],
(Table_ThuChiKD[Loại GD] = "THU") *
(Table_ThuChiKD[Nội dung GD] ="Tiền trả người lao động") *
(YEAR(Table_ThuChiKD[Ngày GD]) = YEAR(M$2)) *
(MONTH(Table_ThuChiKD[Ngày GD]) = MONTH(M$2))
)),0)
-IFERROR(
SUM(_xlfn._xlws.FILTER(Table_ThuChiKD[Giá trị sau phí],
(Table_ThuChiKD[Loại GD] = "CHI") *
(Table_ThuChiKD[Nội dung GD] ="Tiền trả người lao động") *
(YEAR(Table_ThuChiKD[Ngày GD]) = YEAR(M$2)) *
(MONTH(Table_ThuChiKD[Ngày GD]) = MONTH(M$2))
)),0)</f>
        <v>0</v>
      </c>
      <c r="N40" s="337" cm="1">
        <f t="array" ref="N40">IFERROR(
SUM(_xlfn._xlws.FILTER(Table_ThuChiKD[Giá trị sau phí],
(Table_ThuChiKD[Loại GD] = "THU") *
(Table_ThuChiKD[Nội dung GD] ="Tiền trả người lao động") *
(YEAR(Table_ThuChiKD[Ngày GD]) = YEAR(N$2)) *
(MONTH(Table_ThuChiKD[Ngày GD]) = MONTH(N$2))
)),0)
-IFERROR(
SUM(_xlfn._xlws.FILTER(Table_ThuChiKD[Giá trị sau phí],
(Table_ThuChiKD[Loại GD] = "CHI") *
(Table_ThuChiKD[Nội dung GD] ="Tiền trả người lao động") *
(YEAR(Table_ThuChiKD[Ngày GD]) = YEAR(N$2)) *
(MONTH(Table_ThuChiKD[Ngày GD]) = MONTH(N$2))
)),0)</f>
        <v>0</v>
      </c>
      <c r="O40" s="337" cm="1">
        <f t="array" ref="O40">IFERROR(
SUM(_xlfn._xlws.FILTER(Table_ThuChiKD[Giá trị sau phí],
(Table_ThuChiKD[Loại GD] = "THU") *
(Table_ThuChiKD[Nội dung GD] ="Tiền trả người lao động") *
(YEAR(Table_ThuChiKD[Ngày GD]) = YEAR(O$2)) *
(MONTH(Table_ThuChiKD[Ngày GD]) = MONTH(O$2))
)),0)
-IFERROR(
SUM(_xlfn._xlws.FILTER(Table_ThuChiKD[Giá trị sau phí],
(Table_ThuChiKD[Loại GD] = "CHI") *
(Table_ThuChiKD[Nội dung GD] ="Tiền trả người lao động") *
(YEAR(Table_ThuChiKD[Ngày GD]) = YEAR(O$2)) *
(MONTH(Table_ThuChiKD[Ngày GD]) = MONTH(O$2))
)),0)</f>
        <v>0</v>
      </c>
      <c r="P40" s="326"/>
      <c r="Q40" s="242"/>
      <c r="R40" s="73" t="s">
        <v>308</v>
      </c>
      <c r="S40" s="331" cm="1">
        <f t="array" ref="S40">IFERROR(
SUM(_xlfn._xlws.FILTER(Table_ThuChiKD[Giá trị sau phí],
(Table_ThuChiKD[Loại GD] = "THU") *
(Table_ThuChiKD[Nội dung GD] = "Tiền trả người lao động") *
(YEAR(Table_ThuChiKD[Ngày GD]) = S$1)
)),0)
- IFERROR(
SUM(_xlfn._xlws.FILTER(Table_ThuChiKD[Giá trị sau phí],
(Table_ThuChiKD[Loại GD] = "CHI") *
(Table_ThuChiKD[Nội dung GD] ="Tiền trả người lao động") *
(YEAR(Table_ThuChiKD[Ngày GD]) = S$1)
)),0)</f>
        <v>0</v>
      </c>
      <c r="T40" s="242"/>
      <c r="U40" s="73" t="s">
        <v>308</v>
      </c>
      <c r="V40" s="337" cm="1">
        <f t="array" ref="V40">IFERROR(
SUM(_xlfn._xlws.FILTER(Table_ThuChiKD[Giá trị sau phí],
(Table_ThuChiKD[Loại GD] = "THU") *
(Table_ThuChiKD[Nội dung GD] ="Tiền trả người lao động") *
(YEAR(Table_ThuChiKD[Ngày GD]) = YEAR(V$1)) *
(MONTH(Table_ThuChiKD[Ngày GD]) = MONTH(V$1))
)),0)
-IFERROR(
SUM(_xlfn._xlws.FILTER(Table_ThuChiKD[Giá trị sau phí],
(Table_ThuChiKD[Loại GD] = "CHI") *
(Table_ThuChiKD[Nội dung GD] ="Tiền trả người lao động") *
(YEAR(Table_ThuChiKD[Ngày GD]) = YEAR(V$1)) *
(MONTH(Table_ThuChiKD[Ngày GD]) = MONTH(V$1))
)),0)</f>
        <v>0</v>
      </c>
    </row>
    <row r="41" spans="2:22" ht="18" customHeight="1" outlineLevel="2" x14ac:dyDescent="0.3">
      <c r="B41" s="99" t="s">
        <v>107</v>
      </c>
      <c r="C41" s="125" t="e">
        <f t="shared" ref="C41:O41" si="13">(SUM(C13:C16)+C18+SUM(C22:C26)-C37)/(SUM(C13:C16)+C18+SUM(C22:C26))</f>
        <v>#DIV/0!</v>
      </c>
      <c r="D41" s="125" t="e">
        <f t="shared" si="13"/>
        <v>#DIV/0!</v>
      </c>
      <c r="E41" s="125" t="e">
        <f t="shared" si="13"/>
        <v>#DIV/0!</v>
      </c>
      <c r="F41" s="125" t="e">
        <f t="shared" si="13"/>
        <v>#DIV/0!</v>
      </c>
      <c r="G41" s="125" t="e">
        <f t="shared" si="13"/>
        <v>#DIV/0!</v>
      </c>
      <c r="H41" s="125" t="e">
        <f t="shared" si="13"/>
        <v>#DIV/0!</v>
      </c>
      <c r="I41" s="125" t="e">
        <f t="shared" si="13"/>
        <v>#DIV/0!</v>
      </c>
      <c r="J41" s="125" t="e">
        <f t="shared" si="13"/>
        <v>#DIV/0!</v>
      </c>
      <c r="K41" s="125" t="e">
        <f t="shared" si="13"/>
        <v>#DIV/0!</v>
      </c>
      <c r="L41" s="125" t="e">
        <f t="shared" si="13"/>
        <v>#DIV/0!</v>
      </c>
      <c r="M41" s="125" t="e">
        <f t="shared" si="13"/>
        <v>#DIV/0!</v>
      </c>
      <c r="N41" s="125" t="e">
        <f t="shared" si="13"/>
        <v>#DIV/0!</v>
      </c>
      <c r="O41" s="125" t="e">
        <f t="shared" si="13"/>
        <v>#DIV/0!</v>
      </c>
      <c r="P41" s="326"/>
      <c r="Q41" s="242"/>
      <c r="R41" s="99" t="s">
        <v>107</v>
      </c>
      <c r="S41" s="125" t="e">
        <f>(SUM(S13:S16)+S18+SUM(S22:S26)-S37)/(SUM(S13:S16)+S18+SUM(S22:S26))</f>
        <v>#DIV/0!</v>
      </c>
      <c r="T41" s="242"/>
      <c r="U41" s="99" t="s">
        <v>107</v>
      </c>
      <c r="V41" s="125" t="e">
        <f>(SUM(V13:V16)+V18+SUM(V22:V26)-V37)/(SUM(V13:V16)+V18+SUM(V22:V26))</f>
        <v>#DIV/0!</v>
      </c>
    </row>
    <row r="42" spans="2:22" ht="18" customHeight="1" outlineLevel="1" x14ac:dyDescent="0.3">
      <c r="B42" s="124" t="s">
        <v>309</v>
      </c>
      <c r="C42" s="331" cm="1">
        <f t="array" ref="C42">IFERROR(
SUM(_xlfn._xlws.FILTER(Table_ThuChiKD[Giá trị sau phí],
(Table_ThuChiKD[Loại GD] = "THU") *
(Table_ThuChiKD[Nội dung GD] = "Thu chi thuế phí &amp; lệ phí trả NSNN") *
(YEAR(Table_ThuChiKD[Ngày GD]) = $C$2)
)),0)
- IFERROR(
SUM(_xlfn._xlws.FILTER(Table_ThuChiKD[Giá trị sau phí],
(Table_ThuChiKD[Loại GD] = "CHI") *
(Table_ThuChiKD[Nội dung GD] ="Thu chi thuế phí &amp; lệ phí trả NSNN") *
(YEAR(Table_ThuChiKD[Ngày GD]) = $C$2)
)),0)
+IFERROR(
SUM(_xlfn._xlws.FILTER(Table_ThuChiKD[Giá trị sau phí],
(Table_ThuChiKD[Loại GD] = "THU") *
(Table_ThuChiKD[Nội dung GD] = "Thuế TNDN đã nộp") *
(YEAR(Table_ThuChiKD[Ngày GD]) = $C$2)
)),0)
- IFERROR(
SUM(_xlfn._xlws.FILTER(Table_ThuChiKD[Giá trị sau phí],
(Table_ThuChiKD[Loại GD] = "CHI") *
(Table_ThuChiKD[Nội dung GD] ="Thuế TNDN đã nộp") *
(YEAR(Table_ThuChiKD[Ngày GD]) = $C$2)
)),0)</f>
        <v>0</v>
      </c>
      <c r="D42" s="326" cm="1">
        <f t="array" ref="D42">IFERROR(
SUM(_xlfn._xlws.FILTER(Table_ThuChiKD[Giá trị sau phí],
(Table_ThuChiKD[Loại GD] = "THU") *
(Table_ThuChiKD[Nội dung GD] ="Thu chi thuế phí &amp; lệ phí trả NSNN") *
(YEAR(Table_ThuChiKD[Ngày GD]) = YEAR(D$2)) *
(MONTH(Table_ThuChiKD[Ngày GD]) = MONTH(D$2))
)),0)
-IFERROR(
SUM(_xlfn._xlws.FILTER(Table_ThuChiKD[Giá trị sau phí],
(Table_ThuChiKD[Loại GD] = "CHI") *
(Table_ThuChiKD[Nội dung GD] ="Thu chi thuế phí &amp; lệ phí trả NSNN") *
(YEAR(Table_ThuChiKD[Ngày GD]) = YEAR(D$2)) *
(MONTH(Table_ThuChiKD[Ngày GD]) = MONTH(D$2))
)),0)
+IFERROR(
SUM(_xlfn._xlws.FILTER(Table_ThuChiKD[Giá trị sau phí],
(Table_ThuChiKD[Loại GD] = "THU") *
(Table_ThuChiKD[Nội dung GD] ="Thuế TNDN đã nộp") *
(YEAR(Table_ThuChiKD[Ngày GD]) = YEAR(D$2)) *
(MONTH(Table_ThuChiKD[Ngày GD]) = MONTH(D$2))
)),0)
-IFERROR(
SUM(_xlfn._xlws.FILTER(Table_ThuChiKD[Giá trị sau phí],
(Table_ThuChiKD[Loại GD] = "CHI") *
(Table_ThuChiKD[Nội dung GD] ="Thuế TNDN đã nộp") *
(YEAR(Table_ThuChiKD[Ngày GD]) = YEAR(D$2)) *
(MONTH(Table_ThuChiKD[Ngày GD]) = MONTH(D$2))
)),0)</f>
        <v>0</v>
      </c>
      <c r="E42" s="326" cm="1">
        <f t="array" ref="E42">IFERROR(
SUM(_xlfn._xlws.FILTER(Table_ThuChiKD[Giá trị sau phí],
(Table_ThuChiKD[Loại GD] = "THU") *
(Table_ThuChiKD[Nội dung GD] ="Thu chi thuế phí &amp; lệ phí trả NSNN") *
(YEAR(Table_ThuChiKD[Ngày GD]) = YEAR(E$2)) *
(MONTH(Table_ThuChiKD[Ngày GD]) = MONTH(E$2))
)),0)
-IFERROR(
SUM(_xlfn._xlws.FILTER(Table_ThuChiKD[Giá trị sau phí],
(Table_ThuChiKD[Loại GD] = "CHI") *
(Table_ThuChiKD[Nội dung GD] ="Thu chi thuế phí &amp; lệ phí trả NSNN") *
(YEAR(Table_ThuChiKD[Ngày GD]) = YEAR(E$2)) *
(MONTH(Table_ThuChiKD[Ngày GD]) = MONTH(E$2))
)),0)
+IFERROR(
SUM(_xlfn._xlws.FILTER(Table_ThuChiKD[Giá trị sau phí],
(Table_ThuChiKD[Loại GD] = "THU") *
(Table_ThuChiKD[Nội dung GD] ="Thuế TNDN đã nộp") *
(YEAR(Table_ThuChiKD[Ngày GD]) = YEAR(E$2)) *
(MONTH(Table_ThuChiKD[Ngày GD]) = MONTH(E$2))
)),0)
-IFERROR(
SUM(_xlfn._xlws.FILTER(Table_ThuChiKD[Giá trị sau phí],
(Table_ThuChiKD[Loại GD] = "CHI") *
(Table_ThuChiKD[Nội dung GD] ="Thuế TNDN đã nộp") *
(YEAR(Table_ThuChiKD[Ngày GD]) = YEAR(E$2)) *
(MONTH(Table_ThuChiKD[Ngày GD]) = MONTH(E$2))
)),0)</f>
        <v>0</v>
      </c>
      <c r="F42" s="326" cm="1">
        <f t="array" ref="F42">IFERROR(
SUM(_xlfn._xlws.FILTER(Table_ThuChiKD[Giá trị sau phí],
(Table_ThuChiKD[Loại GD] = "THU") *
(Table_ThuChiKD[Nội dung GD] ="Thu chi thuế phí &amp; lệ phí trả NSNN") *
(YEAR(Table_ThuChiKD[Ngày GD]) = YEAR(F$2)) *
(MONTH(Table_ThuChiKD[Ngày GD]) = MONTH(F$2))
)),0)
-IFERROR(
SUM(_xlfn._xlws.FILTER(Table_ThuChiKD[Giá trị sau phí],
(Table_ThuChiKD[Loại GD] = "CHI") *
(Table_ThuChiKD[Nội dung GD] ="Thu chi thuế phí &amp; lệ phí trả NSNN") *
(YEAR(Table_ThuChiKD[Ngày GD]) = YEAR(F$2)) *
(MONTH(Table_ThuChiKD[Ngày GD]) = MONTH(F$2))
)),0)
+IFERROR(
SUM(_xlfn._xlws.FILTER(Table_ThuChiKD[Giá trị sau phí],
(Table_ThuChiKD[Loại GD] = "THU") *
(Table_ThuChiKD[Nội dung GD] ="Thuế TNDN đã nộp") *
(YEAR(Table_ThuChiKD[Ngày GD]) = YEAR(F$2)) *
(MONTH(Table_ThuChiKD[Ngày GD]) = MONTH(F$2))
)),0)
-IFERROR(
SUM(_xlfn._xlws.FILTER(Table_ThuChiKD[Giá trị sau phí],
(Table_ThuChiKD[Loại GD] = "CHI") *
(Table_ThuChiKD[Nội dung GD] ="Thuế TNDN đã nộp") *
(YEAR(Table_ThuChiKD[Ngày GD]) = YEAR(F$2)) *
(MONTH(Table_ThuChiKD[Ngày GD]) = MONTH(F$2))
)),0)</f>
        <v>0</v>
      </c>
      <c r="G42" s="326" cm="1">
        <f t="array" ref="G42">IFERROR(
SUM(_xlfn._xlws.FILTER(Table_ThuChiKD[Giá trị sau phí],
(Table_ThuChiKD[Loại GD] = "THU") *
(Table_ThuChiKD[Nội dung GD] ="Thu chi thuế phí &amp; lệ phí trả NSNN") *
(YEAR(Table_ThuChiKD[Ngày GD]) = YEAR(G$2)) *
(MONTH(Table_ThuChiKD[Ngày GD]) = MONTH(G$2))
)),0)
-IFERROR(
SUM(_xlfn._xlws.FILTER(Table_ThuChiKD[Giá trị sau phí],
(Table_ThuChiKD[Loại GD] = "CHI") *
(Table_ThuChiKD[Nội dung GD] ="Thu chi thuế phí &amp; lệ phí trả NSNN") *
(YEAR(Table_ThuChiKD[Ngày GD]) = YEAR(G$2)) *
(MONTH(Table_ThuChiKD[Ngày GD]) = MONTH(G$2))
)),0)
+IFERROR(
SUM(_xlfn._xlws.FILTER(Table_ThuChiKD[Giá trị sau phí],
(Table_ThuChiKD[Loại GD] = "THU") *
(Table_ThuChiKD[Nội dung GD] ="Thuế TNDN đã nộp") *
(YEAR(Table_ThuChiKD[Ngày GD]) = YEAR(G$2)) *
(MONTH(Table_ThuChiKD[Ngày GD]) = MONTH(G$2))
)),0)
-IFERROR(
SUM(_xlfn._xlws.FILTER(Table_ThuChiKD[Giá trị sau phí],
(Table_ThuChiKD[Loại GD] = "CHI") *
(Table_ThuChiKD[Nội dung GD] ="Thuế TNDN đã nộp") *
(YEAR(Table_ThuChiKD[Ngày GD]) = YEAR(G$2)) *
(MONTH(Table_ThuChiKD[Ngày GD]) = MONTH(G$2))
)),0)</f>
        <v>0</v>
      </c>
      <c r="H42" s="326" cm="1">
        <f t="array" ref="H42">IFERROR(
SUM(_xlfn._xlws.FILTER(Table_ThuChiKD[Giá trị sau phí],
(Table_ThuChiKD[Loại GD] = "THU") *
(Table_ThuChiKD[Nội dung GD] ="Thu chi thuế phí &amp; lệ phí trả NSNN") *
(YEAR(Table_ThuChiKD[Ngày GD]) = YEAR(H$2)) *
(MONTH(Table_ThuChiKD[Ngày GD]) = MONTH(H$2))
)),0)
-IFERROR(
SUM(_xlfn._xlws.FILTER(Table_ThuChiKD[Giá trị sau phí],
(Table_ThuChiKD[Loại GD] = "CHI") *
(Table_ThuChiKD[Nội dung GD] ="Thu chi thuế phí &amp; lệ phí trả NSNN") *
(YEAR(Table_ThuChiKD[Ngày GD]) = YEAR(H$2)) *
(MONTH(Table_ThuChiKD[Ngày GD]) = MONTH(H$2))
)),0)
+IFERROR(
SUM(_xlfn._xlws.FILTER(Table_ThuChiKD[Giá trị sau phí],
(Table_ThuChiKD[Loại GD] = "THU") *
(Table_ThuChiKD[Nội dung GD] ="Thuế TNDN đã nộp") *
(YEAR(Table_ThuChiKD[Ngày GD]) = YEAR(H$2)) *
(MONTH(Table_ThuChiKD[Ngày GD]) = MONTH(H$2))
)),0)
-IFERROR(
SUM(_xlfn._xlws.FILTER(Table_ThuChiKD[Giá trị sau phí],
(Table_ThuChiKD[Loại GD] = "CHI") *
(Table_ThuChiKD[Nội dung GD] ="Thuế TNDN đã nộp") *
(YEAR(Table_ThuChiKD[Ngày GD]) = YEAR(H$2)) *
(MONTH(Table_ThuChiKD[Ngày GD]) = MONTH(H$2))
)),0)</f>
        <v>0</v>
      </c>
      <c r="I42" s="326" cm="1">
        <f t="array" ref="I42">IFERROR(
SUM(_xlfn._xlws.FILTER(Table_ThuChiKD[Giá trị sau phí],
(Table_ThuChiKD[Loại GD] = "THU") *
(Table_ThuChiKD[Nội dung GD] ="Thu chi thuế phí &amp; lệ phí trả NSNN") *
(YEAR(Table_ThuChiKD[Ngày GD]) = YEAR(I$2)) *
(MONTH(Table_ThuChiKD[Ngày GD]) = MONTH(I$2))
)),0)
-IFERROR(
SUM(_xlfn._xlws.FILTER(Table_ThuChiKD[Giá trị sau phí],
(Table_ThuChiKD[Loại GD] = "CHI") *
(Table_ThuChiKD[Nội dung GD] ="Thu chi thuế phí &amp; lệ phí trả NSNN") *
(YEAR(Table_ThuChiKD[Ngày GD]) = YEAR(I$2)) *
(MONTH(Table_ThuChiKD[Ngày GD]) = MONTH(I$2))
)),0)
+IFERROR(
SUM(_xlfn._xlws.FILTER(Table_ThuChiKD[Giá trị sau phí],
(Table_ThuChiKD[Loại GD] = "THU") *
(Table_ThuChiKD[Nội dung GD] ="Thuế TNDN đã nộp") *
(YEAR(Table_ThuChiKD[Ngày GD]) = YEAR(I$2)) *
(MONTH(Table_ThuChiKD[Ngày GD]) = MONTH(I$2))
)),0)
-IFERROR(
SUM(_xlfn._xlws.FILTER(Table_ThuChiKD[Giá trị sau phí],
(Table_ThuChiKD[Loại GD] = "CHI") *
(Table_ThuChiKD[Nội dung GD] ="Thuế TNDN đã nộp") *
(YEAR(Table_ThuChiKD[Ngày GD]) = YEAR(I$2)) *
(MONTH(Table_ThuChiKD[Ngày GD]) = MONTH(I$2))
)),0)</f>
        <v>0</v>
      </c>
      <c r="J42" s="326" cm="1">
        <f t="array" ref="J42">IFERROR(
SUM(_xlfn._xlws.FILTER(Table_ThuChiKD[Giá trị sau phí],
(Table_ThuChiKD[Loại GD] = "THU") *
(Table_ThuChiKD[Nội dung GD] ="Thu chi thuế phí &amp; lệ phí trả NSNN") *
(YEAR(Table_ThuChiKD[Ngày GD]) = YEAR(J$2)) *
(MONTH(Table_ThuChiKD[Ngày GD]) = MONTH(J$2))
)),0)
-IFERROR(
SUM(_xlfn._xlws.FILTER(Table_ThuChiKD[Giá trị sau phí],
(Table_ThuChiKD[Loại GD] = "CHI") *
(Table_ThuChiKD[Nội dung GD] ="Thu chi thuế phí &amp; lệ phí trả NSNN") *
(YEAR(Table_ThuChiKD[Ngày GD]) = YEAR(J$2)) *
(MONTH(Table_ThuChiKD[Ngày GD]) = MONTH(J$2))
)),0)
+IFERROR(
SUM(_xlfn._xlws.FILTER(Table_ThuChiKD[Giá trị sau phí],
(Table_ThuChiKD[Loại GD] = "THU") *
(Table_ThuChiKD[Nội dung GD] ="Thuế TNDN đã nộp") *
(YEAR(Table_ThuChiKD[Ngày GD]) = YEAR(J$2)) *
(MONTH(Table_ThuChiKD[Ngày GD]) = MONTH(J$2))
)),0)
-IFERROR(
SUM(_xlfn._xlws.FILTER(Table_ThuChiKD[Giá trị sau phí],
(Table_ThuChiKD[Loại GD] = "CHI") *
(Table_ThuChiKD[Nội dung GD] ="Thuế TNDN đã nộp") *
(YEAR(Table_ThuChiKD[Ngày GD]) = YEAR(J$2)) *
(MONTH(Table_ThuChiKD[Ngày GD]) = MONTH(J$2))
)),0)</f>
        <v>0</v>
      </c>
      <c r="K42" s="326" cm="1">
        <f t="array" ref="K42">IFERROR(
SUM(_xlfn._xlws.FILTER(Table_ThuChiKD[Giá trị sau phí],
(Table_ThuChiKD[Loại GD] = "THU") *
(Table_ThuChiKD[Nội dung GD] ="Thu chi thuế phí &amp; lệ phí trả NSNN") *
(YEAR(Table_ThuChiKD[Ngày GD]) = YEAR(K$2)) *
(MONTH(Table_ThuChiKD[Ngày GD]) = MONTH(K$2))
)),0)
-IFERROR(
SUM(_xlfn._xlws.FILTER(Table_ThuChiKD[Giá trị sau phí],
(Table_ThuChiKD[Loại GD] = "CHI") *
(Table_ThuChiKD[Nội dung GD] ="Thu chi thuế phí &amp; lệ phí trả NSNN") *
(YEAR(Table_ThuChiKD[Ngày GD]) = YEAR(K$2)) *
(MONTH(Table_ThuChiKD[Ngày GD]) = MONTH(K$2))
)),0)
+IFERROR(
SUM(_xlfn._xlws.FILTER(Table_ThuChiKD[Giá trị sau phí],
(Table_ThuChiKD[Loại GD] = "THU") *
(Table_ThuChiKD[Nội dung GD] ="Thuế TNDN đã nộp") *
(YEAR(Table_ThuChiKD[Ngày GD]) = YEAR(K$2)) *
(MONTH(Table_ThuChiKD[Ngày GD]) = MONTH(K$2))
)),0)
-IFERROR(
SUM(_xlfn._xlws.FILTER(Table_ThuChiKD[Giá trị sau phí],
(Table_ThuChiKD[Loại GD] = "CHI") *
(Table_ThuChiKD[Nội dung GD] ="Thuế TNDN đã nộp") *
(YEAR(Table_ThuChiKD[Ngày GD]) = YEAR(K$2)) *
(MONTH(Table_ThuChiKD[Ngày GD]) = MONTH(K$2))
)),0)</f>
        <v>0</v>
      </c>
      <c r="L42" s="326" cm="1">
        <f t="array" ref="L42">IFERROR(
SUM(_xlfn._xlws.FILTER(Table_ThuChiKD[Giá trị sau phí],
(Table_ThuChiKD[Loại GD] = "THU") *
(Table_ThuChiKD[Nội dung GD] ="Thu chi thuế phí &amp; lệ phí trả NSNN") *
(YEAR(Table_ThuChiKD[Ngày GD]) = YEAR(L$2)) *
(MONTH(Table_ThuChiKD[Ngày GD]) = MONTH(L$2))
)),0)
-IFERROR(
SUM(_xlfn._xlws.FILTER(Table_ThuChiKD[Giá trị sau phí],
(Table_ThuChiKD[Loại GD] = "CHI") *
(Table_ThuChiKD[Nội dung GD] ="Thu chi thuế phí &amp; lệ phí trả NSNN") *
(YEAR(Table_ThuChiKD[Ngày GD]) = YEAR(L$2)) *
(MONTH(Table_ThuChiKD[Ngày GD]) = MONTH(L$2))
)),0)
+IFERROR(
SUM(_xlfn._xlws.FILTER(Table_ThuChiKD[Giá trị sau phí],
(Table_ThuChiKD[Loại GD] = "THU") *
(Table_ThuChiKD[Nội dung GD] ="Thuế TNDN đã nộp") *
(YEAR(Table_ThuChiKD[Ngày GD]) = YEAR(L$2)) *
(MONTH(Table_ThuChiKD[Ngày GD]) = MONTH(L$2))
)),0)
-IFERROR(
SUM(_xlfn._xlws.FILTER(Table_ThuChiKD[Giá trị sau phí],
(Table_ThuChiKD[Loại GD] = "CHI") *
(Table_ThuChiKD[Nội dung GD] ="Thuế TNDN đã nộp") *
(YEAR(Table_ThuChiKD[Ngày GD]) = YEAR(L$2)) *
(MONTH(Table_ThuChiKD[Ngày GD]) = MONTH(L$2))
)),0)</f>
        <v>0</v>
      </c>
      <c r="M42" s="326" cm="1">
        <f t="array" ref="M42">IFERROR(
SUM(_xlfn._xlws.FILTER(Table_ThuChiKD[Giá trị sau phí],
(Table_ThuChiKD[Loại GD] = "THU") *
(Table_ThuChiKD[Nội dung GD] ="Thu chi thuế phí &amp; lệ phí trả NSNN") *
(YEAR(Table_ThuChiKD[Ngày GD]) = YEAR(M$2)) *
(MONTH(Table_ThuChiKD[Ngày GD]) = MONTH(M$2))
)),0)
-IFERROR(
SUM(_xlfn._xlws.FILTER(Table_ThuChiKD[Giá trị sau phí],
(Table_ThuChiKD[Loại GD] = "CHI") *
(Table_ThuChiKD[Nội dung GD] ="Thu chi thuế phí &amp; lệ phí trả NSNN") *
(YEAR(Table_ThuChiKD[Ngày GD]) = YEAR(M$2)) *
(MONTH(Table_ThuChiKD[Ngày GD]) = MONTH(M$2))
)),0)
+IFERROR(
SUM(_xlfn._xlws.FILTER(Table_ThuChiKD[Giá trị sau phí],
(Table_ThuChiKD[Loại GD] = "THU") *
(Table_ThuChiKD[Nội dung GD] ="Thuế TNDN đã nộp") *
(YEAR(Table_ThuChiKD[Ngày GD]) = YEAR(M$2)) *
(MONTH(Table_ThuChiKD[Ngày GD]) = MONTH(M$2))
)),0)
-IFERROR(
SUM(_xlfn._xlws.FILTER(Table_ThuChiKD[Giá trị sau phí],
(Table_ThuChiKD[Loại GD] = "CHI") *
(Table_ThuChiKD[Nội dung GD] ="Thuế TNDN đã nộp") *
(YEAR(Table_ThuChiKD[Ngày GD]) = YEAR(M$2)) *
(MONTH(Table_ThuChiKD[Ngày GD]) = MONTH(M$2))
)),0)</f>
        <v>0</v>
      </c>
      <c r="N42" s="326" cm="1">
        <f t="array" ref="N42">IFERROR(
SUM(_xlfn._xlws.FILTER(Table_ThuChiKD[Giá trị sau phí],
(Table_ThuChiKD[Loại GD] = "THU") *
(Table_ThuChiKD[Nội dung GD] ="Thu chi thuế phí &amp; lệ phí trả NSNN") *
(YEAR(Table_ThuChiKD[Ngày GD]) = YEAR(N$2)) *
(MONTH(Table_ThuChiKD[Ngày GD]) = MONTH(N$2))
)),0)
-IFERROR(
SUM(_xlfn._xlws.FILTER(Table_ThuChiKD[Giá trị sau phí],
(Table_ThuChiKD[Loại GD] = "CHI") *
(Table_ThuChiKD[Nội dung GD] ="Thu chi thuế phí &amp; lệ phí trả NSNN") *
(YEAR(Table_ThuChiKD[Ngày GD]) = YEAR(N$2)) *
(MONTH(Table_ThuChiKD[Ngày GD]) = MONTH(N$2))
)),0)
+IFERROR(
SUM(_xlfn._xlws.FILTER(Table_ThuChiKD[Giá trị sau phí],
(Table_ThuChiKD[Loại GD] = "THU") *
(Table_ThuChiKD[Nội dung GD] ="Thuế TNDN đã nộp") *
(YEAR(Table_ThuChiKD[Ngày GD]) = YEAR(N$2)) *
(MONTH(Table_ThuChiKD[Ngày GD]) = MONTH(N$2))
)),0)
-IFERROR(
SUM(_xlfn._xlws.FILTER(Table_ThuChiKD[Giá trị sau phí],
(Table_ThuChiKD[Loại GD] = "CHI") *
(Table_ThuChiKD[Nội dung GD] ="Thuế TNDN đã nộp") *
(YEAR(Table_ThuChiKD[Ngày GD]) = YEAR(N$2)) *
(MONTH(Table_ThuChiKD[Ngày GD]) = MONTH(N$2))
)),0)</f>
        <v>0</v>
      </c>
      <c r="O42" s="326" cm="1">
        <f t="array" ref="O42">IFERROR(
SUM(_xlfn._xlws.FILTER(Table_ThuChiKD[Giá trị sau phí],
(Table_ThuChiKD[Loại GD] = "THU") *
(Table_ThuChiKD[Nội dung GD] ="Thu chi thuế phí &amp; lệ phí trả NSNN") *
(YEAR(Table_ThuChiKD[Ngày GD]) = YEAR(O$2)) *
(MONTH(Table_ThuChiKD[Ngày GD]) = MONTH(O$2))
)),0)
-IFERROR(
SUM(_xlfn._xlws.FILTER(Table_ThuChiKD[Giá trị sau phí],
(Table_ThuChiKD[Loại GD] = "CHI") *
(Table_ThuChiKD[Nội dung GD] ="Thu chi thuế phí &amp; lệ phí trả NSNN") *
(YEAR(Table_ThuChiKD[Ngày GD]) = YEAR(O$2)) *
(MONTH(Table_ThuChiKD[Ngày GD]) = MONTH(O$2))
)),0)
+IFERROR(
SUM(_xlfn._xlws.FILTER(Table_ThuChiKD[Giá trị sau phí],
(Table_ThuChiKD[Loại GD] = "THU") *
(Table_ThuChiKD[Nội dung GD] ="Thuế TNDN đã nộp") *
(YEAR(Table_ThuChiKD[Ngày GD]) = YEAR(O$2)) *
(MONTH(Table_ThuChiKD[Ngày GD]) = MONTH(O$2))
)),0)
-IFERROR(
SUM(_xlfn._xlws.FILTER(Table_ThuChiKD[Giá trị sau phí],
(Table_ThuChiKD[Loại GD] = "CHI") *
(Table_ThuChiKD[Nội dung GD] ="Thuế TNDN đã nộp") *
(YEAR(Table_ThuChiKD[Ngày GD]) = YEAR(O$2)) *
(MONTH(Table_ThuChiKD[Ngày GD]) = MONTH(O$2))
)),0)</f>
        <v>0</v>
      </c>
      <c r="P42" s="326"/>
      <c r="Q42" s="242"/>
      <c r="R42" s="124" t="s">
        <v>309</v>
      </c>
      <c r="S42" s="331" cm="1">
        <f t="array" ref="S42">IFERROR(
SUM(_xlfn._xlws.FILTER(Table_ThuChiKD[Giá trị sau phí],
(Table_ThuChiKD[Loại GD] = "THU") *
(Table_ThuChiKD[Nội dung GD] = "Thu chi thuế phí &amp; lệ phí trả NSNN") *
(YEAR(Table_ThuChiKD[Ngày GD]) = S$1)
)),0)
- IFERROR(
SUM(_xlfn._xlws.FILTER(Table_ThuChiKD[Giá trị sau phí],
(Table_ThuChiKD[Loại GD] = "CHI") *
(Table_ThuChiKD[Nội dung GD] ="Thu chi thuế phí &amp; lệ phí trả NSNN") *
(YEAR(Table_ThuChiKD[Ngày GD]) = S$1)
)),0)
+IFERROR(
SUM(_xlfn._xlws.FILTER(Table_ThuChiKD[Giá trị sau phí],
(Table_ThuChiKD[Loại GD] = "THU") *
(Table_ThuChiKD[Nội dung GD] = "Thuế TNDN đã nộp") *
(YEAR(Table_ThuChiKD[Ngày GD]) = S$1)
)),0)
- IFERROR(
SUM(_xlfn._xlws.FILTER(Table_ThuChiKD[Giá trị sau phí],
(Table_ThuChiKD[Loại GD] = "CHI") *
(Table_ThuChiKD[Nội dung GD] ="Thuế TNDN đã nộp") *
(YEAR(Table_ThuChiKD[Ngày GD]) = S$1)
)),0)</f>
        <v>0</v>
      </c>
      <c r="T42" s="242"/>
      <c r="U42" s="124" t="s">
        <v>309</v>
      </c>
      <c r="V42" s="326" cm="1">
        <f t="array" ref="V42">IFERROR(
SUM(_xlfn._xlws.FILTER(Table_ThuChiKD[Giá trị sau phí],
(Table_ThuChiKD[Loại GD] = "THU") *
(Table_ThuChiKD[Nội dung GD] ="Thu chi thuế phí &amp; lệ phí trả NSNN") *
(YEAR(Table_ThuChiKD[Ngày GD]) = YEAR(V$1)) *
(MONTH(Table_ThuChiKD[Ngày GD]) = MONTH(V$1))
)),0)
-IFERROR(
SUM(_xlfn._xlws.FILTER(Table_ThuChiKD[Giá trị sau phí],
(Table_ThuChiKD[Loại GD] = "CHI") *
(Table_ThuChiKD[Nội dung GD] ="Thu chi thuế phí &amp; lệ phí trả NSNN") *
(YEAR(Table_ThuChiKD[Ngày GD]) = YEAR(V$1)) *
(MONTH(Table_ThuChiKD[Ngày GD]) = MONTH(V$1))
)),0)
+IFERROR(
SUM(_xlfn._xlws.FILTER(Table_ThuChiKD[Giá trị sau phí],
(Table_ThuChiKD[Loại GD] = "THU") *
(Table_ThuChiKD[Nội dung GD] ="Thuế TNDN đã nộp") *
(YEAR(Table_ThuChiKD[Ngày GD]) = YEAR(V$1)) *
(MONTH(Table_ThuChiKD[Ngày GD]) = MONTH(V$1))
)),0)
-IFERROR(
SUM(_xlfn._xlws.FILTER(Table_ThuChiKD[Giá trị sau phí],
(Table_ThuChiKD[Loại GD] = "CHI") *
(Table_ThuChiKD[Nội dung GD] ="Thuế TNDN đã nộp") *
(YEAR(Table_ThuChiKD[Ngày GD]) = YEAR(V$1)) *
(MONTH(Table_ThuChiKD[Ngày GD]) = MONTH(V$1))
)),0)</f>
        <v>0</v>
      </c>
    </row>
    <row r="43" spans="2:22" ht="18" customHeight="1" outlineLevel="1" x14ac:dyDescent="0.3">
      <c r="B43" s="74" t="s">
        <v>310</v>
      </c>
      <c r="C43" s="328">
        <f t="shared" ref="C43:O43" si="14">+SUM(C44:C46)</f>
        <v>0</v>
      </c>
      <c r="D43" s="328">
        <f t="shared" si="14"/>
        <v>0</v>
      </c>
      <c r="E43" s="328">
        <f t="shared" si="14"/>
        <v>0</v>
      </c>
      <c r="F43" s="328">
        <f t="shared" si="14"/>
        <v>0</v>
      </c>
      <c r="G43" s="328">
        <f t="shared" si="14"/>
        <v>0</v>
      </c>
      <c r="H43" s="328">
        <f t="shared" si="14"/>
        <v>0</v>
      </c>
      <c r="I43" s="328">
        <f t="shared" si="14"/>
        <v>0</v>
      </c>
      <c r="J43" s="328">
        <f t="shared" si="14"/>
        <v>0</v>
      </c>
      <c r="K43" s="328">
        <f t="shared" si="14"/>
        <v>0</v>
      </c>
      <c r="L43" s="328">
        <f t="shared" si="14"/>
        <v>0</v>
      </c>
      <c r="M43" s="328">
        <f t="shared" si="14"/>
        <v>0</v>
      </c>
      <c r="N43" s="328">
        <f t="shared" si="14"/>
        <v>0</v>
      </c>
      <c r="O43" s="328">
        <f t="shared" si="14"/>
        <v>0</v>
      </c>
      <c r="P43" s="327"/>
      <c r="Q43" s="242"/>
      <c r="R43" s="74" t="s">
        <v>310</v>
      </c>
      <c r="S43" s="105">
        <f>+SUM(S44:S46)</f>
        <v>0</v>
      </c>
      <c r="T43" s="242"/>
      <c r="U43" s="74" t="s">
        <v>310</v>
      </c>
      <c r="V43" s="105">
        <f>+SUM(V44:V46)</f>
        <v>0</v>
      </c>
    </row>
    <row r="44" spans="2:22" ht="18" customHeight="1" outlineLevel="2" x14ac:dyDescent="0.3">
      <c r="B44" s="73" t="s">
        <v>311</v>
      </c>
      <c r="C44" s="331" cm="1">
        <f t="array" ref="C44" xml:space="preserve">
-IFERROR(SUM(_xlfn._xlws.FILTER(Table_ThuChiTC[Giá trị GD],
(Table_ThuChiTC[Loại GD]="CHI")*
(Table_ThuChiTC[Nội dung GD]=Sheet_ThuChiTC!$F$9)*
(Table_ThuChiTC[Ngày GD]&gt;=D2)*
(Table_ThuChiTC[Ngày GD]&lt;P2)
)),0)
+IFERROR(SUM(_xlfn._xlws.FILTER(Table_ThuChiTC[Giá trị GD],
(Table_ThuChiTC[Loại GD]="THU")*
(Table_ThuChiTC[Nội dung GD]=Sheet_ThuChiTC!$F$11)*
(Table_ThuChiTC[Ngày GD]&gt;=D2)*
(Table_ThuChiTC[Ngày GD]&lt;P2)
)),0)
-IFERROR(SUM(_xlfn._xlws.FILTER(Table_ThuChiTC[Giá trị GD],
(Table_ThuChiTC[Loại GD]="CHI")*
(Table_ThuChiTC[Nội dung GD]=Sheet_ThuChiTC!$F$11)*
(Table_ThuChiTC[Ngày GD]&gt;=D2)*
(Table_ThuChiTC[Ngày GD]&lt;P2)
)),0)</f>
        <v>0</v>
      </c>
      <c r="D44" s="337" cm="1">
        <f t="array" ref="D44" xml:space="preserve">
-IFERROR(SUM(_xlfn._xlws.FILTER(Table_ThuChiTC[Giá trị GD],
(Table_ThuChiTC[Loại GD]="CHI")*
(Table_ThuChiTC[Nội dung GD]=Sheet_ThuChiTC!$F$9)*
(Table_ThuChiTC[Ngày GD]&gt;=D2)*
(Table_ThuChiTC[Ngày GD]&lt;E2)
)),0)
+IFERROR(SUM(_xlfn._xlws.FILTER(Table_ThuChiTC[Giá trị GD],
(Table_ThuChiTC[Loại GD]="THU")*
(Table_ThuChiTC[Nội dung GD]=Sheet_ThuChiTC!$F$11)*
(Table_ThuChiTC[Ngày GD]&gt;=D2)*
(Table_ThuChiTC[Ngày GD]&lt;E2)
)),0)
-IFERROR(SUM(_xlfn._xlws.FILTER(Table_ThuChiTC[Giá trị GD],
(Table_ThuChiTC[Loại GD]="CHI")*
(Table_ThuChiTC[Nội dung GD]=Sheet_ThuChiTC!$F$11)*
(Table_ThuChiTC[Ngày GD]&gt;=D2)*
(Table_ThuChiTC[Ngày GD]&lt;E2)
)),0)</f>
        <v>0</v>
      </c>
      <c r="E44" s="337" cm="1">
        <f t="array" ref="E44" xml:space="preserve">
-IFERROR(SUM(_xlfn._xlws.FILTER(Table_ThuChiTC[Giá trị GD],
(Table_ThuChiTC[Loại GD]="CHI")*
(Table_ThuChiTC[Nội dung GD]=Sheet_ThuChiTC!$F$9)*
(Table_ThuChiTC[Ngày GD]&gt;=E2)*
(Table_ThuChiTC[Ngày GD]&lt;F2)
)),0)
+IFERROR(SUM(_xlfn._xlws.FILTER(Table_ThuChiTC[Giá trị GD],
(Table_ThuChiTC[Loại GD]="THU")*
(Table_ThuChiTC[Nội dung GD]=Sheet_ThuChiTC!$F$11)*
(Table_ThuChiTC[Ngày GD]&gt;=E2)*
(Table_ThuChiTC[Ngày GD]&lt;F2)
)),0)
-IFERROR(SUM(_xlfn._xlws.FILTER(Table_ThuChiTC[Giá trị GD],
(Table_ThuChiTC[Loại GD]="CHI")*
(Table_ThuChiTC[Nội dung GD]=Sheet_ThuChiTC!$F$11)*
(Table_ThuChiTC[Ngày GD]&gt;=E2)*
(Table_ThuChiTC[Ngày GD]&lt;F2)
)),0)</f>
        <v>0</v>
      </c>
      <c r="F44" s="337" cm="1">
        <f t="array" ref="F44" xml:space="preserve">
-IFERROR(SUM(_xlfn._xlws.FILTER(Table_ThuChiTC[Giá trị GD],
(Table_ThuChiTC[Loại GD]="CHI")*
(Table_ThuChiTC[Nội dung GD]=Sheet_ThuChiTC!$F$9)*
(Table_ThuChiTC[Ngày GD]&gt;=F2)*
(Table_ThuChiTC[Ngày GD]&lt;G2)
)),0)
+IFERROR(SUM(_xlfn._xlws.FILTER(Table_ThuChiTC[Giá trị GD],
(Table_ThuChiTC[Loại GD]="THU")*
(Table_ThuChiTC[Nội dung GD]=Sheet_ThuChiTC!$F$11)*
(Table_ThuChiTC[Ngày GD]&gt;=F2)*
(Table_ThuChiTC[Ngày GD]&lt;G2)
)),0)
-IFERROR(SUM(_xlfn._xlws.FILTER(Table_ThuChiTC[Giá trị GD],
(Table_ThuChiTC[Loại GD]="CHI")*
(Table_ThuChiTC[Nội dung GD]=Sheet_ThuChiTC!$F$11)*
(Table_ThuChiTC[Ngày GD]&gt;=F2)*
(Table_ThuChiTC[Ngày GD]&lt;G2)
)),0)</f>
        <v>0</v>
      </c>
      <c r="G44" s="337" cm="1">
        <f t="array" ref="G44" xml:space="preserve">
-IFERROR(SUM(_xlfn._xlws.FILTER(Table_ThuChiTC[Giá trị GD],
(Table_ThuChiTC[Loại GD]="CHI")*
(Table_ThuChiTC[Nội dung GD]=Sheet_ThuChiTC!$F$9)*
(Table_ThuChiTC[Ngày GD]&gt;=G2)*
(Table_ThuChiTC[Ngày GD]&lt;H2)
)),0)
+IFERROR(SUM(_xlfn._xlws.FILTER(Table_ThuChiTC[Giá trị GD],
(Table_ThuChiTC[Loại GD]="THU")*
(Table_ThuChiTC[Nội dung GD]=Sheet_ThuChiTC!$F$11)*
(Table_ThuChiTC[Ngày GD]&gt;=G2)*
(Table_ThuChiTC[Ngày GD]&lt;H2)
)),0)
-IFERROR(SUM(_xlfn._xlws.FILTER(Table_ThuChiTC[Giá trị GD],
(Table_ThuChiTC[Loại GD]="CHI")*
(Table_ThuChiTC[Nội dung GD]=Sheet_ThuChiTC!$F$11)*
(Table_ThuChiTC[Ngày GD]&gt;=G2)*
(Table_ThuChiTC[Ngày GD]&lt;H2)
)),0)</f>
        <v>0</v>
      </c>
      <c r="H44" s="337" cm="1">
        <f t="array" ref="H44" xml:space="preserve">
-IFERROR(SUM(_xlfn._xlws.FILTER(Table_ThuChiTC[Giá trị GD],
(Table_ThuChiTC[Loại GD]="CHI")*
(Table_ThuChiTC[Nội dung GD]=Sheet_ThuChiTC!$F$9)*
(Table_ThuChiTC[Ngày GD]&gt;=H2)*
(Table_ThuChiTC[Ngày GD]&lt;I2)
)),0)
+IFERROR(SUM(_xlfn._xlws.FILTER(Table_ThuChiTC[Giá trị GD],
(Table_ThuChiTC[Loại GD]="THU")*
(Table_ThuChiTC[Nội dung GD]=Sheet_ThuChiTC!$F$11)*
(Table_ThuChiTC[Ngày GD]&gt;=H2)*
(Table_ThuChiTC[Ngày GD]&lt;I2)
)),0)
-IFERROR(SUM(_xlfn._xlws.FILTER(Table_ThuChiTC[Giá trị GD],
(Table_ThuChiTC[Loại GD]="CHI")*
(Table_ThuChiTC[Nội dung GD]=Sheet_ThuChiTC!$F$11)*
(Table_ThuChiTC[Ngày GD]&gt;=H2)*
(Table_ThuChiTC[Ngày GD]&lt;I2)
)),0)</f>
        <v>0</v>
      </c>
      <c r="I44" s="337" cm="1">
        <f t="array" ref="I44" xml:space="preserve">
-IFERROR(SUM(_xlfn._xlws.FILTER(Table_ThuChiTC[Giá trị GD],
(Table_ThuChiTC[Loại GD]="CHI")*
(Table_ThuChiTC[Nội dung GD]=Sheet_ThuChiTC!$F$9)*
(Table_ThuChiTC[Ngày GD]&gt;=I2)*
(Table_ThuChiTC[Ngày GD]&lt;J2)
)),0)
+IFERROR(SUM(_xlfn._xlws.FILTER(Table_ThuChiTC[Giá trị GD],
(Table_ThuChiTC[Loại GD]="THU")*
(Table_ThuChiTC[Nội dung GD]=Sheet_ThuChiTC!$F$11)*
(Table_ThuChiTC[Ngày GD]&gt;=I2)*
(Table_ThuChiTC[Ngày GD]&lt;J2)
)),0)
-IFERROR(SUM(_xlfn._xlws.FILTER(Table_ThuChiTC[Giá trị GD],
(Table_ThuChiTC[Loại GD]="CHI")*
(Table_ThuChiTC[Nội dung GD]=Sheet_ThuChiTC!$F$11)*
(Table_ThuChiTC[Ngày GD]&gt;=I2)*
(Table_ThuChiTC[Ngày GD]&lt;J2)
)),0)</f>
        <v>0</v>
      </c>
      <c r="J44" s="337" cm="1">
        <f t="array" ref="J44" xml:space="preserve">
-IFERROR(SUM(_xlfn._xlws.FILTER(Table_ThuChiTC[Giá trị GD],
(Table_ThuChiTC[Loại GD]="CHI")*
(Table_ThuChiTC[Nội dung GD]=Sheet_ThuChiTC!$F$9)*
(Table_ThuChiTC[Ngày GD]&gt;=J2)*
(Table_ThuChiTC[Ngày GD]&lt;K2)
)),0)
+IFERROR(SUM(_xlfn._xlws.FILTER(Table_ThuChiTC[Giá trị GD],
(Table_ThuChiTC[Loại GD]="THU")*
(Table_ThuChiTC[Nội dung GD]=Sheet_ThuChiTC!$F$11)*
(Table_ThuChiTC[Ngày GD]&gt;=J2)*
(Table_ThuChiTC[Ngày GD]&lt;K2)
)),0)
-IFERROR(SUM(_xlfn._xlws.FILTER(Table_ThuChiTC[Giá trị GD],
(Table_ThuChiTC[Loại GD]="CHI")*
(Table_ThuChiTC[Nội dung GD]=Sheet_ThuChiTC!$F$11)*
(Table_ThuChiTC[Ngày GD]&gt;=J2)*
(Table_ThuChiTC[Ngày GD]&lt;K2)
)),0)</f>
        <v>0</v>
      </c>
      <c r="K44" s="337" cm="1">
        <f t="array" ref="K44" xml:space="preserve">
-IFERROR(SUM(_xlfn._xlws.FILTER(Table_ThuChiTC[Giá trị GD],
(Table_ThuChiTC[Loại GD]="CHI")*
(Table_ThuChiTC[Nội dung GD]=Sheet_ThuChiTC!$F$9)*
(Table_ThuChiTC[Ngày GD]&gt;=K2)*
(Table_ThuChiTC[Ngày GD]&lt;L2)
)),0)
+IFERROR(SUM(_xlfn._xlws.FILTER(Table_ThuChiTC[Giá trị GD],
(Table_ThuChiTC[Loại GD]="THU")*
(Table_ThuChiTC[Nội dung GD]=Sheet_ThuChiTC!$F$11)*
(Table_ThuChiTC[Ngày GD]&gt;=K2)*
(Table_ThuChiTC[Ngày GD]&lt;L2)
)),0)
-IFERROR(SUM(_xlfn._xlws.FILTER(Table_ThuChiTC[Giá trị GD],
(Table_ThuChiTC[Loại GD]="CHI")*
(Table_ThuChiTC[Nội dung GD]=Sheet_ThuChiTC!$F$11)*
(Table_ThuChiTC[Ngày GD]&gt;=K2)*
(Table_ThuChiTC[Ngày GD]&lt;L2)
)),0)</f>
        <v>0</v>
      </c>
      <c r="L44" s="337" cm="1">
        <f t="array" ref="L44" xml:space="preserve">
-IFERROR(SUM(_xlfn._xlws.FILTER(Table_ThuChiTC[Giá trị GD],
(Table_ThuChiTC[Loại GD]="CHI")*
(Table_ThuChiTC[Nội dung GD]=Sheet_ThuChiTC!$F$9)*
(Table_ThuChiTC[Ngày GD]&gt;=L2)*
(Table_ThuChiTC[Ngày GD]&lt;M2)
)),0)
+IFERROR(SUM(_xlfn._xlws.FILTER(Table_ThuChiTC[Giá trị GD],
(Table_ThuChiTC[Loại GD]="THU")*
(Table_ThuChiTC[Nội dung GD]=Sheet_ThuChiTC!$F$11)*
(Table_ThuChiTC[Ngày GD]&gt;=L2)*
(Table_ThuChiTC[Ngày GD]&lt;M2)
)),0)
-IFERROR(SUM(_xlfn._xlws.FILTER(Table_ThuChiTC[Giá trị GD],
(Table_ThuChiTC[Loại GD]="CHI")*
(Table_ThuChiTC[Nội dung GD]=Sheet_ThuChiTC!$F$11)*
(Table_ThuChiTC[Ngày GD]&gt;=L2)*
(Table_ThuChiTC[Ngày GD]&lt;M2)
)),0)</f>
        <v>0</v>
      </c>
      <c r="M44" s="337" cm="1">
        <f t="array" ref="M44" xml:space="preserve">
-IFERROR(SUM(_xlfn._xlws.FILTER(Table_ThuChiTC[Giá trị GD],
(Table_ThuChiTC[Loại GD]="CHI")*
(Table_ThuChiTC[Nội dung GD]=Sheet_ThuChiTC!$F$9)*
(Table_ThuChiTC[Ngày GD]&gt;=M2)*
(Table_ThuChiTC[Ngày GD]&lt;N2)
)),0)
+IFERROR(SUM(_xlfn._xlws.FILTER(Table_ThuChiTC[Giá trị GD],
(Table_ThuChiTC[Loại GD]="THU")*
(Table_ThuChiTC[Nội dung GD]=Sheet_ThuChiTC!$F$11)*
(Table_ThuChiTC[Ngày GD]&gt;=M2)*
(Table_ThuChiTC[Ngày GD]&lt;N2)
)),0)
-IFERROR(SUM(_xlfn._xlws.FILTER(Table_ThuChiTC[Giá trị GD],
(Table_ThuChiTC[Loại GD]="CHI")*
(Table_ThuChiTC[Nội dung GD]=Sheet_ThuChiTC!$F$11)*
(Table_ThuChiTC[Ngày GD]&gt;=M2)*
(Table_ThuChiTC[Ngày GD]&lt;N2)
)),0)</f>
        <v>0</v>
      </c>
      <c r="N44" s="337" cm="1">
        <f t="array" ref="N44" xml:space="preserve">
-IFERROR(SUM(_xlfn._xlws.FILTER(Table_ThuChiTC[Giá trị GD],
(Table_ThuChiTC[Loại GD]="CHI")*
(Table_ThuChiTC[Nội dung GD]=Sheet_ThuChiTC!$F$9)*
(Table_ThuChiTC[Ngày GD]&gt;=N2)*
(Table_ThuChiTC[Ngày GD]&lt;O2)
)),0)
+IFERROR(SUM(_xlfn._xlws.FILTER(Table_ThuChiTC[Giá trị GD],
(Table_ThuChiTC[Loại GD]="THU")*
(Table_ThuChiTC[Nội dung GD]=Sheet_ThuChiTC!$F$11)*
(Table_ThuChiTC[Ngày GD]&gt;=N2)*
(Table_ThuChiTC[Ngày GD]&lt;O2)
)),0)
-IFERROR(SUM(_xlfn._xlws.FILTER(Table_ThuChiTC[Giá trị GD],
(Table_ThuChiTC[Loại GD]="CHI")*
(Table_ThuChiTC[Nội dung GD]=Sheet_ThuChiTC!$F$11)*
(Table_ThuChiTC[Ngày GD]&gt;=N2)*
(Table_ThuChiTC[Ngày GD]&lt;O2)
)),0)</f>
        <v>0</v>
      </c>
      <c r="O44" s="337" cm="1">
        <f t="array" ref="O44" xml:space="preserve">
-IFERROR(SUM(_xlfn._xlws.FILTER(Table_ThuChiTC[Giá trị GD],
(Table_ThuChiTC[Loại GD]="CHI")*
(Table_ThuChiTC[Nội dung GD]=Sheet_ThuChiTC!$F$9)*
(Table_ThuChiTC[Ngày GD]&gt;=O2)*
(Table_ThuChiTC[Ngày GD]&lt;P2)
)),0)
+IFERROR(SUM(_xlfn._xlws.FILTER(Table_ThuChiTC[Giá trị GD],
(Table_ThuChiTC[Loại GD]="THU")*
(Table_ThuChiTC[Nội dung GD]=Sheet_ThuChiTC!$F$11)*
(Table_ThuChiTC[Ngày GD]&gt;=O2)*
(Table_ThuChiTC[Ngày GD]&lt;P2)
)),0)
-IFERROR(SUM(_xlfn._xlws.FILTER(Table_ThuChiTC[Giá trị GD],
(Table_ThuChiTC[Loại GD]="CHI")*
(Table_ThuChiTC[Nội dung GD]=Sheet_ThuChiTC!$F$11)*
(Table_ThuChiTC[Ngày GD]&gt;=O2)*
(Table_ThuChiTC[Ngày GD]&lt;P2)
)),0)</f>
        <v>0</v>
      </c>
      <c r="P44" s="326"/>
      <c r="Q44" s="242"/>
      <c r="R44" s="73" t="s">
        <v>311</v>
      </c>
      <c r="S44" s="331" cm="1">
        <f t="array" ref="S44" xml:space="preserve">
-IFERROR(SUM(_xlfn._xlws.FILTER(Table_ThuChiTC[Giá trị GD],
(Table_ThuChiTC[Loại GD]="CHI")*
(Table_ThuChiTC[Nội dung GD]="Thu chi từ biến động gốc vay, thuê tài chính")*
(Table_ThuChiTC[Ngày GD]&gt;=DATE(S$1,1,1))*
(Table_ThuChiTC[Ngày GD]&lt;DATE(S$1+1,1,1))
)),0)
+IFERROR(SUM(_xlfn._xlws.FILTER(Table_ThuChiTC[Giá trị GD],
(Table_ThuChiTC[Loại GD]="THU")*
(Table_ThuChiTC[Nội dung GD]="Tiền trả lãi vay")*
(Table_ThuChiTC[Ngày GD]&gt;=DATE(S$1,1,1))*
(Table_ThuChiTC[Ngày GD]&lt;DATE(S$1+1,1,1))
)),0)
-IFERROR(SUM(_xlfn._xlws.FILTER(Table_ThuChiTC[Giá trị GD],
(Table_ThuChiTC[Loại GD]="CHI")*
(Table_ThuChiTC[Nội dung GD]="Tiền trả lãi vay")*
(Table_ThuChiTC[Ngày GD]&gt;=DATE(S$1,1,1))*
(Table_ThuChiTC[Ngày GD]&lt;DATE(S$1+1,1,1))
)),0)</f>
        <v>0</v>
      </c>
      <c r="T44" s="242"/>
      <c r="U44" s="73" t="s">
        <v>311</v>
      </c>
      <c r="V44" s="337" cm="1">
        <f t="array" ref="V44" xml:space="preserve">
-IFERROR(SUM(_xlfn._xlws.FILTER(Table_ThuChiTC[Giá trị GD],
(Table_ThuChiTC[Loại GD]="CHI")*
(Table_ThuChiTC[Nội dung GD]="Thu chi từ biến động gốc vay, thuê tài chính")*
(Table_ThuChiTC[Ngày GD]&gt;=V$1)*
(Table_ThuChiTC[Ngày GD]&lt;DATE(YEAR(V$1),MONTH(V$1)+1,1))
)),0)
+IFERROR(SUM(_xlfn._xlws.FILTER(Table_ThuChiTC[Giá trị GD],
(Table_ThuChiTC[Loại GD]="THU")*
(Table_ThuChiTC[Nội dung GD]="Tiền trả lãi vay")*
(Table_ThuChiTC[Ngày GD]&gt;=V$1)*
(Table_ThuChiTC[Ngày GD]&lt;DATE(YEAR(V$1),MONTH(V$1)+1,1))
)),0)
-IFERROR(SUM(_xlfn._xlws.FILTER(Table_ThuChiTC[Giá trị GD],
(Table_ThuChiTC[Loại GD]="CHI")*
(Table_ThuChiTC[Nội dung GD]="Tiền trả lãi vay")*
(Table_ThuChiTC[Ngày GD]&gt;=V$1)*
(Table_ThuChiTC[Ngày GD]&lt;DATE(YEAR(V$1),MONTH(V$1)+1,1))
)),0)</f>
        <v>0</v>
      </c>
    </row>
    <row r="45" spans="2:22" ht="18" customHeight="1" outlineLevel="2" x14ac:dyDescent="0.3">
      <c r="B45" s="73" t="s">
        <v>312</v>
      </c>
      <c r="C45" s="331" cm="1">
        <f t="array" ref="C45" xml:space="preserve">
IFERROR(SUM(_xlfn._xlws.FILTER(Table_ThuChiTC[Giá trị GD],
(Table_ThuChiTC[Loại GD]="THU")*
(Table_ThuChiTC[Nội dung GD]="Thu chi mua bán TSCĐ và tài sản dài hạn khác")*
(YEAR(Table_ThuChiTC[Ngày GD])=C2)
)),0)
-IFERROR(SUM(_xlfn._xlws.FILTER(Table_ThuChiTC[Giá trị GD],
(Table_ThuChiTC[Loại GD]="CHI")*
(Table_ThuChiTC[Nội dung GD]="Thu chi mua bán TSCĐ và tài sản dài hạn khác")*
(YEAR(Table_ThuChiTC[Ngày GD])=C2)
)),0)</f>
        <v>0</v>
      </c>
      <c r="D45" s="337" cm="1">
        <f t="array" ref="D45" xml:space="preserve">
IFERROR(SUM(_xlfn._xlws.FILTER(Table_ThuChiTC[Giá trị GD],
(Table_ThuChiTC[Loại GD]="THU")*
(Table_ThuChiTC[Nội dung GD]="Thu chi mua bán TSCĐ và tài sản dài hạn khác")*
(Table_ThuChiTC[Ngày GD]&gt;=D2)*
(Table_ThuChiTC[Ngày GD]&lt;E2)
)),0)
-IFERROR(SUM(_xlfn._xlws.FILTER(Table_ThuChiTC[Giá trị GD],
(Table_ThuChiTC[Loại GD]="CHI")*
(Table_ThuChiTC[Nội dung GD]="Thu chi mua bán TSCĐ và tài sản dài hạn khác")*
(Table_ThuChiTC[Ngày GD]&gt;=D2)*
(Table_ThuChiTC[Ngày GD]&lt;E2)
)),0)</f>
        <v>0</v>
      </c>
      <c r="E45" s="337" cm="1">
        <f t="array" ref="E45" xml:space="preserve">
IFERROR(SUM(_xlfn._xlws.FILTER(Table_ThuChiTC[Giá trị GD],
(Table_ThuChiTC[Loại GD]="THU")*
(Table_ThuChiTC[Nội dung GD]="Thu chi mua bán TSCĐ và tài sản dài hạn khác")*
(Table_ThuChiTC[Ngày GD]&gt;=E2)*
(Table_ThuChiTC[Ngày GD]&lt;F2)
)),0)
-IFERROR(SUM(_xlfn._xlws.FILTER(Table_ThuChiTC[Giá trị GD],
(Table_ThuChiTC[Loại GD]="CHI")*
(Table_ThuChiTC[Nội dung GD]="Thu chi mua bán TSCĐ và tài sản dài hạn khác")*
(Table_ThuChiTC[Ngày GD]&gt;=E2)*
(Table_ThuChiTC[Ngày GD]&lt;F2)
)),0)</f>
        <v>0</v>
      </c>
      <c r="F45" s="337" cm="1">
        <f t="array" ref="F45" xml:space="preserve">
IFERROR(SUM(_xlfn._xlws.FILTER(Table_ThuChiTC[Giá trị GD],
(Table_ThuChiTC[Loại GD]="THU")*
(Table_ThuChiTC[Nội dung GD]="Thu chi mua bán TSCĐ và tài sản dài hạn khác")*
(Table_ThuChiTC[Ngày GD]&gt;=F2)*
(Table_ThuChiTC[Ngày GD]&lt;G2)
)),0)
-IFERROR(SUM(_xlfn._xlws.FILTER(Table_ThuChiTC[Giá trị GD],
(Table_ThuChiTC[Loại GD]="CHI")*
(Table_ThuChiTC[Nội dung GD]="Thu chi mua bán TSCĐ và tài sản dài hạn khác")*
(Table_ThuChiTC[Ngày GD]&gt;=F2)*
(Table_ThuChiTC[Ngày GD]&lt;G2)
)),0)</f>
        <v>0</v>
      </c>
      <c r="G45" s="337" cm="1">
        <f t="array" ref="G45" xml:space="preserve">
IFERROR(SUM(_xlfn._xlws.FILTER(Table_ThuChiTC[Giá trị GD],
(Table_ThuChiTC[Loại GD]="THU")*
(Table_ThuChiTC[Nội dung GD]="Thu chi mua bán TSCĐ và tài sản dài hạn khác")*
(Table_ThuChiTC[Ngày GD]&gt;=G2)*
(Table_ThuChiTC[Ngày GD]&lt;H2)
)),0)
-IFERROR(SUM(_xlfn._xlws.FILTER(Table_ThuChiTC[Giá trị GD],
(Table_ThuChiTC[Loại GD]="CHI")*
(Table_ThuChiTC[Nội dung GD]="Thu chi mua bán TSCĐ và tài sản dài hạn khác")*
(Table_ThuChiTC[Ngày GD]&gt;=G2)*
(Table_ThuChiTC[Ngày GD]&lt;H2)
)),0)</f>
        <v>0</v>
      </c>
      <c r="H45" s="337" cm="1">
        <f t="array" ref="H45" xml:space="preserve">
IFERROR(SUM(_xlfn._xlws.FILTER(Table_ThuChiTC[Giá trị GD],
(Table_ThuChiTC[Loại GD]="THU")*
(Table_ThuChiTC[Nội dung GD]="Thu chi mua bán TSCĐ và tài sản dài hạn khác")*
(Table_ThuChiTC[Ngày GD]&gt;=H2)*
(Table_ThuChiTC[Ngày GD]&lt;I2)
)),0)
-IFERROR(SUM(_xlfn._xlws.FILTER(Table_ThuChiTC[Giá trị GD],
(Table_ThuChiTC[Loại GD]="CHI")*
(Table_ThuChiTC[Nội dung GD]="Thu chi mua bán TSCĐ và tài sản dài hạn khác")*
(Table_ThuChiTC[Ngày GD]&gt;=H2)*
(Table_ThuChiTC[Ngày GD]&lt;I2)
)),0)</f>
        <v>0</v>
      </c>
      <c r="I45" s="337" cm="1">
        <f t="array" ref="I45" xml:space="preserve">
IFERROR(SUM(_xlfn._xlws.FILTER(Table_ThuChiTC[Giá trị GD],
(Table_ThuChiTC[Loại GD]="THU")*
(Table_ThuChiTC[Nội dung GD]="Thu chi mua bán TSCĐ và tài sản dài hạn khác")*
(Table_ThuChiTC[Ngày GD]&gt;=I2)*
(Table_ThuChiTC[Ngày GD]&lt;J2)
)),0)
-IFERROR(SUM(_xlfn._xlws.FILTER(Table_ThuChiTC[Giá trị GD],
(Table_ThuChiTC[Loại GD]="CHI")*
(Table_ThuChiTC[Nội dung GD]="Thu chi mua bán TSCĐ và tài sản dài hạn khác")*
(Table_ThuChiTC[Ngày GD]&gt;=I2)*
(Table_ThuChiTC[Ngày GD]&lt;J2)
)),0)</f>
        <v>0</v>
      </c>
      <c r="J45" s="337" cm="1">
        <f t="array" ref="J45" xml:space="preserve">
IFERROR(SUM(_xlfn._xlws.FILTER(Table_ThuChiTC[Giá trị GD],
(Table_ThuChiTC[Loại GD]="THU")*
(Table_ThuChiTC[Nội dung GD]="Thu chi mua bán TSCĐ và tài sản dài hạn khác")*
(Table_ThuChiTC[Ngày GD]&gt;=J2)*
(Table_ThuChiTC[Ngày GD]&lt;K2)
)),0)
-IFERROR(SUM(_xlfn._xlws.FILTER(Table_ThuChiTC[Giá trị GD],
(Table_ThuChiTC[Loại GD]="CHI")*
(Table_ThuChiTC[Nội dung GD]="Thu chi mua bán TSCĐ và tài sản dài hạn khác")*
(Table_ThuChiTC[Ngày GD]&gt;=J2)*
(Table_ThuChiTC[Ngày GD]&lt;K2)
)),0)</f>
        <v>0</v>
      </c>
      <c r="K45" s="337" cm="1">
        <f t="array" ref="K45" xml:space="preserve">
IFERROR(SUM(_xlfn._xlws.FILTER(Table_ThuChiTC[Giá trị GD],
(Table_ThuChiTC[Loại GD]="THU")*
(Table_ThuChiTC[Nội dung GD]="Thu chi mua bán TSCĐ và tài sản dài hạn khác")*
(Table_ThuChiTC[Ngày GD]&gt;=K2)*
(Table_ThuChiTC[Ngày GD]&lt;L2)
)),0)
-IFERROR(SUM(_xlfn._xlws.FILTER(Table_ThuChiTC[Giá trị GD],
(Table_ThuChiTC[Loại GD]="CHI")*
(Table_ThuChiTC[Nội dung GD]="Thu chi mua bán TSCĐ và tài sản dài hạn khác")*
(Table_ThuChiTC[Ngày GD]&gt;=K2)*
(Table_ThuChiTC[Ngày GD]&lt;L2)
)),0)</f>
        <v>0</v>
      </c>
      <c r="L45" s="337" cm="1">
        <f t="array" ref="L45" xml:space="preserve">
IFERROR(SUM(_xlfn._xlws.FILTER(Table_ThuChiTC[Giá trị GD],
(Table_ThuChiTC[Loại GD]="THU")*
(Table_ThuChiTC[Nội dung GD]="Thu chi mua bán TSCĐ và tài sản dài hạn khác")*
(Table_ThuChiTC[Ngày GD]&gt;=L2)*
(Table_ThuChiTC[Ngày GD]&lt;M2)
)),0)
-IFERROR(SUM(_xlfn._xlws.FILTER(Table_ThuChiTC[Giá trị GD],
(Table_ThuChiTC[Loại GD]="CHI")*
(Table_ThuChiTC[Nội dung GD]="Thu chi mua bán TSCĐ và tài sản dài hạn khác")*
(Table_ThuChiTC[Ngày GD]&gt;=L2)*
(Table_ThuChiTC[Ngày GD]&lt;M2)
)),0)</f>
        <v>0</v>
      </c>
      <c r="M45" s="337" cm="1">
        <f t="array" ref="M45" xml:space="preserve">
IFERROR(SUM(_xlfn._xlws.FILTER(Table_ThuChiTC[Giá trị GD],
(Table_ThuChiTC[Loại GD]="THU")*
(Table_ThuChiTC[Nội dung GD]="Thu chi mua bán TSCĐ và tài sản dài hạn khác")*
(Table_ThuChiTC[Ngày GD]&gt;=M2)*
(Table_ThuChiTC[Ngày GD]&lt;N2)
)),0)
-IFERROR(SUM(_xlfn._xlws.FILTER(Table_ThuChiTC[Giá trị GD],
(Table_ThuChiTC[Loại GD]="CHI")*
(Table_ThuChiTC[Nội dung GD]="Thu chi mua bán TSCĐ và tài sản dài hạn khác")*
(Table_ThuChiTC[Ngày GD]&gt;=M2)*
(Table_ThuChiTC[Ngày GD]&lt;N2)
)),0)</f>
        <v>0</v>
      </c>
      <c r="N45" s="337" cm="1">
        <f t="array" ref="N45" xml:space="preserve">
IFERROR(SUM(_xlfn._xlws.FILTER(Table_ThuChiTC[Giá trị GD],
(Table_ThuChiTC[Loại GD]="THU")*
(Table_ThuChiTC[Nội dung GD]="Thu chi mua bán TSCĐ và tài sản dài hạn khác")*
(Table_ThuChiTC[Ngày GD]&gt;=N2)*
(Table_ThuChiTC[Ngày GD]&lt;O2)
)),0)
-IFERROR(SUM(_xlfn._xlws.FILTER(Table_ThuChiTC[Giá trị GD],
(Table_ThuChiTC[Loại GD]="CHI")*
(Table_ThuChiTC[Nội dung GD]="Thu chi mua bán TSCĐ và tài sản dài hạn khác")*
(Table_ThuChiTC[Ngày GD]&gt;=N2)*
(Table_ThuChiTC[Ngày GD]&lt;O2)
)),0)</f>
        <v>0</v>
      </c>
      <c r="O45" s="337" cm="1">
        <f t="array" ref="O45" xml:space="preserve">
IFERROR(SUM(_xlfn._xlws.FILTER(Table_ThuChiTC[Giá trị GD],
(Table_ThuChiTC[Loại GD]="THU")*
(Table_ThuChiTC[Nội dung GD]="Thu chi mua bán TSCĐ và tài sản dài hạn khác")*
(Table_ThuChiTC[Ngày GD]&gt;=O2)*
(Table_ThuChiTC[Ngày GD]&lt;P2)
)),0)
-IFERROR(SUM(_xlfn._xlws.FILTER(Table_ThuChiTC[Giá trị GD],
(Table_ThuChiTC[Loại GD]="CHI")*
(Table_ThuChiTC[Nội dung GD]="Thu chi mua bán TSCĐ và tài sản dài hạn khác")*
(Table_ThuChiTC[Ngày GD]&gt;=O2)*
(Table_ThuChiTC[Ngày GD]&lt;P2)
)),0)</f>
        <v>0</v>
      </c>
      <c r="P45" s="326"/>
      <c r="Q45" s="242"/>
      <c r="R45" s="73" t="s">
        <v>312</v>
      </c>
      <c r="S45" s="331" cm="1">
        <f t="array" ref="S45" xml:space="preserve">
IFERROR(SUM(_xlfn._xlws.FILTER(Table_ThuChiTC[Giá trị GD],
(Table_ThuChiTC[Loại GD]="THU")*
(Table_ThuChiTC[Nội dung GD]="Thu chi mua bán TSCĐ và tài sản dài hạn khác")*
(YEAR(Table_ThuChiTC[Ngày GD])=S1)
)),0)
-IFERROR(SUM(_xlfn._xlws.FILTER(Table_ThuChiTC[Giá trị GD],
(Table_ThuChiTC[Loại GD]="CHI")*
(Table_ThuChiTC[Nội dung GD]="Thu chi mua bán TSCĐ và tài sản dài hạn khác")*
(YEAR(Table_ThuChiTC[Ngày GD])=S1)
)),0)</f>
        <v>0</v>
      </c>
      <c r="T45" s="242"/>
      <c r="U45" s="73" t="s">
        <v>312</v>
      </c>
      <c r="V45" s="337" cm="1">
        <f t="array" ref="V45" xml:space="preserve">
IFERROR(SUM(_xlfn._xlws.FILTER(Table_ThuChiTC[Giá trị GD],
(Table_ThuChiTC[Loại GD]="THU")*
(Table_ThuChiTC[Nội dung GD]="Thu chi mua bán TSCĐ và tài sản dài hạn khác")*
(Table_ThuChiTC[Ngày GD]&gt;=V$1)*
(Table_ThuChiTC[Ngày GD]&lt;DATE(YEAR(V$1),MONTH(V$1)+1,1))
)),0)
-IFERROR(SUM(_xlfn._xlws.FILTER(Table_ThuChiTC[Giá trị GD],
(Table_ThuChiTC[Loại GD]="CHI")*
(Table_ThuChiTC[Nội dung GD]="Thu chi mua bán TSCĐ và tài sản dài hạn khác")*
(Table_ThuChiTC[Ngày GD]&gt;=V$1)*
(Table_ThuChiTC[Ngày GD]&lt;DATE(YEAR(V$1),MONTH(V$1)+1,1))
)),0)</f>
        <v>0</v>
      </c>
    </row>
    <row r="46" spans="2:22" ht="18" customHeight="1" outlineLevel="2" x14ac:dyDescent="0.3">
      <c r="B46" s="73" t="s">
        <v>313</v>
      </c>
      <c r="C46" s="331" cm="1">
        <f t="array" ref="C46" xml:space="preserve">
IFERROR(SUM(_xlfn._xlws.FILTER(Table_ThuChiTC[Giá trị GD],
(Table_ThuChiTC[Loại GD]="THU")*
(Table_ThuChiTC[Nội dung GD]="Thu chi cho vay, mua bán các công cụ nợ")*
(YEAR(Table_ThuChiTC[Ngày GD])=C2)
)),0)
-IFERROR(SUM(_xlfn._xlws.FILTER(Table_ThuChiTC[Giá trị GD],
(Table_ThuChiTC[Loại GD]="CHI")*
(Table_ThuChiTC[Nội dung GD]="Thu chi cho vay, mua bán các công cụ nợ")*
(YEAR(Table_ThuChiTC[Ngày GD])=C2)
)),0)
+IFERROR(SUM(_xlfn._xlws.FILTER(Table_ThuChiTC[Giá trị GD],
(Table_ThuChiTC[Loại GD]="THU")*
(Table_ThuChiTC[Nội dung GD]="Thu chi đầu tư góp vốn")*
(YEAR(Table_ThuChiTC[Ngày GD])=C2)
)),0)
-IFERROR(SUM(_xlfn._xlws.FILTER(Table_ThuChiTC[Giá trị GD],
(Table_ThuChiTC[Loại GD]="CHI")*
(Table_ThuChiTC[Nội dung GD]="Thu chi đầu tư góp vốn")*
(YEAR(Table_ThuChiTC[Ngày GD])=C2)
)),0)</f>
        <v>0</v>
      </c>
      <c r="D46" s="337" cm="1">
        <f t="array" ref="D46" xml:space="preserve">
+IFERROR(SUM(_xlfn._xlws.FILTER(Table_ThuChiTC[Giá trị GD],
(Table_ThuChiTC[Loại GD]="THU")*
(Table_ThuChiTC[Nội dung GD]="Thu chi cho vay, mua bán các công cụ nợ")*
(Table_ThuChiTC[Ngày GD]&gt;=D2)*
(Table_ThuChiTC[Ngày GD]&lt;E2)
)),0)
-IFERROR(SUM(_xlfn._xlws.FILTER(Table_ThuChiTC[Giá trị GD],
(Table_ThuChiTC[Loại GD]="CHI")*
(Table_ThuChiTC[Nội dung GD]="Thu chi cho vay, mua bán các công cụ nợ")*
(Table_ThuChiTC[Ngày GD]&gt;=D2)*
(Table_ThuChiTC[Ngày GD]&lt;E2)
)),0)
+IFERROR(SUM(_xlfn._xlws.FILTER(Table_ThuChiTC[Giá trị GD],
(Table_ThuChiTC[Loại GD]="THU")*
(Table_ThuChiTC[Nội dung GD]="Thu chi đầu tư góp vốn")*
(Table_ThuChiTC[Ngày GD]&gt;=D2)*
(Table_ThuChiTC[Ngày GD]&lt;E2)
)),0)
-IFERROR(SUM(_xlfn._xlws.FILTER(Table_ThuChiTC[Giá trị GD],
(Table_ThuChiTC[Loại GD]="CHI")*
(Table_ThuChiTC[Nội dung GD]="Thu chi đầu tư góp vốn")*
(Table_ThuChiTC[Ngày GD]&gt;=D2)*
(Table_ThuChiTC[Ngày GD]&lt;E2)
)),0)</f>
        <v>0</v>
      </c>
      <c r="E46" s="337" cm="1">
        <f t="array" ref="E46" xml:space="preserve">
+IFERROR(SUM(_xlfn._xlws.FILTER(Table_ThuChiTC[Giá trị GD],
(Table_ThuChiTC[Loại GD]="THU")*
(Table_ThuChiTC[Nội dung GD]="Thu chi cho vay, mua bán các công cụ nợ")*
(Table_ThuChiTC[Ngày GD]&gt;=E2)*
(Table_ThuChiTC[Ngày GD]&lt;F2)
)),0)
-IFERROR(SUM(_xlfn._xlws.FILTER(Table_ThuChiTC[Giá trị GD],
(Table_ThuChiTC[Loại GD]="CHI")*
(Table_ThuChiTC[Nội dung GD]="Thu chi cho vay, mua bán các công cụ nợ")*
(Table_ThuChiTC[Ngày GD]&gt;=E2)*
(Table_ThuChiTC[Ngày GD]&lt;F2)
)),0)
+IFERROR(SUM(_xlfn._xlws.FILTER(Table_ThuChiTC[Giá trị GD],
(Table_ThuChiTC[Loại GD]="THU")*
(Table_ThuChiTC[Nội dung GD]="Thu chi đầu tư góp vốn")*
(Table_ThuChiTC[Ngày GD]&gt;=E2)*
(Table_ThuChiTC[Ngày GD]&lt;F2)
)),0)
-IFERROR(SUM(_xlfn._xlws.FILTER(Table_ThuChiTC[Giá trị GD],
(Table_ThuChiTC[Loại GD]="CHI")*
(Table_ThuChiTC[Nội dung GD]="Thu chi đầu tư góp vốn")*
(Table_ThuChiTC[Ngày GD]&gt;=E2)*
(Table_ThuChiTC[Ngày GD]&lt;F2)
)),0)</f>
        <v>0</v>
      </c>
      <c r="F46" s="337" cm="1">
        <f t="array" ref="F46" xml:space="preserve">
+IFERROR(SUM(_xlfn._xlws.FILTER(Table_ThuChiTC[Giá trị GD],
(Table_ThuChiTC[Loại GD]="THU")*
(Table_ThuChiTC[Nội dung GD]="Thu chi cho vay, mua bán các công cụ nợ")*
(Table_ThuChiTC[Ngày GD]&gt;=F2)*
(Table_ThuChiTC[Ngày GD]&lt;G2)
)),0)
-IFERROR(SUM(_xlfn._xlws.FILTER(Table_ThuChiTC[Giá trị GD],
(Table_ThuChiTC[Loại GD]="CHI")*
(Table_ThuChiTC[Nội dung GD]="Thu chi cho vay, mua bán các công cụ nợ")*
(Table_ThuChiTC[Ngày GD]&gt;=F2)*
(Table_ThuChiTC[Ngày GD]&lt;G2)
)),0)
+IFERROR(SUM(_xlfn._xlws.FILTER(Table_ThuChiTC[Giá trị GD],
(Table_ThuChiTC[Loại GD]="THU")*
(Table_ThuChiTC[Nội dung GD]="Thu chi đầu tư góp vốn")*
(Table_ThuChiTC[Ngày GD]&gt;=F2)*
(Table_ThuChiTC[Ngày GD]&lt;G2)
)),0)
-IFERROR(SUM(_xlfn._xlws.FILTER(Table_ThuChiTC[Giá trị GD],
(Table_ThuChiTC[Loại GD]="CHI")*
(Table_ThuChiTC[Nội dung GD]="Thu chi đầu tư góp vốn")*
(Table_ThuChiTC[Ngày GD]&gt;=F2)*
(Table_ThuChiTC[Ngày GD]&lt;G2)
)),0)</f>
        <v>0</v>
      </c>
      <c r="G46" s="337" cm="1">
        <f t="array" ref="G46" xml:space="preserve">
+IFERROR(SUM(_xlfn._xlws.FILTER(Table_ThuChiTC[Giá trị GD],
(Table_ThuChiTC[Loại GD]="THU")*
(Table_ThuChiTC[Nội dung GD]="Thu chi cho vay, mua bán các công cụ nợ")*
(Table_ThuChiTC[Ngày GD]&gt;=G2)*
(Table_ThuChiTC[Ngày GD]&lt;H2)
)),0)
-IFERROR(SUM(_xlfn._xlws.FILTER(Table_ThuChiTC[Giá trị GD],
(Table_ThuChiTC[Loại GD]="CHI")*
(Table_ThuChiTC[Nội dung GD]="Thu chi cho vay, mua bán các công cụ nợ")*
(Table_ThuChiTC[Ngày GD]&gt;=G2)*
(Table_ThuChiTC[Ngày GD]&lt;H2)
)),0)
+IFERROR(SUM(_xlfn._xlws.FILTER(Table_ThuChiTC[Giá trị GD],
(Table_ThuChiTC[Loại GD]="THU")*
(Table_ThuChiTC[Nội dung GD]="Thu chi đầu tư góp vốn")*
(Table_ThuChiTC[Ngày GD]&gt;=G2)*
(Table_ThuChiTC[Ngày GD]&lt;H2)
)),0)
-IFERROR(SUM(_xlfn._xlws.FILTER(Table_ThuChiTC[Giá trị GD],
(Table_ThuChiTC[Loại GD]="CHI")*
(Table_ThuChiTC[Nội dung GD]="Thu chi đầu tư góp vốn")*
(Table_ThuChiTC[Ngày GD]&gt;=G2)*
(Table_ThuChiTC[Ngày GD]&lt;H2)
)),0)</f>
        <v>0</v>
      </c>
      <c r="H46" s="337" cm="1">
        <f t="array" ref="H46" xml:space="preserve">
+IFERROR(SUM(_xlfn._xlws.FILTER(Table_ThuChiTC[Giá trị GD],
(Table_ThuChiTC[Loại GD]="THU")*
(Table_ThuChiTC[Nội dung GD]="Thu chi cho vay, mua bán các công cụ nợ")*
(Table_ThuChiTC[Ngày GD]&gt;=H2)*
(Table_ThuChiTC[Ngày GD]&lt;I2)
)),0)
-IFERROR(SUM(_xlfn._xlws.FILTER(Table_ThuChiTC[Giá trị GD],
(Table_ThuChiTC[Loại GD]="CHI")*
(Table_ThuChiTC[Nội dung GD]="Thu chi cho vay, mua bán các công cụ nợ")*
(Table_ThuChiTC[Ngày GD]&gt;=H2)*
(Table_ThuChiTC[Ngày GD]&lt;I2)
)),0)
+IFERROR(SUM(_xlfn._xlws.FILTER(Table_ThuChiTC[Giá trị GD],
(Table_ThuChiTC[Loại GD]="THU")*
(Table_ThuChiTC[Nội dung GD]="Thu chi đầu tư góp vốn")*
(Table_ThuChiTC[Ngày GD]&gt;=H2)*
(Table_ThuChiTC[Ngày GD]&lt;I2)
)),0)
-IFERROR(SUM(_xlfn._xlws.FILTER(Table_ThuChiTC[Giá trị GD],
(Table_ThuChiTC[Loại GD]="CHI")*
(Table_ThuChiTC[Nội dung GD]="Thu chi đầu tư góp vốn")*
(Table_ThuChiTC[Ngày GD]&gt;=H2)*
(Table_ThuChiTC[Ngày GD]&lt;I2)
)),0)</f>
        <v>0</v>
      </c>
      <c r="I46" s="337" cm="1">
        <f t="array" ref="I46" xml:space="preserve">
+IFERROR(SUM(_xlfn._xlws.FILTER(Table_ThuChiTC[Giá trị GD],
(Table_ThuChiTC[Loại GD]="THU")*
(Table_ThuChiTC[Nội dung GD]="Thu chi cho vay, mua bán các công cụ nợ")*
(Table_ThuChiTC[Ngày GD]&gt;=I2)*
(Table_ThuChiTC[Ngày GD]&lt;J2)
)),0)
-IFERROR(SUM(_xlfn._xlws.FILTER(Table_ThuChiTC[Giá trị GD],
(Table_ThuChiTC[Loại GD]="CHI")*
(Table_ThuChiTC[Nội dung GD]="Thu chi cho vay, mua bán các công cụ nợ")*
(Table_ThuChiTC[Ngày GD]&gt;=I2)*
(Table_ThuChiTC[Ngày GD]&lt;J2)
)),0)
+IFERROR(SUM(_xlfn._xlws.FILTER(Table_ThuChiTC[Giá trị GD],
(Table_ThuChiTC[Loại GD]="THU")*
(Table_ThuChiTC[Nội dung GD]="Thu chi đầu tư góp vốn")*
(Table_ThuChiTC[Ngày GD]&gt;=I2)*
(Table_ThuChiTC[Ngày GD]&lt;J2)
)),0)
-IFERROR(SUM(_xlfn._xlws.FILTER(Table_ThuChiTC[Giá trị GD],
(Table_ThuChiTC[Loại GD]="CHI")*
(Table_ThuChiTC[Nội dung GD]="Thu chi đầu tư góp vốn")*
(Table_ThuChiTC[Ngày GD]&gt;=I2)*
(Table_ThuChiTC[Ngày GD]&lt;J2)
)),0)</f>
        <v>0</v>
      </c>
      <c r="J46" s="337" cm="1">
        <f t="array" ref="J46" xml:space="preserve">
+IFERROR(SUM(_xlfn._xlws.FILTER(Table_ThuChiTC[Giá trị GD],
(Table_ThuChiTC[Loại GD]="THU")*
(Table_ThuChiTC[Nội dung GD]="Thu chi cho vay, mua bán các công cụ nợ")*
(Table_ThuChiTC[Ngày GD]&gt;=J2)*
(Table_ThuChiTC[Ngày GD]&lt;K2)
)),0)
-IFERROR(SUM(_xlfn._xlws.FILTER(Table_ThuChiTC[Giá trị GD],
(Table_ThuChiTC[Loại GD]="CHI")*
(Table_ThuChiTC[Nội dung GD]="Thu chi cho vay, mua bán các công cụ nợ")*
(Table_ThuChiTC[Ngày GD]&gt;=J2)*
(Table_ThuChiTC[Ngày GD]&lt;K2)
)),0)
+IFERROR(SUM(_xlfn._xlws.FILTER(Table_ThuChiTC[Giá trị GD],
(Table_ThuChiTC[Loại GD]="THU")*
(Table_ThuChiTC[Nội dung GD]="Thu chi đầu tư góp vốn")*
(Table_ThuChiTC[Ngày GD]&gt;=J2)*
(Table_ThuChiTC[Ngày GD]&lt;K2)
)),0)
-IFERROR(SUM(_xlfn._xlws.FILTER(Table_ThuChiTC[Giá trị GD],
(Table_ThuChiTC[Loại GD]="CHI")*
(Table_ThuChiTC[Nội dung GD]="Thu chi đầu tư góp vốn")*
(Table_ThuChiTC[Ngày GD]&gt;=J2)*
(Table_ThuChiTC[Ngày GD]&lt;K2)
)),0)</f>
        <v>0</v>
      </c>
      <c r="K46" s="337" cm="1">
        <f t="array" ref="K46" xml:space="preserve">
+IFERROR(SUM(_xlfn._xlws.FILTER(Table_ThuChiTC[Giá trị GD],
(Table_ThuChiTC[Loại GD]="THU")*
(Table_ThuChiTC[Nội dung GD]="Thu chi cho vay, mua bán các công cụ nợ")*
(Table_ThuChiTC[Ngày GD]&gt;=K2)*
(Table_ThuChiTC[Ngày GD]&lt;L2)
)),0)
-IFERROR(SUM(_xlfn._xlws.FILTER(Table_ThuChiTC[Giá trị GD],
(Table_ThuChiTC[Loại GD]="CHI")*
(Table_ThuChiTC[Nội dung GD]="Thu chi cho vay, mua bán các công cụ nợ")*
(Table_ThuChiTC[Ngày GD]&gt;=K2)*
(Table_ThuChiTC[Ngày GD]&lt;L2)
)),0)
+IFERROR(SUM(_xlfn._xlws.FILTER(Table_ThuChiTC[Giá trị GD],
(Table_ThuChiTC[Loại GD]="THU")*
(Table_ThuChiTC[Nội dung GD]="Thu chi đầu tư góp vốn")*
(Table_ThuChiTC[Ngày GD]&gt;=K2)*
(Table_ThuChiTC[Ngày GD]&lt;L2)
)),0)
-IFERROR(SUM(_xlfn._xlws.FILTER(Table_ThuChiTC[Giá trị GD],
(Table_ThuChiTC[Loại GD]="CHI")*
(Table_ThuChiTC[Nội dung GD]="Thu chi đầu tư góp vốn")*
(Table_ThuChiTC[Ngày GD]&gt;=K2)*
(Table_ThuChiTC[Ngày GD]&lt;L2)
)),0)</f>
        <v>0</v>
      </c>
      <c r="L46" s="337" cm="1">
        <f t="array" ref="L46" xml:space="preserve">
+IFERROR(SUM(_xlfn._xlws.FILTER(Table_ThuChiTC[Giá trị GD],
(Table_ThuChiTC[Loại GD]="THU")*
(Table_ThuChiTC[Nội dung GD]="Thu chi cho vay, mua bán các công cụ nợ")*
(Table_ThuChiTC[Ngày GD]&gt;=L2)*
(Table_ThuChiTC[Ngày GD]&lt;M2)
)),0)
-IFERROR(SUM(_xlfn._xlws.FILTER(Table_ThuChiTC[Giá trị GD],
(Table_ThuChiTC[Loại GD]="CHI")*
(Table_ThuChiTC[Nội dung GD]="Thu chi cho vay, mua bán các công cụ nợ")*
(Table_ThuChiTC[Ngày GD]&gt;=L2)*
(Table_ThuChiTC[Ngày GD]&lt;M2)
)),0)
+IFERROR(SUM(_xlfn._xlws.FILTER(Table_ThuChiTC[Giá trị GD],
(Table_ThuChiTC[Loại GD]="THU")*
(Table_ThuChiTC[Nội dung GD]="Thu chi đầu tư góp vốn")*
(Table_ThuChiTC[Ngày GD]&gt;=L2)*
(Table_ThuChiTC[Ngày GD]&lt;M2)
)),0)
-IFERROR(SUM(_xlfn._xlws.FILTER(Table_ThuChiTC[Giá trị GD],
(Table_ThuChiTC[Loại GD]="CHI")*
(Table_ThuChiTC[Nội dung GD]="Thu chi đầu tư góp vốn")*
(Table_ThuChiTC[Ngày GD]&gt;=L2)*
(Table_ThuChiTC[Ngày GD]&lt;M2)
)),0)</f>
        <v>0</v>
      </c>
      <c r="M46" s="337" cm="1">
        <f t="array" ref="M46" xml:space="preserve">
+IFERROR(SUM(_xlfn._xlws.FILTER(Table_ThuChiTC[Giá trị GD],
(Table_ThuChiTC[Loại GD]="THU")*
(Table_ThuChiTC[Nội dung GD]="Thu chi cho vay, mua bán các công cụ nợ")*
(Table_ThuChiTC[Ngày GD]&gt;=M2)*
(Table_ThuChiTC[Ngày GD]&lt;N2)
)),0)
-IFERROR(SUM(_xlfn._xlws.FILTER(Table_ThuChiTC[Giá trị GD],
(Table_ThuChiTC[Loại GD]="CHI")*
(Table_ThuChiTC[Nội dung GD]="Thu chi cho vay, mua bán các công cụ nợ")*
(Table_ThuChiTC[Ngày GD]&gt;=M2)*
(Table_ThuChiTC[Ngày GD]&lt;N2)
)),0)
+IFERROR(SUM(_xlfn._xlws.FILTER(Table_ThuChiTC[Giá trị GD],
(Table_ThuChiTC[Loại GD]="THU")*
(Table_ThuChiTC[Nội dung GD]="Thu chi đầu tư góp vốn")*
(Table_ThuChiTC[Ngày GD]&gt;=M2)*
(Table_ThuChiTC[Ngày GD]&lt;N2)
)),0)
-IFERROR(SUM(_xlfn._xlws.FILTER(Table_ThuChiTC[Giá trị GD],
(Table_ThuChiTC[Loại GD]="CHI")*
(Table_ThuChiTC[Nội dung GD]="Thu chi đầu tư góp vốn")*
(Table_ThuChiTC[Ngày GD]&gt;=M2)*
(Table_ThuChiTC[Ngày GD]&lt;N2)
)),0)</f>
        <v>0</v>
      </c>
      <c r="N46" s="337" cm="1">
        <f t="array" ref="N46" xml:space="preserve">
+IFERROR(SUM(_xlfn._xlws.FILTER(Table_ThuChiTC[Giá trị GD],
(Table_ThuChiTC[Loại GD]="THU")*
(Table_ThuChiTC[Nội dung GD]="Thu chi cho vay, mua bán các công cụ nợ")*
(Table_ThuChiTC[Ngày GD]&gt;=N2)*
(Table_ThuChiTC[Ngày GD]&lt;O2)
)),0)
-IFERROR(SUM(_xlfn._xlws.FILTER(Table_ThuChiTC[Giá trị GD],
(Table_ThuChiTC[Loại GD]="CHI")*
(Table_ThuChiTC[Nội dung GD]="Thu chi cho vay, mua bán các công cụ nợ")*
(Table_ThuChiTC[Ngày GD]&gt;=N2)*
(Table_ThuChiTC[Ngày GD]&lt;O2)
)),0)
+IFERROR(SUM(_xlfn._xlws.FILTER(Table_ThuChiTC[Giá trị GD],
(Table_ThuChiTC[Loại GD]="THU")*
(Table_ThuChiTC[Nội dung GD]="Thu chi đầu tư góp vốn")*
(Table_ThuChiTC[Ngày GD]&gt;=N2)*
(Table_ThuChiTC[Ngày GD]&lt;O2)
)),0)
-IFERROR(SUM(_xlfn._xlws.FILTER(Table_ThuChiTC[Giá trị GD],
(Table_ThuChiTC[Loại GD]="CHI")*
(Table_ThuChiTC[Nội dung GD]="Thu chi đầu tư góp vốn")*
(Table_ThuChiTC[Ngày GD]&gt;=N2)*
(Table_ThuChiTC[Ngày GD]&lt;O2)
)),0)</f>
        <v>0</v>
      </c>
      <c r="O46" s="337" cm="1">
        <f t="array" ref="O46" xml:space="preserve">
+IFERROR(SUM(_xlfn._xlws.FILTER(Table_ThuChiTC[Giá trị GD],
(Table_ThuChiTC[Loại GD]="THU")*
(Table_ThuChiTC[Nội dung GD]="Thu chi cho vay, mua bán các công cụ nợ")*
(Table_ThuChiTC[Ngày GD]&gt;=O2)*
(Table_ThuChiTC[Ngày GD]&lt;P2)
)),0)
-IFERROR(SUM(_xlfn._xlws.FILTER(Table_ThuChiTC[Giá trị GD],
(Table_ThuChiTC[Loại GD]="CHI")*
(Table_ThuChiTC[Nội dung GD]="Thu chi cho vay, mua bán các công cụ nợ")*
(Table_ThuChiTC[Ngày GD]&gt;=O2)*
(Table_ThuChiTC[Ngày GD]&lt;P2)
)),0)
+IFERROR(SUM(_xlfn._xlws.FILTER(Table_ThuChiTC[Giá trị GD],
(Table_ThuChiTC[Loại GD]="THU")*
(Table_ThuChiTC[Nội dung GD]="Thu chi đầu tư góp vốn")*
(Table_ThuChiTC[Ngày GD]&gt;=O2)*
(Table_ThuChiTC[Ngày GD]&lt;P2)
)),0)
-IFERROR(SUM(_xlfn._xlws.FILTER(Table_ThuChiTC[Giá trị GD],
(Table_ThuChiTC[Loại GD]="CHI")*
(Table_ThuChiTC[Nội dung GD]="Thu chi đầu tư góp vốn")*
(Table_ThuChiTC[Ngày GD]&gt;=O2)*
(Table_ThuChiTC[Ngày GD]&lt;P2)
)),0)</f>
        <v>0</v>
      </c>
      <c r="P46" s="326"/>
      <c r="Q46" s="242"/>
      <c r="R46" s="73" t="s">
        <v>313</v>
      </c>
      <c r="S46" s="331" cm="1">
        <f t="array" ref="S46" xml:space="preserve">
IFERROR(SUM(_xlfn._xlws.FILTER(Table_ThuChiTC[Giá trị GD],
(Table_ThuChiTC[Loại GD]="THU")*
(Table_ThuChiTC[Nội dung GD]="Thu chi cho vay, mua bán các công cụ nợ")*
(YEAR(Table_ThuChiTC[Ngày GD])=S$1)
)),0)
-IFERROR(SUM(_xlfn._xlws.FILTER(Table_ThuChiTC[Giá trị GD],
(Table_ThuChiTC[Loại GD]="CHI")*
(Table_ThuChiTC[Nội dung GD]="Thu chi cho vay, mua bán các công cụ nợ")*
(YEAR(Table_ThuChiTC[Ngày GD])=S$1)
)),0)
+IFERROR(SUM(_xlfn._xlws.FILTER(Table_ThuChiTC[Giá trị GD],
(Table_ThuChiTC[Loại GD]="THU")*
(Table_ThuChiTC[Nội dung GD]="Thu chi đầu tư góp vốn")*
(YEAR(Table_ThuChiTC[Ngày GD])=S$1)
)),0)
-IFERROR(SUM(_xlfn._xlws.FILTER(Table_ThuChiTC[Giá trị GD],
(Table_ThuChiTC[Loại GD]="CHI")*
(Table_ThuChiTC[Nội dung GD]="Thu chi đầu tư góp vốn")*
(YEAR(Table_ThuChiTC[Ngày GD])=S$1)
)),0)</f>
        <v>0</v>
      </c>
      <c r="T46" s="242"/>
      <c r="U46" s="73" t="s">
        <v>313</v>
      </c>
      <c r="V46" s="337" cm="1">
        <f t="array" ref="V46" xml:space="preserve">
+IFERROR(SUM(_xlfn._xlws.FILTER(Table_ThuChiTC[Giá trị GD],
(Table_ThuChiTC[Loại GD]="THU")*
(Table_ThuChiTC[Nội dung GD]="Thu chi cho vay, mua bán các công cụ nợ")*
(Table_ThuChiTC[Ngày GD]&gt;=V$1)*
(Table_ThuChiTC[Ngày GD]&lt;DATE(YEAR(V$1),MONTH(V$1)+1,1))
)),0)
-IFERROR(SUM(_xlfn._xlws.FILTER(Table_ThuChiTC[Giá trị GD],
(Table_ThuChiTC[Loại GD]="CHI")*
(Table_ThuChiTC[Nội dung GD]="Thu chi cho vay, mua bán các công cụ nợ")*
(Table_ThuChiTC[Ngày GD]&gt;=V$1)*
(Table_ThuChiTC[Ngày GD]&lt;DATE(YEAR(V$1),MONTH(V$1)+1,1))
)),0)
+IFERROR(SUM(_xlfn._xlws.FILTER(Table_ThuChiTC[Giá trị GD],
(Table_ThuChiTC[Loại GD]="THU")*
(Table_ThuChiTC[Nội dung GD]="Thu chi đầu tư góp vốn")*
(Table_ThuChiTC[Ngày GD]&gt;=V$1)*
(Table_ThuChiTC[Ngày GD]&lt;DATE(YEAR(V$1),MONTH(V$1)+1,1))
)),0)
-IFERROR(SUM(_xlfn._xlws.FILTER(Table_ThuChiTC[Giá trị GD],
(Table_ThuChiTC[Loại GD]="CHI")*
(Table_ThuChiTC[Nội dung GD]="Thu chi đầu tư góp vốn")*
(Table_ThuChiTC[Ngày GD]&gt;=V$1)*
(Table_ThuChiTC[Ngày GD]&lt;DATE(YEAR(V$1),MONTH(V$1)+1,1))
)),0)</f>
        <v>0</v>
      </c>
    </row>
    <row r="47" spans="2:22" ht="18" customHeight="1" outlineLevel="1" x14ac:dyDescent="0.3">
      <c r="B47" s="87" t="s">
        <v>314</v>
      </c>
      <c r="C47" s="334">
        <f>+C33+C44</f>
        <v>0</v>
      </c>
      <c r="D47" s="334">
        <f t="shared" ref="D47:O47" si="15">+D33+D44</f>
        <v>0</v>
      </c>
      <c r="E47" s="334">
        <f t="shared" si="15"/>
        <v>0</v>
      </c>
      <c r="F47" s="334">
        <f t="shared" si="15"/>
        <v>0</v>
      </c>
      <c r="G47" s="334">
        <f t="shared" si="15"/>
        <v>0</v>
      </c>
      <c r="H47" s="334">
        <f t="shared" si="15"/>
        <v>0</v>
      </c>
      <c r="I47" s="334">
        <f t="shared" si="15"/>
        <v>0</v>
      </c>
      <c r="J47" s="334">
        <f t="shared" si="15"/>
        <v>0</v>
      </c>
      <c r="K47" s="334">
        <f t="shared" si="15"/>
        <v>0</v>
      </c>
      <c r="L47" s="334">
        <f t="shared" si="15"/>
        <v>0</v>
      </c>
      <c r="M47" s="334">
        <f t="shared" si="15"/>
        <v>0</v>
      </c>
      <c r="N47" s="334">
        <f t="shared" si="15"/>
        <v>0</v>
      </c>
      <c r="O47" s="334">
        <f t="shared" si="15"/>
        <v>0</v>
      </c>
      <c r="P47" s="326"/>
      <c r="Q47" s="242"/>
      <c r="R47" s="87" t="s">
        <v>314</v>
      </c>
      <c r="S47" s="104">
        <f>+S33+S44</f>
        <v>0</v>
      </c>
      <c r="T47" s="242"/>
      <c r="U47" s="87" t="s">
        <v>314</v>
      </c>
      <c r="V47" s="104">
        <f>+V33+V44</f>
        <v>0</v>
      </c>
    </row>
    <row r="48" spans="2:22" ht="18" customHeight="1" outlineLevel="1" x14ac:dyDescent="0.3">
      <c r="B48" s="87" t="s">
        <v>114</v>
      </c>
      <c r="C48" s="128">
        <f>C47/(-(C37+C42+C44)+
(
+ IFERROR(HLOOKUP(C$2,Table_BCTC_Nam[],Sheet_BaoCaoTaiChinh!$A$96,0),Sheet_BaoCaoTaiChinh!$D$96)
+ IFERROR(HLOOKUP(C$2,Table_BCTC_Nam[],Sheet_BaoCaoTaiChinh!$A$87,0),Sheet_BaoCaoTaiChinh!$D$87)
+ IFERROR(HLOOKUP(C$2,Table_BCTC_Nam[],Sheet_BaoCaoTaiChinh!$A$81,0),Sheet_BaoCaoTaiChinh!$D$81)
+ IFERROR(HLOOKUP(C$2,Table_BCTC_Nam[],Sheet_BaoCaoTaiChinh!$A$82,0),Sheet_BaoCaoTaiChinh!$D$82)
+ IFERROR(HLOOKUP(C$2,Table_BCTC_Nam[],Sheet_BaoCaoTaiChinh!$A$83,0),Sheet_BaoCaoTaiChinh!$D$83)
+ IFERROR(HLOOKUP(C$2,Table_BCTC_Nam[],Sheet_BaoCaoTaiChinh!$A$92,0),Sheet_BaoCaoTaiChinh!$D$92)
+ IFERROR(HLOOKUP(C$2,Table_BCTC_Nam[],Sheet_BaoCaoTaiChinh!$A$93,0),Sheet_BaoCaoTaiChinh!$D$93)
+ IFERROR(HLOOKUP(C$2,Table_BCTC_Nam[],Sheet_BaoCaoTaiChinh!$A$94,0),Sheet_BaoCaoTaiChinh!$D$94)
+ IFERROR(HLOOKUP(C$2-1,Table_BCTC_Nam[],Sheet_BaoCaoTaiChinh!$A$96,0),Sheet_BaoCaoTaiChinh!$D$96)
+ IFERROR(HLOOKUP(C$2-1,Table_BCTC_Nam[],Sheet_BaoCaoTaiChinh!$A$87,0),Sheet_BaoCaoTaiChinh!$D$87)
+ IFERROR(HLOOKUP(C$2-1,Table_BCTC_Nam[],Sheet_BaoCaoTaiChinh!$A$81,0),Sheet_BaoCaoTaiChinh!$D$81)
+ IFERROR(HLOOKUP(C$2-1,Table_BCTC_Nam[],Sheet_BaoCaoTaiChinh!$A$82,0),Sheet_BaoCaoTaiChinh!$D$82)
+ IFERROR(HLOOKUP(C$2-1,Table_BCTC_Nam[],Sheet_BaoCaoTaiChinh!$A$83,0),Sheet_BaoCaoTaiChinh!$D$83)
+ IFERROR(HLOOKUP(C$2-1,Table_BCTC_Nam[],Sheet_BaoCaoTaiChinh!$A$92,0),Sheet_BaoCaoTaiChinh!$D$92)
+ IFERROR(HLOOKUP(C$2-1,Table_BCTC_Nam[],Sheet_BaoCaoTaiChinh!$A$93,0),Sheet_BaoCaoTaiChinh!$D$93)
+ IFERROR(HLOOKUP(C$2-1,Table_BCTC_Nam[],Sheet_BaoCaoTaiChinh!$A$94,0),Sheet_BaoCaoTaiChinh!$D$94)
)/2)</f>
        <v>0</v>
      </c>
      <c r="D48" s="128">
        <f>D47/(-(D37+D42+D44)+
((
+ IFERROR(HLOOKUP(D$2,Table_BCTC_Thang[],Sheet_BaoCaoTaiChinh!$A$96,0),Sheet_BaoCaoTaiChinh!$D$96)
+ IFERROR(HLOOKUP(D$2,Table_BCTC_Thang[],Sheet_BaoCaoTaiChinh!$A$87,0),Sheet_BaoCaoTaiChinh!$D$87)
+ IFERROR(HLOOKUP(D$2,Table_BCTC_Thang[],Sheet_BaoCaoTaiChinh!$A$81,0),Sheet_BaoCaoTaiChinh!$D$81)
+ IFERROR(HLOOKUP(D$2,Table_BCTC_Thang[],Sheet_BaoCaoTaiChinh!$A$82,0),Sheet_BaoCaoTaiChinh!$D$82)
+ IFERROR(HLOOKUP(D$2,Table_BCTC_Thang[],Sheet_BaoCaoTaiChinh!$A$83,0),Sheet_BaoCaoTaiChinh!$D$83)
+ IFERROR(HLOOKUP(D$2,Table_BCTC_Thang[],Sheet_BaoCaoTaiChinh!$A$92,0),Sheet_BaoCaoTaiChinh!$D$92)
+ IFERROR(HLOOKUP(D$2,Table_BCTC_Thang[],Sheet_BaoCaoTaiChinh!$A$93,0),Sheet_BaoCaoTaiChinh!$D$93)
+ IFERROR(HLOOKUP(D$2,Table_BCTC_Thang[],Sheet_BaoCaoTaiChinh!$A$94,0),Sheet_BaoCaoTaiChinh!$D$94)
+ IFERROR(HLOOKUP(DATE(YEAR(D$2),MONTH(D$2)-1,1),Table_BCTC_Thang[],Sheet_BaoCaoTaiChinh!$A$96,0),Sheet_BaoCaoTaiChinh!$D$96)
+ IFERROR(HLOOKUP(DATE(YEAR(D$2),MONTH(D$2)-1,1),Table_BCTC_Nam[],Sheet_BaoCaoTaiChinh!$A$87,0),Sheet_BaoCaoTaiChinh!$D$87)
+ IFERROR(HLOOKUP(DATE(YEAR(D$2),MONTH(D$2)-1,1),Table_BCTC_Nam[],Sheet_BaoCaoTaiChinh!$A$81,0),Sheet_BaoCaoTaiChinh!$D$81)
+ IFERROR(HLOOKUP(DATE(YEAR(D$2),MONTH(D$2)-1,1),Table_BCTC_Nam[],Sheet_BaoCaoTaiChinh!$A$82,0),Sheet_BaoCaoTaiChinh!$D$82)
+ IFERROR(HLOOKUP(DATE(YEAR(D$2),MONTH(D$2)-1,1),Table_BCTC_Nam[],Sheet_BaoCaoTaiChinh!$A$83,0),Sheet_BaoCaoTaiChinh!$D$83)
+ IFERROR(HLOOKUP(DATE(YEAR(D$2),MONTH(D$2)-1,1),Table_BCTC_Nam[],Sheet_BaoCaoTaiChinh!$A$92,0),Sheet_BaoCaoTaiChinh!$D$92)
+ IFERROR(HLOOKUP(DATE(YEAR(D$2),MONTH(D$2)-1,1),Table_BCTC_Nam[],Sheet_BaoCaoTaiChinh!$A$93,0),Sheet_BaoCaoTaiChinh!$D$93)
+ IFERROR(HLOOKUP(DATE(YEAR(D$2),MONTH(D$2)-1,1),Table_BCTC_Nam[],Sheet_BaoCaoTaiChinh!$A$94,0),Sheet_BaoCaoTaiChinh!$D$94)
)/2))</f>
        <v>0</v>
      </c>
      <c r="E48" s="128">
        <f>E47/(-(E37+E42+E44)+
((
+ IFERROR(HLOOKUP(E$2,Table_BCTC_Thang[],Sheet_BaoCaoTaiChinh!$A$96,0),Sheet_BaoCaoTaiChinh!$D$96)
+ IFERROR(HLOOKUP(E$2,Table_BCTC_Thang[],Sheet_BaoCaoTaiChinh!$A$87,0),Sheet_BaoCaoTaiChinh!$D$87)
+ IFERROR(HLOOKUP(E$2,Table_BCTC_Thang[],Sheet_BaoCaoTaiChinh!$A$81,0),Sheet_BaoCaoTaiChinh!$D$81)
+ IFERROR(HLOOKUP(E$2,Table_BCTC_Thang[],Sheet_BaoCaoTaiChinh!$A$82,0),Sheet_BaoCaoTaiChinh!$D$82)
+ IFERROR(HLOOKUP(E$2,Table_BCTC_Thang[],Sheet_BaoCaoTaiChinh!$A$83,0),Sheet_BaoCaoTaiChinh!$D$83)
+ IFERROR(HLOOKUP(E$2,Table_BCTC_Thang[],Sheet_BaoCaoTaiChinh!$A$92,0),Sheet_BaoCaoTaiChinh!$D$92)
+ IFERROR(HLOOKUP(E$2,Table_BCTC_Thang[],Sheet_BaoCaoTaiChinh!$A$93,0),Sheet_BaoCaoTaiChinh!$D$93)
+ IFERROR(HLOOKUP(E$2,Table_BCTC_Thang[],Sheet_BaoCaoTaiChinh!$A$94,0),Sheet_BaoCaoTaiChinh!$D$94)
+ IFERROR(HLOOKUP(DATE(YEAR(E$2),MONTH(E$2)-1,1),Table_BCTC_Thang[],Sheet_BaoCaoTaiChinh!$A$96,0),Sheet_BaoCaoTaiChinh!$D$96)
+ IFERROR(HLOOKUP(DATE(YEAR(E$2),MONTH(E$2)-1,1),Table_BCTC_Nam[],Sheet_BaoCaoTaiChinh!$A$87,0),Sheet_BaoCaoTaiChinh!$D$87)
+ IFERROR(HLOOKUP(DATE(YEAR(E$2),MONTH(E$2)-1,1),Table_BCTC_Nam[],Sheet_BaoCaoTaiChinh!$A$81,0),Sheet_BaoCaoTaiChinh!$D$81)
+ IFERROR(HLOOKUP(DATE(YEAR(E$2),MONTH(E$2)-1,1),Table_BCTC_Nam[],Sheet_BaoCaoTaiChinh!$A$82,0),Sheet_BaoCaoTaiChinh!$D$82)
+ IFERROR(HLOOKUP(DATE(YEAR(E$2),MONTH(E$2)-1,1),Table_BCTC_Nam[],Sheet_BaoCaoTaiChinh!$A$83,0),Sheet_BaoCaoTaiChinh!$D$83)
+ IFERROR(HLOOKUP(DATE(YEAR(E$2),MONTH(E$2)-1,1),Table_BCTC_Nam[],Sheet_BaoCaoTaiChinh!$A$92,0),Sheet_BaoCaoTaiChinh!$D$92)
+ IFERROR(HLOOKUP(DATE(YEAR(E$2),MONTH(E$2)-1,1),Table_BCTC_Nam[],Sheet_BaoCaoTaiChinh!$A$93,0),Sheet_BaoCaoTaiChinh!$D$93)
+ IFERROR(HLOOKUP(DATE(YEAR(E$2),MONTH(E$2)-1,1),Table_BCTC_Nam[],Sheet_BaoCaoTaiChinh!$A$94,0),Sheet_BaoCaoTaiChinh!$D$94)
)/2))</f>
        <v>0</v>
      </c>
      <c r="F48" s="128">
        <f>F47/(-(F37+F42+F44)+
((
+ IFERROR(HLOOKUP(F$2,Table_BCTC_Thang[],Sheet_BaoCaoTaiChinh!$A$96,0),Sheet_BaoCaoTaiChinh!$D$96)
+ IFERROR(HLOOKUP(F$2,Table_BCTC_Thang[],Sheet_BaoCaoTaiChinh!$A$87,0),Sheet_BaoCaoTaiChinh!$D$87)
+ IFERROR(HLOOKUP(F$2,Table_BCTC_Thang[],Sheet_BaoCaoTaiChinh!$A$81,0),Sheet_BaoCaoTaiChinh!$D$81)
+ IFERROR(HLOOKUP(F$2,Table_BCTC_Thang[],Sheet_BaoCaoTaiChinh!$A$82,0),Sheet_BaoCaoTaiChinh!$D$82)
+ IFERROR(HLOOKUP(F$2,Table_BCTC_Thang[],Sheet_BaoCaoTaiChinh!$A$83,0),Sheet_BaoCaoTaiChinh!$D$83)
+ IFERROR(HLOOKUP(F$2,Table_BCTC_Thang[],Sheet_BaoCaoTaiChinh!$A$92,0),Sheet_BaoCaoTaiChinh!$D$92)
+ IFERROR(HLOOKUP(F$2,Table_BCTC_Thang[],Sheet_BaoCaoTaiChinh!$A$93,0),Sheet_BaoCaoTaiChinh!$D$93)
+ IFERROR(HLOOKUP(F$2,Table_BCTC_Thang[],Sheet_BaoCaoTaiChinh!$A$94,0),Sheet_BaoCaoTaiChinh!$D$94)
+ IFERROR(HLOOKUP(DATE(YEAR(F$2),MONTH(F$2)-1,1),Table_BCTC_Thang[],Sheet_BaoCaoTaiChinh!$A$96,0),Sheet_BaoCaoTaiChinh!$D$96)
+ IFERROR(HLOOKUP(DATE(YEAR(F$2),MONTH(F$2)-1,1),Table_BCTC_Nam[],Sheet_BaoCaoTaiChinh!$A$87,0),Sheet_BaoCaoTaiChinh!$D$87)
+ IFERROR(HLOOKUP(DATE(YEAR(F$2),MONTH(F$2)-1,1),Table_BCTC_Nam[],Sheet_BaoCaoTaiChinh!$A$81,0),Sheet_BaoCaoTaiChinh!$D$81)
+ IFERROR(HLOOKUP(DATE(YEAR(F$2),MONTH(F$2)-1,1),Table_BCTC_Nam[],Sheet_BaoCaoTaiChinh!$A$82,0),Sheet_BaoCaoTaiChinh!$D$82)
+ IFERROR(HLOOKUP(DATE(YEAR(F$2),MONTH(F$2)-1,1),Table_BCTC_Nam[],Sheet_BaoCaoTaiChinh!$A$83,0),Sheet_BaoCaoTaiChinh!$D$83)
+ IFERROR(HLOOKUP(DATE(YEAR(F$2),MONTH(F$2)-1,1),Table_BCTC_Nam[],Sheet_BaoCaoTaiChinh!$A$92,0),Sheet_BaoCaoTaiChinh!$D$92)
+ IFERROR(HLOOKUP(DATE(YEAR(F$2),MONTH(F$2)-1,1),Table_BCTC_Nam[],Sheet_BaoCaoTaiChinh!$A$93,0),Sheet_BaoCaoTaiChinh!$D$93)
+ IFERROR(HLOOKUP(DATE(YEAR(F$2),MONTH(F$2)-1,1),Table_BCTC_Nam[],Sheet_BaoCaoTaiChinh!$A$94,0),Sheet_BaoCaoTaiChinh!$D$94)
)/2))</f>
        <v>0</v>
      </c>
      <c r="G48" s="128">
        <f>G47/(-(G37+G42+G44)+
((
+ IFERROR(HLOOKUP(G$2,Table_BCTC_Thang[],Sheet_BaoCaoTaiChinh!$A$96,0),Sheet_BaoCaoTaiChinh!$D$96)
+ IFERROR(HLOOKUP(G$2,Table_BCTC_Thang[],Sheet_BaoCaoTaiChinh!$A$87,0),Sheet_BaoCaoTaiChinh!$D$87)
+ IFERROR(HLOOKUP(G$2,Table_BCTC_Thang[],Sheet_BaoCaoTaiChinh!$A$81,0),Sheet_BaoCaoTaiChinh!$D$81)
+ IFERROR(HLOOKUP(G$2,Table_BCTC_Thang[],Sheet_BaoCaoTaiChinh!$A$82,0),Sheet_BaoCaoTaiChinh!$D$82)
+ IFERROR(HLOOKUP(G$2,Table_BCTC_Thang[],Sheet_BaoCaoTaiChinh!$A$83,0),Sheet_BaoCaoTaiChinh!$D$83)
+ IFERROR(HLOOKUP(G$2,Table_BCTC_Thang[],Sheet_BaoCaoTaiChinh!$A$92,0),Sheet_BaoCaoTaiChinh!$D$92)
+ IFERROR(HLOOKUP(G$2,Table_BCTC_Thang[],Sheet_BaoCaoTaiChinh!$A$93,0),Sheet_BaoCaoTaiChinh!$D$93)
+ IFERROR(HLOOKUP(G$2,Table_BCTC_Thang[],Sheet_BaoCaoTaiChinh!$A$94,0),Sheet_BaoCaoTaiChinh!$D$94)
+ IFERROR(HLOOKUP(DATE(YEAR(G$2),MONTH(G$2)-1,1),Table_BCTC_Thang[],Sheet_BaoCaoTaiChinh!$A$96,0),Sheet_BaoCaoTaiChinh!$D$96)
+ IFERROR(HLOOKUP(DATE(YEAR(G$2),MONTH(G$2)-1,1),Table_BCTC_Nam[],Sheet_BaoCaoTaiChinh!$A$87,0),Sheet_BaoCaoTaiChinh!$D$87)
+ IFERROR(HLOOKUP(DATE(YEAR(G$2),MONTH(G$2)-1,1),Table_BCTC_Nam[],Sheet_BaoCaoTaiChinh!$A$81,0),Sheet_BaoCaoTaiChinh!$D$81)
+ IFERROR(HLOOKUP(DATE(YEAR(G$2),MONTH(G$2)-1,1),Table_BCTC_Nam[],Sheet_BaoCaoTaiChinh!$A$82,0),Sheet_BaoCaoTaiChinh!$D$82)
+ IFERROR(HLOOKUP(DATE(YEAR(G$2),MONTH(G$2)-1,1),Table_BCTC_Nam[],Sheet_BaoCaoTaiChinh!$A$83,0),Sheet_BaoCaoTaiChinh!$D$83)
+ IFERROR(HLOOKUP(DATE(YEAR(G$2),MONTH(G$2)-1,1),Table_BCTC_Nam[],Sheet_BaoCaoTaiChinh!$A$92,0),Sheet_BaoCaoTaiChinh!$D$92)
+ IFERROR(HLOOKUP(DATE(YEAR(G$2),MONTH(G$2)-1,1),Table_BCTC_Nam[],Sheet_BaoCaoTaiChinh!$A$93,0),Sheet_BaoCaoTaiChinh!$D$93)
+ IFERROR(HLOOKUP(DATE(YEAR(G$2),MONTH(G$2)-1,1),Table_BCTC_Nam[],Sheet_BaoCaoTaiChinh!$A$94,0),Sheet_BaoCaoTaiChinh!$D$94)
)/2))</f>
        <v>0</v>
      </c>
      <c r="H48" s="128">
        <f>H47/(-(H37+H42+H44)+
((
+ IFERROR(HLOOKUP(H$2,Table_BCTC_Thang[],Sheet_BaoCaoTaiChinh!$A$96,0),Sheet_BaoCaoTaiChinh!$D$96)
+ IFERROR(HLOOKUP(H$2,Table_BCTC_Thang[],Sheet_BaoCaoTaiChinh!$A$87,0),Sheet_BaoCaoTaiChinh!$D$87)
+ IFERROR(HLOOKUP(H$2,Table_BCTC_Thang[],Sheet_BaoCaoTaiChinh!$A$81,0),Sheet_BaoCaoTaiChinh!$D$81)
+ IFERROR(HLOOKUP(H$2,Table_BCTC_Thang[],Sheet_BaoCaoTaiChinh!$A$82,0),Sheet_BaoCaoTaiChinh!$D$82)
+ IFERROR(HLOOKUP(H$2,Table_BCTC_Thang[],Sheet_BaoCaoTaiChinh!$A$83,0),Sheet_BaoCaoTaiChinh!$D$83)
+ IFERROR(HLOOKUP(H$2,Table_BCTC_Thang[],Sheet_BaoCaoTaiChinh!$A$92,0),Sheet_BaoCaoTaiChinh!$D$92)
+ IFERROR(HLOOKUP(H$2,Table_BCTC_Thang[],Sheet_BaoCaoTaiChinh!$A$93,0),Sheet_BaoCaoTaiChinh!$D$93)
+ IFERROR(HLOOKUP(H$2,Table_BCTC_Thang[],Sheet_BaoCaoTaiChinh!$A$94,0),Sheet_BaoCaoTaiChinh!$D$94)
+ IFERROR(HLOOKUP(DATE(YEAR(H$2),MONTH(H$2)-1,1),Table_BCTC_Thang[],Sheet_BaoCaoTaiChinh!$A$96,0),Sheet_BaoCaoTaiChinh!$D$96)
+ IFERROR(HLOOKUP(DATE(YEAR(H$2),MONTH(H$2)-1,1),Table_BCTC_Nam[],Sheet_BaoCaoTaiChinh!$A$87,0),Sheet_BaoCaoTaiChinh!$D$87)
+ IFERROR(HLOOKUP(DATE(YEAR(H$2),MONTH(H$2)-1,1),Table_BCTC_Nam[],Sheet_BaoCaoTaiChinh!$A$81,0),Sheet_BaoCaoTaiChinh!$D$81)
+ IFERROR(HLOOKUP(DATE(YEAR(H$2),MONTH(H$2)-1,1),Table_BCTC_Nam[],Sheet_BaoCaoTaiChinh!$A$82,0),Sheet_BaoCaoTaiChinh!$D$82)
+ IFERROR(HLOOKUP(DATE(YEAR(H$2),MONTH(H$2)-1,1),Table_BCTC_Nam[],Sheet_BaoCaoTaiChinh!$A$83,0),Sheet_BaoCaoTaiChinh!$D$83)
+ IFERROR(HLOOKUP(DATE(YEAR(H$2),MONTH(H$2)-1,1),Table_BCTC_Nam[],Sheet_BaoCaoTaiChinh!$A$92,0),Sheet_BaoCaoTaiChinh!$D$92)
+ IFERROR(HLOOKUP(DATE(YEAR(H$2),MONTH(H$2)-1,1),Table_BCTC_Nam[],Sheet_BaoCaoTaiChinh!$A$93,0),Sheet_BaoCaoTaiChinh!$D$93)
+ IFERROR(HLOOKUP(DATE(YEAR(H$2),MONTH(H$2)-1,1),Table_BCTC_Nam[],Sheet_BaoCaoTaiChinh!$A$94,0),Sheet_BaoCaoTaiChinh!$D$94)
)/2))</f>
        <v>0</v>
      </c>
      <c r="I48" s="128">
        <f>I47/(-(I37+I42+I44)+
((
+ IFERROR(HLOOKUP(I$2,Table_BCTC_Thang[],Sheet_BaoCaoTaiChinh!$A$96,0),Sheet_BaoCaoTaiChinh!$D$96)
+ IFERROR(HLOOKUP(I$2,Table_BCTC_Thang[],Sheet_BaoCaoTaiChinh!$A$87,0),Sheet_BaoCaoTaiChinh!$D$87)
+ IFERROR(HLOOKUP(I$2,Table_BCTC_Thang[],Sheet_BaoCaoTaiChinh!$A$81,0),Sheet_BaoCaoTaiChinh!$D$81)
+ IFERROR(HLOOKUP(I$2,Table_BCTC_Thang[],Sheet_BaoCaoTaiChinh!$A$82,0),Sheet_BaoCaoTaiChinh!$D$82)
+ IFERROR(HLOOKUP(I$2,Table_BCTC_Thang[],Sheet_BaoCaoTaiChinh!$A$83,0),Sheet_BaoCaoTaiChinh!$D$83)
+ IFERROR(HLOOKUP(I$2,Table_BCTC_Thang[],Sheet_BaoCaoTaiChinh!$A$92,0),Sheet_BaoCaoTaiChinh!$D$92)
+ IFERROR(HLOOKUP(I$2,Table_BCTC_Thang[],Sheet_BaoCaoTaiChinh!$A$93,0),Sheet_BaoCaoTaiChinh!$D$93)
+ IFERROR(HLOOKUP(I$2,Table_BCTC_Thang[],Sheet_BaoCaoTaiChinh!$A$94,0),Sheet_BaoCaoTaiChinh!$D$94)
+ IFERROR(HLOOKUP(DATE(YEAR(I$2),MONTH(I$2)-1,1),Table_BCTC_Thang[],Sheet_BaoCaoTaiChinh!$A$96,0),Sheet_BaoCaoTaiChinh!$D$96)
+ IFERROR(HLOOKUP(DATE(YEAR(I$2),MONTH(I$2)-1,1),Table_BCTC_Nam[],Sheet_BaoCaoTaiChinh!$A$87,0),Sheet_BaoCaoTaiChinh!$D$87)
+ IFERROR(HLOOKUP(DATE(YEAR(I$2),MONTH(I$2)-1,1),Table_BCTC_Nam[],Sheet_BaoCaoTaiChinh!$A$81,0),Sheet_BaoCaoTaiChinh!$D$81)
+ IFERROR(HLOOKUP(DATE(YEAR(I$2),MONTH(I$2)-1,1),Table_BCTC_Nam[],Sheet_BaoCaoTaiChinh!$A$82,0),Sheet_BaoCaoTaiChinh!$D$82)
+ IFERROR(HLOOKUP(DATE(YEAR(I$2),MONTH(I$2)-1,1),Table_BCTC_Nam[],Sheet_BaoCaoTaiChinh!$A$83,0),Sheet_BaoCaoTaiChinh!$D$83)
+ IFERROR(HLOOKUP(DATE(YEAR(I$2),MONTH(I$2)-1,1),Table_BCTC_Nam[],Sheet_BaoCaoTaiChinh!$A$92,0),Sheet_BaoCaoTaiChinh!$D$92)
+ IFERROR(HLOOKUP(DATE(YEAR(I$2),MONTH(I$2)-1,1),Table_BCTC_Nam[],Sheet_BaoCaoTaiChinh!$A$93,0),Sheet_BaoCaoTaiChinh!$D$93)
+ IFERROR(HLOOKUP(DATE(YEAR(I$2),MONTH(I$2)-1,1),Table_BCTC_Nam[],Sheet_BaoCaoTaiChinh!$A$94,0),Sheet_BaoCaoTaiChinh!$D$94)
)/2))</f>
        <v>0</v>
      </c>
      <c r="J48" s="128">
        <f>J47/(-(J37+J42+J44)+
((
+ IFERROR(HLOOKUP(J$2,Table_BCTC_Thang[],Sheet_BaoCaoTaiChinh!$A$96,0),Sheet_BaoCaoTaiChinh!$D$96)
+ IFERROR(HLOOKUP(J$2,Table_BCTC_Thang[],Sheet_BaoCaoTaiChinh!$A$87,0),Sheet_BaoCaoTaiChinh!$D$87)
+ IFERROR(HLOOKUP(J$2,Table_BCTC_Thang[],Sheet_BaoCaoTaiChinh!$A$81,0),Sheet_BaoCaoTaiChinh!$D$81)
+ IFERROR(HLOOKUP(J$2,Table_BCTC_Thang[],Sheet_BaoCaoTaiChinh!$A$82,0),Sheet_BaoCaoTaiChinh!$D$82)
+ IFERROR(HLOOKUP(J$2,Table_BCTC_Thang[],Sheet_BaoCaoTaiChinh!$A$83,0),Sheet_BaoCaoTaiChinh!$D$83)
+ IFERROR(HLOOKUP(J$2,Table_BCTC_Thang[],Sheet_BaoCaoTaiChinh!$A$92,0),Sheet_BaoCaoTaiChinh!$D$92)
+ IFERROR(HLOOKUP(J$2,Table_BCTC_Thang[],Sheet_BaoCaoTaiChinh!$A$93,0),Sheet_BaoCaoTaiChinh!$D$93)
+ IFERROR(HLOOKUP(J$2,Table_BCTC_Thang[],Sheet_BaoCaoTaiChinh!$A$94,0),Sheet_BaoCaoTaiChinh!$D$94)
+ IFERROR(HLOOKUP(DATE(YEAR(J$2),MONTH(J$2)-1,1),Table_BCTC_Thang[],Sheet_BaoCaoTaiChinh!$A$96,0),Sheet_BaoCaoTaiChinh!$D$96)
+ IFERROR(HLOOKUP(DATE(YEAR(J$2),MONTH(J$2)-1,1),Table_BCTC_Nam[],Sheet_BaoCaoTaiChinh!$A$87,0),Sheet_BaoCaoTaiChinh!$D$87)
+ IFERROR(HLOOKUP(DATE(YEAR(J$2),MONTH(J$2)-1,1),Table_BCTC_Nam[],Sheet_BaoCaoTaiChinh!$A$81,0),Sheet_BaoCaoTaiChinh!$D$81)
+ IFERROR(HLOOKUP(DATE(YEAR(J$2),MONTH(J$2)-1,1),Table_BCTC_Nam[],Sheet_BaoCaoTaiChinh!$A$82,0),Sheet_BaoCaoTaiChinh!$D$82)
+ IFERROR(HLOOKUP(DATE(YEAR(J$2),MONTH(J$2)-1,1),Table_BCTC_Nam[],Sheet_BaoCaoTaiChinh!$A$83,0),Sheet_BaoCaoTaiChinh!$D$83)
+ IFERROR(HLOOKUP(DATE(YEAR(J$2),MONTH(J$2)-1,1),Table_BCTC_Nam[],Sheet_BaoCaoTaiChinh!$A$92,0),Sheet_BaoCaoTaiChinh!$D$92)
+ IFERROR(HLOOKUP(DATE(YEAR(J$2),MONTH(J$2)-1,1),Table_BCTC_Nam[],Sheet_BaoCaoTaiChinh!$A$93,0),Sheet_BaoCaoTaiChinh!$D$93)
+ IFERROR(HLOOKUP(DATE(YEAR(J$2),MONTH(J$2)-1,1),Table_BCTC_Nam[],Sheet_BaoCaoTaiChinh!$A$94,0),Sheet_BaoCaoTaiChinh!$D$94)
)/2))</f>
        <v>0</v>
      </c>
      <c r="K48" s="128">
        <f>K47/(-(K37+K42+K44)+
((
+ IFERROR(HLOOKUP(K$2,Table_BCTC_Thang[],Sheet_BaoCaoTaiChinh!$A$96,0),Sheet_BaoCaoTaiChinh!$D$96)
+ IFERROR(HLOOKUP(K$2,Table_BCTC_Thang[],Sheet_BaoCaoTaiChinh!$A$87,0),Sheet_BaoCaoTaiChinh!$D$87)
+ IFERROR(HLOOKUP(K$2,Table_BCTC_Thang[],Sheet_BaoCaoTaiChinh!$A$81,0),Sheet_BaoCaoTaiChinh!$D$81)
+ IFERROR(HLOOKUP(K$2,Table_BCTC_Thang[],Sheet_BaoCaoTaiChinh!$A$82,0),Sheet_BaoCaoTaiChinh!$D$82)
+ IFERROR(HLOOKUP(K$2,Table_BCTC_Thang[],Sheet_BaoCaoTaiChinh!$A$83,0),Sheet_BaoCaoTaiChinh!$D$83)
+ IFERROR(HLOOKUP(K$2,Table_BCTC_Thang[],Sheet_BaoCaoTaiChinh!$A$92,0),Sheet_BaoCaoTaiChinh!$D$92)
+ IFERROR(HLOOKUP(K$2,Table_BCTC_Thang[],Sheet_BaoCaoTaiChinh!$A$93,0),Sheet_BaoCaoTaiChinh!$D$93)
+ IFERROR(HLOOKUP(K$2,Table_BCTC_Thang[],Sheet_BaoCaoTaiChinh!$A$94,0),Sheet_BaoCaoTaiChinh!$D$94)
+ IFERROR(HLOOKUP(DATE(YEAR(K$2),MONTH(K$2)-1,1),Table_BCTC_Thang[],Sheet_BaoCaoTaiChinh!$A$96,0),Sheet_BaoCaoTaiChinh!$D$96)
+ IFERROR(HLOOKUP(DATE(YEAR(K$2),MONTH(K$2)-1,1),Table_BCTC_Nam[],Sheet_BaoCaoTaiChinh!$A$87,0),Sheet_BaoCaoTaiChinh!$D$87)
+ IFERROR(HLOOKUP(DATE(YEAR(K$2),MONTH(K$2)-1,1),Table_BCTC_Nam[],Sheet_BaoCaoTaiChinh!$A$81,0),Sheet_BaoCaoTaiChinh!$D$81)
+ IFERROR(HLOOKUP(DATE(YEAR(K$2),MONTH(K$2)-1,1),Table_BCTC_Nam[],Sheet_BaoCaoTaiChinh!$A$82,0),Sheet_BaoCaoTaiChinh!$D$82)
+ IFERROR(HLOOKUP(DATE(YEAR(K$2),MONTH(K$2)-1,1),Table_BCTC_Nam[],Sheet_BaoCaoTaiChinh!$A$83,0),Sheet_BaoCaoTaiChinh!$D$83)
+ IFERROR(HLOOKUP(DATE(YEAR(K$2),MONTH(K$2)-1,1),Table_BCTC_Nam[],Sheet_BaoCaoTaiChinh!$A$92,0),Sheet_BaoCaoTaiChinh!$D$92)
+ IFERROR(HLOOKUP(DATE(YEAR(K$2),MONTH(K$2)-1,1),Table_BCTC_Nam[],Sheet_BaoCaoTaiChinh!$A$93,0),Sheet_BaoCaoTaiChinh!$D$93)
+ IFERROR(HLOOKUP(DATE(YEAR(K$2),MONTH(K$2)-1,1),Table_BCTC_Nam[],Sheet_BaoCaoTaiChinh!$A$94,0),Sheet_BaoCaoTaiChinh!$D$94)
)/2))</f>
        <v>0</v>
      </c>
      <c r="L48" s="128">
        <f>L47/(-(L37+L42+L44)+
((
+ IFERROR(HLOOKUP(L$2,Table_BCTC_Thang[],Sheet_BaoCaoTaiChinh!$A$96,0),Sheet_BaoCaoTaiChinh!$D$96)
+ IFERROR(HLOOKUP(L$2,Table_BCTC_Thang[],Sheet_BaoCaoTaiChinh!$A$87,0),Sheet_BaoCaoTaiChinh!$D$87)
+ IFERROR(HLOOKUP(L$2,Table_BCTC_Thang[],Sheet_BaoCaoTaiChinh!$A$81,0),Sheet_BaoCaoTaiChinh!$D$81)
+ IFERROR(HLOOKUP(L$2,Table_BCTC_Thang[],Sheet_BaoCaoTaiChinh!$A$82,0),Sheet_BaoCaoTaiChinh!$D$82)
+ IFERROR(HLOOKUP(L$2,Table_BCTC_Thang[],Sheet_BaoCaoTaiChinh!$A$83,0),Sheet_BaoCaoTaiChinh!$D$83)
+ IFERROR(HLOOKUP(L$2,Table_BCTC_Thang[],Sheet_BaoCaoTaiChinh!$A$92,0),Sheet_BaoCaoTaiChinh!$D$92)
+ IFERROR(HLOOKUP(L$2,Table_BCTC_Thang[],Sheet_BaoCaoTaiChinh!$A$93,0),Sheet_BaoCaoTaiChinh!$D$93)
+ IFERROR(HLOOKUP(L$2,Table_BCTC_Thang[],Sheet_BaoCaoTaiChinh!$A$94,0),Sheet_BaoCaoTaiChinh!$D$94)
+ IFERROR(HLOOKUP(DATE(YEAR(L$2),MONTH(L$2)-1,1),Table_BCTC_Thang[],Sheet_BaoCaoTaiChinh!$A$96,0),Sheet_BaoCaoTaiChinh!$D$96)
+ IFERROR(HLOOKUP(DATE(YEAR(L$2),MONTH(L$2)-1,1),Table_BCTC_Nam[],Sheet_BaoCaoTaiChinh!$A$87,0),Sheet_BaoCaoTaiChinh!$D$87)
+ IFERROR(HLOOKUP(DATE(YEAR(L$2),MONTH(L$2)-1,1),Table_BCTC_Nam[],Sheet_BaoCaoTaiChinh!$A$81,0),Sheet_BaoCaoTaiChinh!$D$81)
+ IFERROR(HLOOKUP(DATE(YEAR(L$2),MONTH(L$2)-1,1),Table_BCTC_Nam[],Sheet_BaoCaoTaiChinh!$A$82,0),Sheet_BaoCaoTaiChinh!$D$82)
+ IFERROR(HLOOKUP(DATE(YEAR(L$2),MONTH(L$2)-1,1),Table_BCTC_Nam[],Sheet_BaoCaoTaiChinh!$A$83,0),Sheet_BaoCaoTaiChinh!$D$83)
+ IFERROR(HLOOKUP(DATE(YEAR(L$2),MONTH(L$2)-1,1),Table_BCTC_Nam[],Sheet_BaoCaoTaiChinh!$A$92,0),Sheet_BaoCaoTaiChinh!$D$92)
+ IFERROR(HLOOKUP(DATE(YEAR(L$2),MONTH(L$2)-1,1),Table_BCTC_Nam[],Sheet_BaoCaoTaiChinh!$A$93,0),Sheet_BaoCaoTaiChinh!$D$93)
+ IFERROR(HLOOKUP(DATE(YEAR(L$2),MONTH(L$2)-1,1),Table_BCTC_Nam[],Sheet_BaoCaoTaiChinh!$A$94,0),Sheet_BaoCaoTaiChinh!$D$94)
)/2))</f>
        <v>0</v>
      </c>
      <c r="M48" s="128">
        <f>M47/(-(M37+M42+M44)+
((
+ IFERROR(HLOOKUP(M$2,Table_BCTC_Thang[],Sheet_BaoCaoTaiChinh!$A$96,0),Sheet_BaoCaoTaiChinh!$D$96)
+ IFERROR(HLOOKUP(M$2,Table_BCTC_Thang[],Sheet_BaoCaoTaiChinh!$A$87,0),Sheet_BaoCaoTaiChinh!$D$87)
+ IFERROR(HLOOKUP(M$2,Table_BCTC_Thang[],Sheet_BaoCaoTaiChinh!$A$81,0),Sheet_BaoCaoTaiChinh!$D$81)
+ IFERROR(HLOOKUP(M$2,Table_BCTC_Thang[],Sheet_BaoCaoTaiChinh!$A$82,0),Sheet_BaoCaoTaiChinh!$D$82)
+ IFERROR(HLOOKUP(M$2,Table_BCTC_Thang[],Sheet_BaoCaoTaiChinh!$A$83,0),Sheet_BaoCaoTaiChinh!$D$83)
+ IFERROR(HLOOKUP(M$2,Table_BCTC_Thang[],Sheet_BaoCaoTaiChinh!$A$92,0),Sheet_BaoCaoTaiChinh!$D$92)
+ IFERROR(HLOOKUP(M$2,Table_BCTC_Thang[],Sheet_BaoCaoTaiChinh!$A$93,0),Sheet_BaoCaoTaiChinh!$D$93)
+ IFERROR(HLOOKUP(M$2,Table_BCTC_Thang[],Sheet_BaoCaoTaiChinh!$A$94,0),Sheet_BaoCaoTaiChinh!$D$94)
+ IFERROR(HLOOKUP(DATE(YEAR(M$2),MONTH(M$2)-1,1),Table_BCTC_Thang[],Sheet_BaoCaoTaiChinh!$A$96,0),Sheet_BaoCaoTaiChinh!$D$96)
+ IFERROR(HLOOKUP(DATE(YEAR(M$2),MONTH(M$2)-1,1),Table_BCTC_Nam[],Sheet_BaoCaoTaiChinh!$A$87,0),Sheet_BaoCaoTaiChinh!$D$87)
+ IFERROR(HLOOKUP(DATE(YEAR(M$2),MONTH(M$2)-1,1),Table_BCTC_Nam[],Sheet_BaoCaoTaiChinh!$A$81,0),Sheet_BaoCaoTaiChinh!$D$81)
+ IFERROR(HLOOKUP(DATE(YEAR(M$2),MONTH(M$2)-1,1),Table_BCTC_Nam[],Sheet_BaoCaoTaiChinh!$A$82,0),Sheet_BaoCaoTaiChinh!$D$82)
+ IFERROR(HLOOKUP(DATE(YEAR(M$2),MONTH(M$2)-1,1),Table_BCTC_Nam[],Sheet_BaoCaoTaiChinh!$A$83,0),Sheet_BaoCaoTaiChinh!$D$83)
+ IFERROR(HLOOKUP(DATE(YEAR(M$2),MONTH(M$2)-1,1),Table_BCTC_Nam[],Sheet_BaoCaoTaiChinh!$A$92,0),Sheet_BaoCaoTaiChinh!$D$92)
+ IFERROR(HLOOKUP(DATE(YEAR(M$2),MONTH(M$2)-1,1),Table_BCTC_Nam[],Sheet_BaoCaoTaiChinh!$A$93,0),Sheet_BaoCaoTaiChinh!$D$93)
+ IFERROR(HLOOKUP(DATE(YEAR(M$2),MONTH(M$2)-1,1),Table_BCTC_Nam[],Sheet_BaoCaoTaiChinh!$A$94,0),Sheet_BaoCaoTaiChinh!$D$94)
)/2))</f>
        <v>0</v>
      </c>
      <c r="N48" s="128">
        <f>N47/(-(N37+N42+N44)+
((
+ IFERROR(HLOOKUP(N$2,Table_BCTC_Thang[],Sheet_BaoCaoTaiChinh!$A$96,0),Sheet_BaoCaoTaiChinh!$D$96)
+ IFERROR(HLOOKUP(N$2,Table_BCTC_Thang[],Sheet_BaoCaoTaiChinh!$A$87,0),Sheet_BaoCaoTaiChinh!$D$87)
+ IFERROR(HLOOKUP(N$2,Table_BCTC_Thang[],Sheet_BaoCaoTaiChinh!$A$81,0),Sheet_BaoCaoTaiChinh!$D$81)
+ IFERROR(HLOOKUP(N$2,Table_BCTC_Thang[],Sheet_BaoCaoTaiChinh!$A$82,0),Sheet_BaoCaoTaiChinh!$D$82)
+ IFERROR(HLOOKUP(N$2,Table_BCTC_Thang[],Sheet_BaoCaoTaiChinh!$A$83,0),Sheet_BaoCaoTaiChinh!$D$83)
+ IFERROR(HLOOKUP(N$2,Table_BCTC_Thang[],Sheet_BaoCaoTaiChinh!$A$92,0),Sheet_BaoCaoTaiChinh!$D$92)
+ IFERROR(HLOOKUP(N$2,Table_BCTC_Thang[],Sheet_BaoCaoTaiChinh!$A$93,0),Sheet_BaoCaoTaiChinh!$D$93)
+ IFERROR(HLOOKUP(N$2,Table_BCTC_Thang[],Sheet_BaoCaoTaiChinh!$A$94,0),Sheet_BaoCaoTaiChinh!$D$94)
+ IFERROR(HLOOKUP(DATE(YEAR(N$2),MONTH(N$2)-1,1),Table_BCTC_Thang[],Sheet_BaoCaoTaiChinh!$A$96,0),Sheet_BaoCaoTaiChinh!$D$96)
+ IFERROR(HLOOKUP(DATE(YEAR(N$2),MONTH(N$2)-1,1),Table_BCTC_Nam[],Sheet_BaoCaoTaiChinh!$A$87,0),Sheet_BaoCaoTaiChinh!$D$87)
+ IFERROR(HLOOKUP(DATE(YEAR(N$2),MONTH(N$2)-1,1),Table_BCTC_Nam[],Sheet_BaoCaoTaiChinh!$A$81,0),Sheet_BaoCaoTaiChinh!$D$81)
+ IFERROR(HLOOKUP(DATE(YEAR(N$2),MONTH(N$2)-1,1),Table_BCTC_Nam[],Sheet_BaoCaoTaiChinh!$A$82,0),Sheet_BaoCaoTaiChinh!$D$82)
+ IFERROR(HLOOKUP(DATE(YEAR(N$2),MONTH(N$2)-1,1),Table_BCTC_Nam[],Sheet_BaoCaoTaiChinh!$A$83,0),Sheet_BaoCaoTaiChinh!$D$83)
+ IFERROR(HLOOKUP(DATE(YEAR(N$2),MONTH(N$2)-1,1),Table_BCTC_Nam[],Sheet_BaoCaoTaiChinh!$A$92,0),Sheet_BaoCaoTaiChinh!$D$92)
+ IFERROR(HLOOKUP(DATE(YEAR(N$2),MONTH(N$2)-1,1),Table_BCTC_Nam[],Sheet_BaoCaoTaiChinh!$A$93,0),Sheet_BaoCaoTaiChinh!$D$93)
+ IFERROR(HLOOKUP(DATE(YEAR(N$2),MONTH(N$2)-1,1),Table_BCTC_Nam[],Sheet_BaoCaoTaiChinh!$A$94,0),Sheet_BaoCaoTaiChinh!$D$94)
)/2))</f>
        <v>0</v>
      </c>
      <c r="O48" s="128">
        <f>O47/(-(O37+O42+O44)+
((
+ IFERROR(HLOOKUP(O$2,Table_BCTC_Thang[],Sheet_BaoCaoTaiChinh!$A$96,0),Sheet_BaoCaoTaiChinh!$D$96)
+ IFERROR(HLOOKUP(O$2,Table_BCTC_Thang[],Sheet_BaoCaoTaiChinh!$A$87,0),Sheet_BaoCaoTaiChinh!$D$87)
+ IFERROR(HLOOKUP(O$2,Table_BCTC_Thang[],Sheet_BaoCaoTaiChinh!$A$81,0),Sheet_BaoCaoTaiChinh!$D$81)
+ IFERROR(HLOOKUP(O$2,Table_BCTC_Thang[],Sheet_BaoCaoTaiChinh!$A$82,0),Sheet_BaoCaoTaiChinh!$D$82)
+ IFERROR(HLOOKUP(O$2,Table_BCTC_Thang[],Sheet_BaoCaoTaiChinh!$A$83,0),Sheet_BaoCaoTaiChinh!$D$83)
+ IFERROR(HLOOKUP(O$2,Table_BCTC_Thang[],Sheet_BaoCaoTaiChinh!$A$92,0),Sheet_BaoCaoTaiChinh!$D$92)
+ IFERROR(HLOOKUP(O$2,Table_BCTC_Thang[],Sheet_BaoCaoTaiChinh!$A$93,0),Sheet_BaoCaoTaiChinh!$D$93)
+ IFERROR(HLOOKUP(O$2,Table_BCTC_Thang[],Sheet_BaoCaoTaiChinh!$A$94,0),Sheet_BaoCaoTaiChinh!$D$94)
+ IFERROR(HLOOKUP(DATE(YEAR(O$2),MONTH(O$2)-1,1),Table_BCTC_Thang[],Sheet_BaoCaoTaiChinh!$A$96,0),Sheet_BaoCaoTaiChinh!$D$96)
+ IFERROR(HLOOKUP(DATE(YEAR(O$2),MONTH(O$2)-1,1),Table_BCTC_Nam[],Sheet_BaoCaoTaiChinh!$A$87,0),Sheet_BaoCaoTaiChinh!$D$87)
+ IFERROR(HLOOKUP(DATE(YEAR(O$2),MONTH(O$2)-1,1),Table_BCTC_Nam[],Sheet_BaoCaoTaiChinh!$A$81,0),Sheet_BaoCaoTaiChinh!$D$81)
+ IFERROR(HLOOKUP(DATE(YEAR(O$2),MONTH(O$2)-1,1),Table_BCTC_Nam[],Sheet_BaoCaoTaiChinh!$A$82,0),Sheet_BaoCaoTaiChinh!$D$82)
+ IFERROR(HLOOKUP(DATE(YEAR(O$2),MONTH(O$2)-1,1),Table_BCTC_Nam[],Sheet_BaoCaoTaiChinh!$A$83,0),Sheet_BaoCaoTaiChinh!$D$83)
+ IFERROR(HLOOKUP(DATE(YEAR(O$2),MONTH(O$2)-1,1),Table_BCTC_Nam[],Sheet_BaoCaoTaiChinh!$A$92,0),Sheet_BaoCaoTaiChinh!$D$92)
+ IFERROR(HLOOKUP(DATE(YEAR(O$2),MONTH(O$2)-1,1),Table_BCTC_Nam[],Sheet_BaoCaoTaiChinh!$A$93,0),Sheet_BaoCaoTaiChinh!$D$93)
+ IFERROR(HLOOKUP(DATE(YEAR(O$2),MONTH(O$2)-1,1),Table_BCTC_Nam[],Sheet_BaoCaoTaiChinh!$A$94,0),Sheet_BaoCaoTaiChinh!$D$94)
)/2))</f>
        <v>0</v>
      </c>
      <c r="P48" s="326"/>
      <c r="Q48" s="242"/>
      <c r="R48" s="87" t="s">
        <v>114</v>
      </c>
      <c r="S48" s="128">
        <f>S47/(-(S37+S42+S44)+
(
+ IFERROR(HLOOKUP(S$1,Table_BCTC_Nam[],Sheet_BaoCaoTaiChinh!$A$96,0),Sheet_BaoCaoTaiChinh!$D$96)
+ IFERROR(HLOOKUP(S$1,Table_BCTC_Nam[],Sheet_BaoCaoTaiChinh!$A$87,0),Sheet_BaoCaoTaiChinh!$D$87)
+ IFERROR(HLOOKUP(S$1,Table_BCTC_Nam[],Sheet_BaoCaoTaiChinh!$A$81,0),Sheet_BaoCaoTaiChinh!$D$81)
+ IFERROR(HLOOKUP(S$1,Table_BCTC_Nam[],Sheet_BaoCaoTaiChinh!$A$82,0),Sheet_BaoCaoTaiChinh!$D$82)
+ IFERROR(HLOOKUP(S$1,Table_BCTC_Nam[],Sheet_BaoCaoTaiChinh!$A$83,0),Sheet_BaoCaoTaiChinh!$D$83)
+ IFERROR(HLOOKUP(S$1,Table_BCTC_Nam[],Sheet_BaoCaoTaiChinh!$A$92,0),Sheet_BaoCaoTaiChinh!$D$92)
+ IFERROR(HLOOKUP(S$1,Table_BCTC_Nam[],Sheet_BaoCaoTaiChinh!$A$93,0),Sheet_BaoCaoTaiChinh!$D$93)
+ IFERROR(HLOOKUP(S$1,Table_BCTC_Nam[],Sheet_BaoCaoTaiChinh!$A$94,0),Sheet_BaoCaoTaiChinh!$D$94)
+ IFERROR(HLOOKUP(S$1-1,Table_BCTC_Nam[],Sheet_BaoCaoTaiChinh!$A$96,0),Sheet_BaoCaoTaiChinh!$D$96)
+ IFERROR(HLOOKUP(S$1-1,Table_BCTC_Nam[],Sheet_BaoCaoTaiChinh!$A$87,0),Sheet_BaoCaoTaiChinh!$D$87)
+ IFERROR(HLOOKUP(S$1-1,Table_BCTC_Nam[],Sheet_BaoCaoTaiChinh!$A$81,0),Sheet_BaoCaoTaiChinh!$D$81)
+ IFERROR(HLOOKUP(S$1-1,Table_BCTC_Nam[],Sheet_BaoCaoTaiChinh!$A$82,0),Sheet_BaoCaoTaiChinh!$D$82)
+ IFERROR(HLOOKUP(S$1-1,Table_BCTC_Nam[],Sheet_BaoCaoTaiChinh!$A$83,0),Sheet_BaoCaoTaiChinh!$D$83)
+ IFERROR(HLOOKUP(S$1-1,Table_BCTC_Nam[],Sheet_BaoCaoTaiChinh!$A$92,0),Sheet_BaoCaoTaiChinh!$D$92)
+ IFERROR(HLOOKUP(S$1-1,Table_BCTC_Nam[],Sheet_BaoCaoTaiChinh!$A$93,0),Sheet_BaoCaoTaiChinh!$D$93)
+ IFERROR(HLOOKUP(S$1-1,Table_BCTC_Nam[],Sheet_BaoCaoTaiChinh!$A$94,0),Sheet_BaoCaoTaiChinh!$D$94)
)/2)</f>
        <v>0</v>
      </c>
      <c r="T48" s="242"/>
      <c r="U48" s="87" t="s">
        <v>114</v>
      </c>
      <c r="V48" s="128">
        <f>V47/(-(V37+V42+V44)+
((
+ IFERROR(HLOOKUP(V$1,Table_BCTC_Thang[],Sheet_BaoCaoTaiChinh!$A$96,0),Sheet_BaoCaoTaiChinh!$D$96)
+ IFERROR(HLOOKUP(V$1,Table_BCTC_Thang[],Sheet_BaoCaoTaiChinh!$A$87,0),Sheet_BaoCaoTaiChinh!$D$87)
+ IFERROR(HLOOKUP(V$1,Table_BCTC_Thang[],Sheet_BaoCaoTaiChinh!$A$81,0),Sheet_BaoCaoTaiChinh!$D$81)
+ IFERROR(HLOOKUP(V$1,Table_BCTC_Thang[],Sheet_BaoCaoTaiChinh!$A$82,0),Sheet_BaoCaoTaiChinh!$D$82)
+ IFERROR(HLOOKUP(V$1,Table_BCTC_Thang[],Sheet_BaoCaoTaiChinh!$A$83,0),Sheet_BaoCaoTaiChinh!$D$83)
+ IFERROR(HLOOKUP(V$1,Table_BCTC_Thang[],Sheet_BaoCaoTaiChinh!$A$92,0),Sheet_BaoCaoTaiChinh!$D$92)
+ IFERROR(HLOOKUP(V$1,Table_BCTC_Thang[],Sheet_BaoCaoTaiChinh!$A$93,0),Sheet_BaoCaoTaiChinh!$D$93)
+ IFERROR(HLOOKUP(V$1,Table_BCTC_Thang[],Sheet_BaoCaoTaiChinh!$A$94,0),Sheet_BaoCaoTaiChinh!$D$94)
+ IFERROR(HLOOKUP(DATE(YEAR(V$1),MONTH(V$1)-1,1),Table_BCTC_Thang[],Sheet_BaoCaoTaiChinh!$A$96,0),Sheet_BaoCaoTaiChinh!$D$96)
+ IFERROR(HLOOKUP(DATE(YEAR(V$1),MONTH(V$1)-1,1),Table_BCTC_Nam[],Sheet_BaoCaoTaiChinh!$A$87,0),Sheet_BaoCaoTaiChinh!$D$87)
+ IFERROR(HLOOKUP(DATE(YEAR(V$1),MONTH(V$1)-1,1),Table_BCTC_Nam[],Sheet_BaoCaoTaiChinh!$A$81,0),Sheet_BaoCaoTaiChinh!$D$81)
+ IFERROR(HLOOKUP(DATE(YEAR(V$1),MONTH(V$1)-1,1),Table_BCTC_Nam[],Sheet_BaoCaoTaiChinh!$A$82,0),Sheet_BaoCaoTaiChinh!$D$82)
+ IFERROR(HLOOKUP(DATE(YEAR(V$1),MONTH(V$1)-1,1),Table_BCTC_Nam[],Sheet_BaoCaoTaiChinh!$A$83,0),Sheet_BaoCaoTaiChinh!$D$83)
+ IFERROR(HLOOKUP(DATE(YEAR(V$1),MONTH(V$1)-1,1),Table_BCTC_Nam[],Sheet_BaoCaoTaiChinh!$A$92,0),Sheet_BaoCaoTaiChinh!$D$92)
+ IFERROR(HLOOKUP(DATE(YEAR(V$1),MONTH(V$1)-1,1),Table_BCTC_Nam[],Sheet_BaoCaoTaiChinh!$A$93,0),Sheet_BaoCaoTaiChinh!$D$93)
+ IFERROR(HLOOKUP(DATE(YEAR(V$1),MONTH(V$1)-1,1),Table_BCTC_Nam[],Sheet_BaoCaoTaiChinh!$A$94,0),Sheet_BaoCaoTaiChinh!$D$94)
)/2))</f>
        <v>0</v>
      </c>
    </row>
    <row r="49" spans="2:22" ht="18" customHeight="1" outlineLevel="1" x14ac:dyDescent="0.3">
      <c r="B49" s="74" t="s">
        <v>315</v>
      </c>
      <c r="C49" s="328" cm="1">
        <f t="array" ref="C49">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+C47+SUM(C45:C46)</f>
        <v>0</v>
      </c>
      <c r="D49" s="328" cm="1">
        <f t="array" ref="D49">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+SUM($D$47:D47)+SUM($D$45:D46)</f>
        <v>0</v>
      </c>
      <c r="E49" s="328" cm="1">
        <f t="array" ref="E49">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+SUM($D$47:E47)+SUM($D$45:E46)</f>
        <v>0</v>
      </c>
      <c r="F49" s="328" cm="1">
        <f t="array" ref="F49">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+SUM($D$47:F47)+SUM($D$45:F46)</f>
        <v>0</v>
      </c>
      <c r="G49" s="328" cm="1">
        <f t="array" ref="G49">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+SUM($D$47:G47)+SUM($D$45:G46)</f>
        <v>0</v>
      </c>
      <c r="H49" s="328" cm="1">
        <f t="array" ref="H49">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+SUM($D$47:H47)+SUM($D$45:H46)</f>
        <v>0</v>
      </c>
      <c r="I49" s="328" cm="1">
        <f t="array" ref="I49">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+SUM($D$47:I47)+SUM($D$45:I46)</f>
        <v>0</v>
      </c>
      <c r="J49" s="328" cm="1">
        <f t="array" ref="J49">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+SUM($D$47:J47)+SUM($D$45:J46)</f>
        <v>0</v>
      </c>
      <c r="K49" s="328" cm="1">
        <f t="array" ref="K49">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+SUM($D$47:K47)+SUM($D$45:K46)</f>
        <v>0</v>
      </c>
      <c r="L49" s="328" cm="1">
        <f t="array" ref="L49">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+SUM($D$47:L47)+SUM($D$45:L46)</f>
        <v>0</v>
      </c>
      <c r="M49" s="328" cm="1">
        <f t="array" ref="M49">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+SUM($D$47:M47)+SUM($D$45:M46)</f>
        <v>0</v>
      </c>
      <c r="N49" s="328" cm="1">
        <f t="array" ref="N49">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+SUM($D$47:N47)+SUM($D$45:N46)</f>
        <v>0</v>
      </c>
      <c r="O49" s="328" cm="1">
        <f t="array" ref="O49">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+SUM($D$47:O47)+SUM($D$45:O46)</f>
        <v>0</v>
      </c>
      <c r="P49" s="327"/>
      <c r="Q49" s="242"/>
      <c r="R49" s="74" t="s">
        <v>315</v>
      </c>
      <c r="S49" s="328" cm="1">
        <f t="array" ref="S49">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
+S47+SUM(S45:S46)</f>
        <v>0</v>
      </c>
      <c r="T49" s="242"/>
      <c r="U49" s="74" t="s">
        <v>315</v>
      </c>
      <c r="V49" s="328" cm="1">
        <f t="array" ref="V49">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+V47+SUM(V45:V46)</f>
        <v>0</v>
      </c>
    </row>
    <row r="50" spans="2:22" ht="18" customHeight="1" outlineLevel="2" x14ac:dyDescent="0.3">
      <c r="B50" s="73" t="s">
        <v>316</v>
      </c>
      <c r="C50" s="331" cm="1">
        <f t="array" ref="C50" xml:space="preserve">
IFERROR(SUM(_xlfn._xlws.FILTER(Table_ThuChiTC[Giá trị GD],
(Table_ThuChiTC[Loại GD]="THU")*
(Table_ThuChiTC[Nội dung GD]="Tiền thu lãi cho vay, cổ tức, lợi nhuận được chia")*
(YEAR(Table_ThuChiTC[Ngày GD])=C2)
)),0)
-IFERROR(SUM(_xlfn._xlws.FILTER(Table_ThuChiTC[Giá trị GD],
(Table_ThuChiTC[Loại GD]="CHI")*
(Table_ThuChiTC[Nội dung GD]="Tiền thu lãi cho vay, cổ tức, lợi nhuận được chia")*
(YEAR(Table_ThuChiTC[Ngày GD])=C2)
)),0)</f>
        <v>0</v>
      </c>
      <c r="D50" s="337" cm="1">
        <f t="array" ref="D50" xml:space="preserve">
IFERROR(SUM(_xlfn._xlws.FILTER(Table_ThuChiTC[Giá trị GD],
(Table_ThuChiTC[Loại GD]="THU")*
(Table_ThuChiTC[Nội dung GD]="Tiền thu lãi cho vay, cổ tức, lợi nhuận được chia")*
(Table_ThuChiTC[Ngày GD]&gt;=D2)*
(Table_ThuChiTC[Ngày GD]&lt;E2)
)),0)
-IFERROR(SUM(_xlfn._xlws.FILTER(Table_ThuChiTC[Giá trị GD],
(Table_ThuChiTC[Loại GD]="CHI")*
(Table_ThuChiTC[Nội dung GD]="Tiền thu lãi cho vay, cổ tức, lợi nhuận được chia")*
(Table_ThuChiTC[Ngày GD]&gt;=D2)*
(Table_ThuChiTC[Ngày GD]&lt;E2)
)),0)</f>
        <v>0</v>
      </c>
      <c r="E50" s="337" cm="1">
        <f t="array" ref="E50" xml:space="preserve">
IFERROR(SUM(_xlfn._xlws.FILTER(Table_ThuChiTC[Giá trị GD],
(Table_ThuChiTC[Loại GD]="THU")*
(Table_ThuChiTC[Nội dung GD]="Tiền thu lãi cho vay, cổ tức, lợi nhuận được chia")*
(Table_ThuChiTC[Ngày GD]&gt;=E2)*
(Table_ThuChiTC[Ngày GD]&lt;F2)
)),0)
-IFERROR(SUM(_xlfn._xlws.FILTER(Table_ThuChiTC[Giá trị GD],
(Table_ThuChiTC[Loại GD]="CHI")*
(Table_ThuChiTC[Nội dung GD]="Tiền thu lãi cho vay, cổ tức, lợi nhuận được chia")*
(Table_ThuChiTC[Ngày GD]&gt;=E2)*
(Table_ThuChiTC[Ngày GD]&lt;F2)
)),0)</f>
        <v>0</v>
      </c>
      <c r="F50" s="337" cm="1">
        <f t="array" ref="F50" xml:space="preserve">
IFERROR(SUM(_xlfn._xlws.FILTER(Table_ThuChiTC[Giá trị GD],
(Table_ThuChiTC[Loại GD]="THU")*
(Table_ThuChiTC[Nội dung GD]="Tiền thu lãi cho vay, cổ tức, lợi nhuận được chia")*
(Table_ThuChiTC[Ngày GD]&gt;=F2)*
(Table_ThuChiTC[Ngày GD]&lt;G2)
)),0)
-IFERROR(SUM(_xlfn._xlws.FILTER(Table_ThuChiTC[Giá trị GD],
(Table_ThuChiTC[Loại GD]="CHI")*
(Table_ThuChiTC[Nội dung GD]="Tiền thu lãi cho vay, cổ tức, lợi nhuận được chia")*
(Table_ThuChiTC[Ngày GD]&gt;=F2)*
(Table_ThuChiTC[Ngày GD]&lt;G2)
)),0)</f>
        <v>0</v>
      </c>
      <c r="G50" s="337" cm="1">
        <f t="array" ref="G50" xml:space="preserve">
IFERROR(SUM(_xlfn._xlws.FILTER(Table_ThuChiTC[Giá trị GD],
(Table_ThuChiTC[Loại GD]="THU")*
(Table_ThuChiTC[Nội dung GD]="Tiền thu lãi cho vay, cổ tức, lợi nhuận được chia")*
(Table_ThuChiTC[Ngày GD]&gt;=G2)*
(Table_ThuChiTC[Ngày GD]&lt;H2)
)),0)
-IFERROR(SUM(_xlfn._xlws.FILTER(Table_ThuChiTC[Giá trị GD],
(Table_ThuChiTC[Loại GD]="CHI")*
(Table_ThuChiTC[Nội dung GD]="Tiền thu lãi cho vay, cổ tức, lợi nhuận được chia")*
(Table_ThuChiTC[Ngày GD]&gt;=G2)*
(Table_ThuChiTC[Ngày GD]&lt;H2)
)),0)</f>
        <v>0</v>
      </c>
      <c r="H50" s="337" cm="1">
        <f t="array" ref="H50" xml:space="preserve">
IFERROR(SUM(_xlfn._xlws.FILTER(Table_ThuChiTC[Giá trị GD],
(Table_ThuChiTC[Loại GD]="THU")*
(Table_ThuChiTC[Nội dung GD]="Tiền thu lãi cho vay, cổ tức, lợi nhuận được chia")*
(Table_ThuChiTC[Ngày GD]&gt;=H2)*
(Table_ThuChiTC[Ngày GD]&lt;I2)
)),0)
-IFERROR(SUM(_xlfn._xlws.FILTER(Table_ThuChiTC[Giá trị GD],
(Table_ThuChiTC[Loại GD]="CHI")*
(Table_ThuChiTC[Nội dung GD]="Tiền thu lãi cho vay, cổ tức, lợi nhuận được chia")*
(Table_ThuChiTC[Ngày GD]&gt;=H2)*
(Table_ThuChiTC[Ngày GD]&lt;I2)
)),0)</f>
        <v>0</v>
      </c>
      <c r="I50" s="337" cm="1">
        <f t="array" ref="I50" xml:space="preserve">
IFERROR(SUM(_xlfn._xlws.FILTER(Table_ThuChiTC[Giá trị GD],
(Table_ThuChiTC[Loại GD]="THU")*
(Table_ThuChiTC[Nội dung GD]="Tiền thu lãi cho vay, cổ tức, lợi nhuận được chia")*
(Table_ThuChiTC[Ngày GD]&gt;=I2)*
(Table_ThuChiTC[Ngày GD]&lt;J2)
)),0)
-IFERROR(SUM(_xlfn._xlws.FILTER(Table_ThuChiTC[Giá trị GD],
(Table_ThuChiTC[Loại GD]="CHI")*
(Table_ThuChiTC[Nội dung GD]="Tiền thu lãi cho vay, cổ tức, lợi nhuận được chia")*
(Table_ThuChiTC[Ngày GD]&gt;=I2)*
(Table_ThuChiTC[Ngày GD]&lt;J2)
)),0)</f>
        <v>0</v>
      </c>
      <c r="J50" s="337" cm="1">
        <f t="array" ref="J50" xml:space="preserve">
IFERROR(SUM(_xlfn._xlws.FILTER(Table_ThuChiTC[Giá trị GD],
(Table_ThuChiTC[Loại GD]="THU")*
(Table_ThuChiTC[Nội dung GD]="Tiền thu lãi cho vay, cổ tức, lợi nhuận được chia")*
(Table_ThuChiTC[Ngày GD]&gt;=J2)*
(Table_ThuChiTC[Ngày GD]&lt;K2)
)),0)
-IFERROR(SUM(_xlfn._xlws.FILTER(Table_ThuChiTC[Giá trị GD],
(Table_ThuChiTC[Loại GD]="CHI")*
(Table_ThuChiTC[Nội dung GD]="Tiền thu lãi cho vay, cổ tức, lợi nhuận được chia")*
(Table_ThuChiTC[Ngày GD]&gt;=J2)*
(Table_ThuChiTC[Ngày GD]&lt;K2)
)),0)</f>
        <v>0</v>
      </c>
      <c r="K50" s="337" cm="1">
        <f t="array" ref="K50" xml:space="preserve">
IFERROR(SUM(_xlfn._xlws.FILTER(Table_ThuChiTC[Giá trị GD],
(Table_ThuChiTC[Loại GD]="THU")*
(Table_ThuChiTC[Nội dung GD]="Tiền thu lãi cho vay, cổ tức, lợi nhuận được chia")*
(Table_ThuChiTC[Ngày GD]&gt;=K2)*
(Table_ThuChiTC[Ngày GD]&lt;L2)
)),0)
-IFERROR(SUM(_xlfn._xlws.FILTER(Table_ThuChiTC[Giá trị GD],
(Table_ThuChiTC[Loại GD]="CHI")*
(Table_ThuChiTC[Nội dung GD]="Tiền thu lãi cho vay, cổ tức, lợi nhuận được chia")*
(Table_ThuChiTC[Ngày GD]&gt;=K2)*
(Table_ThuChiTC[Ngày GD]&lt;L2)
)),0)</f>
        <v>0</v>
      </c>
      <c r="L50" s="337" cm="1">
        <f t="array" ref="L50" xml:space="preserve">
IFERROR(SUM(_xlfn._xlws.FILTER(Table_ThuChiTC[Giá trị GD],
(Table_ThuChiTC[Loại GD]="THU")*
(Table_ThuChiTC[Nội dung GD]="Tiền thu lãi cho vay, cổ tức, lợi nhuận được chia")*
(Table_ThuChiTC[Ngày GD]&gt;=L2)*
(Table_ThuChiTC[Ngày GD]&lt;M2)
)),0)
-IFERROR(SUM(_xlfn._xlws.FILTER(Table_ThuChiTC[Giá trị GD],
(Table_ThuChiTC[Loại GD]="CHI")*
(Table_ThuChiTC[Nội dung GD]="Tiền thu lãi cho vay, cổ tức, lợi nhuận được chia")*
(Table_ThuChiTC[Ngày GD]&gt;=L2)*
(Table_ThuChiTC[Ngày GD]&lt;M2)
)),0)</f>
        <v>0</v>
      </c>
      <c r="M50" s="337" cm="1">
        <f t="array" ref="M50" xml:space="preserve">
IFERROR(SUM(_xlfn._xlws.FILTER(Table_ThuChiTC[Giá trị GD],
(Table_ThuChiTC[Loại GD]="THU")*
(Table_ThuChiTC[Nội dung GD]="Tiền thu lãi cho vay, cổ tức, lợi nhuận được chia")*
(Table_ThuChiTC[Ngày GD]&gt;=M2)*
(Table_ThuChiTC[Ngày GD]&lt;N2)
)),0)
-IFERROR(SUM(_xlfn._xlws.FILTER(Table_ThuChiTC[Giá trị GD],
(Table_ThuChiTC[Loại GD]="CHI")*
(Table_ThuChiTC[Nội dung GD]="Tiền thu lãi cho vay, cổ tức, lợi nhuận được chia")*
(Table_ThuChiTC[Ngày GD]&gt;=M2)*
(Table_ThuChiTC[Ngày GD]&lt;N2)
)),0)</f>
        <v>0</v>
      </c>
      <c r="N50" s="337" cm="1">
        <f t="array" ref="N50" xml:space="preserve">
IFERROR(SUM(_xlfn._xlws.FILTER(Table_ThuChiTC[Giá trị GD],
(Table_ThuChiTC[Loại GD]="THU")*
(Table_ThuChiTC[Nội dung GD]="Tiền thu lãi cho vay, cổ tức, lợi nhuận được chia")*
(Table_ThuChiTC[Ngày GD]&gt;=N2)*
(Table_ThuChiTC[Ngày GD]&lt;O2)
)),0)
-IFERROR(SUM(_xlfn._xlws.FILTER(Table_ThuChiTC[Giá trị GD],
(Table_ThuChiTC[Loại GD]="CHI")*
(Table_ThuChiTC[Nội dung GD]="Tiền thu lãi cho vay, cổ tức, lợi nhuận được chia")*
(Table_ThuChiTC[Ngày GD]&gt;=N2)*
(Table_ThuChiTC[Ngày GD]&lt;O2)
)),0)</f>
        <v>0</v>
      </c>
      <c r="O50" s="337" cm="1">
        <f t="array" ref="O50" xml:space="preserve">
IFERROR(SUM(_xlfn._xlws.FILTER(Table_ThuChiTC[Giá trị GD],
(Table_ThuChiTC[Loại GD]="THU")*
(Table_ThuChiTC[Nội dung GD]="Tiền thu lãi cho vay, cổ tức, lợi nhuận được chia")*
(Table_ThuChiTC[Ngày GD]&gt;=O2)*
(Table_ThuChiTC[Ngày GD]&lt;P2)
)),0)
-IFERROR(SUM(_xlfn._xlws.FILTER(Table_ThuChiTC[Giá trị GD],
(Table_ThuChiTC[Loại GD]="CHI")*
(Table_ThuChiTC[Nội dung GD]="Tiền thu lãi cho vay, cổ tức, lợi nhuận được chia")*
(Table_ThuChiTC[Ngày GD]&gt;=O2)*
(Table_ThuChiTC[Ngày GD]&lt;P2)
)),0)</f>
        <v>0</v>
      </c>
      <c r="P50" s="326"/>
      <c r="Q50" s="242"/>
      <c r="R50" s="73" t="s">
        <v>316</v>
      </c>
      <c r="S50" s="331" cm="1">
        <f t="array" ref="S50" xml:space="preserve">
IFERROR(SUM(_xlfn._xlws.FILTER(Table_ThuChiTC[Giá trị GD],
(Table_ThuChiTC[Loại GD]="THU")*
(Table_ThuChiTC[Nội dung GD]="Tiền thu lãi cho vay, cổ tức, lợi nhuận được chia")*
(YEAR(Table_ThuChiTC[Ngày GD])=S$1)
)),0)
-IFERROR(SUM(_xlfn._xlws.FILTER(Table_ThuChiTC[Giá trị GD],
(Table_ThuChiTC[Loại GD]="CHI")*
(Table_ThuChiTC[Nội dung GD]="Tiền thu lãi cho vay, cổ tức, lợi nhuận được chia")*
(YEAR(Table_ThuChiTC[Ngày GD])=S$1)
)),0)</f>
        <v>0</v>
      </c>
      <c r="T50" s="242"/>
      <c r="U50" s="73" t="s">
        <v>316</v>
      </c>
      <c r="V50" s="337" cm="1">
        <f t="array" ref="V50" xml:space="preserve">
IFERROR(SUM(_xlfn._xlws.FILTER(Table_ThuChiTC[Giá trị GD],
(Table_ThuChiTC[Loại GD]="THU")*
(Table_ThuChiTC[Nội dung GD]="Tiền thu lãi cho vay, cổ tức, lợi nhuận được chia")*
(Table_ThuChiTC[Ngày GD]&gt;=V$1)*
(Table_ThuChiTC[Ngày GD]&lt;DATE(YEAR(V$1),MONTH(V$1)+1,1))
)),0)
-IFERROR(SUM(_xlfn._xlws.FILTER(Table_ThuChiTC[Giá trị GD],
(Table_ThuChiTC[Loại GD]="CHI")*
(Table_ThuChiTC[Nội dung GD]="Tiền thu lãi cho vay, cổ tức, lợi nhuận được chia")*
(Table_ThuChiTC[Ngày GD]&gt;=V$1)*
(Table_ThuChiTC[Ngày GD]&lt;DATE(YEAR(V$1),MONTH(V$1)+1,1))
)),0)</f>
        <v>0</v>
      </c>
    </row>
    <row r="51" spans="2:22" ht="18" customHeight="1" outlineLevel="2" x14ac:dyDescent="0.3">
      <c r="B51" s="73" t="s">
        <v>117</v>
      </c>
      <c r="C51" s="331" cm="1">
        <f t="array" ref="C51">+IFERROR(SUM(_xlfn._xlws.FILTER(Table_ThuChiTC[Giá trị GD],
(Table_ThuChiTC[Loại GD]="THU")*
(Table_ThuChiTC[Nội dung GD]=Sheet_ThuChiTC!$F$9)*
(Table_ThuChiTC[Ngày GD]&gt;=D2)*
(Table_ThuChiTC[Ngày GD]&lt;P2)
)),0)</f>
        <v>0</v>
      </c>
      <c r="D51" s="337" cm="1">
        <f t="array" ref="D51">+IFERROR(SUM(_xlfn._xlws.FILTER(Table_ThuChiTC[Giá trị GD],
(Table_ThuChiTC[Loại GD]="THU")*
(Table_ThuChiTC[Nội dung GD]=Sheet_ThuChiTC!$F$9)*
(Table_ThuChiTC[Ngày GD]&gt;=D2)*
(Table_ThuChiTC[Ngày GD]&lt;E2)
)),0)</f>
        <v>0</v>
      </c>
      <c r="E51" s="337" cm="1">
        <f t="array" ref="E51">+IFERROR(SUM(_xlfn._xlws.FILTER(Table_ThuChiTC[Giá trị GD],
(Table_ThuChiTC[Loại GD]="THU")*
(Table_ThuChiTC[Nội dung GD]=Sheet_ThuChiTC!$F$9)*
(Table_ThuChiTC[Ngày GD]&gt;=E2)*
(Table_ThuChiTC[Ngày GD]&lt;F2)
)),0)</f>
        <v>0</v>
      </c>
      <c r="F51" s="337" cm="1">
        <f t="array" ref="F51">+IFERROR(SUM(_xlfn._xlws.FILTER(Table_ThuChiTC[Giá trị GD],
(Table_ThuChiTC[Loại GD]="THU")*
(Table_ThuChiTC[Nội dung GD]=Sheet_ThuChiTC!$F$9)*
(Table_ThuChiTC[Ngày GD]&gt;=F2)*
(Table_ThuChiTC[Ngày GD]&lt;G2)
)),0)</f>
        <v>0</v>
      </c>
      <c r="G51" s="337" cm="1">
        <f t="array" ref="G51">+IFERROR(SUM(_xlfn._xlws.FILTER(Table_ThuChiTC[Giá trị GD],
(Table_ThuChiTC[Loại GD]="THU")*
(Table_ThuChiTC[Nội dung GD]=Sheet_ThuChiTC!$F$9)*
(Table_ThuChiTC[Ngày GD]&gt;=G2)*
(Table_ThuChiTC[Ngày GD]&lt;H2)
)),0)</f>
        <v>0</v>
      </c>
      <c r="H51" s="337" cm="1">
        <f t="array" ref="H51">+IFERROR(SUM(_xlfn._xlws.FILTER(Table_ThuChiTC[Giá trị GD],
(Table_ThuChiTC[Loại GD]="THU")*
(Table_ThuChiTC[Nội dung GD]=Sheet_ThuChiTC!$F$9)*
(Table_ThuChiTC[Ngày GD]&gt;=H2)*
(Table_ThuChiTC[Ngày GD]&lt;I2)
)),0)</f>
        <v>0</v>
      </c>
      <c r="I51" s="337" cm="1">
        <f t="array" ref="I51">+IFERROR(SUM(_xlfn._xlws.FILTER(Table_ThuChiTC[Giá trị GD],
(Table_ThuChiTC[Loại GD]="THU")*
(Table_ThuChiTC[Nội dung GD]=Sheet_ThuChiTC!$F$9)*
(Table_ThuChiTC[Ngày GD]&gt;=I2)*
(Table_ThuChiTC[Ngày GD]&lt;J2)
)),0)</f>
        <v>0</v>
      </c>
      <c r="J51" s="337" cm="1">
        <f t="array" ref="J51">+IFERROR(SUM(_xlfn._xlws.FILTER(Table_ThuChiTC[Giá trị GD],
(Table_ThuChiTC[Loại GD]="THU")*
(Table_ThuChiTC[Nội dung GD]=Sheet_ThuChiTC!$F$9)*
(Table_ThuChiTC[Ngày GD]&gt;=J2)*
(Table_ThuChiTC[Ngày GD]&lt;K2)
)),0)</f>
        <v>0</v>
      </c>
      <c r="K51" s="337" cm="1">
        <f t="array" ref="K51">+IFERROR(SUM(_xlfn._xlws.FILTER(Table_ThuChiTC[Giá trị GD],
(Table_ThuChiTC[Loại GD]="THU")*
(Table_ThuChiTC[Nội dung GD]=Sheet_ThuChiTC!$F$9)*
(Table_ThuChiTC[Ngày GD]&gt;=K2)*
(Table_ThuChiTC[Ngày GD]&lt;L2)
)),0)</f>
        <v>0</v>
      </c>
      <c r="L51" s="337" cm="1">
        <f t="array" ref="L51">+IFERROR(SUM(_xlfn._xlws.FILTER(Table_ThuChiTC[Giá trị GD],
(Table_ThuChiTC[Loại GD]="THU")*
(Table_ThuChiTC[Nội dung GD]=Sheet_ThuChiTC!$F$9)*
(Table_ThuChiTC[Ngày GD]&gt;=L2)*
(Table_ThuChiTC[Ngày GD]&lt;M2)
)),0)</f>
        <v>0</v>
      </c>
      <c r="M51" s="337" cm="1">
        <f t="array" ref="M51">+IFERROR(SUM(_xlfn._xlws.FILTER(Table_ThuChiTC[Giá trị GD],
(Table_ThuChiTC[Loại GD]="THU")*
(Table_ThuChiTC[Nội dung GD]=Sheet_ThuChiTC!$F$9)*
(Table_ThuChiTC[Ngày GD]&gt;=M2)*
(Table_ThuChiTC[Ngày GD]&lt;N2)
)),0)</f>
        <v>0</v>
      </c>
      <c r="N51" s="337" cm="1">
        <f t="array" ref="N51">+IFERROR(SUM(_xlfn._xlws.FILTER(Table_ThuChiTC[Giá trị GD],
(Table_ThuChiTC[Loại GD]="THU")*
(Table_ThuChiTC[Nội dung GD]=Sheet_ThuChiTC!$F$9)*
(Table_ThuChiTC[Ngày GD]&gt;=N2)*
(Table_ThuChiTC[Ngày GD]&lt;O2)
)),0)</f>
        <v>0</v>
      </c>
      <c r="O51" s="337" cm="1">
        <f t="array" ref="O51">+IFERROR(SUM(_xlfn._xlws.FILTER(Table_ThuChiTC[Giá trị GD],
(Table_ThuChiTC[Loại GD]="THU")*
(Table_ThuChiTC[Nội dung GD]=Sheet_ThuChiTC!$F$9)*
(Table_ThuChiTC[Ngày GD]&gt;=O2)*
(Table_ThuChiTC[Ngày GD]&lt;P2)
)),0)</f>
        <v>0</v>
      </c>
      <c r="P51" s="326"/>
      <c r="Q51" s="242"/>
      <c r="R51" s="73" t="s">
        <v>117</v>
      </c>
      <c r="S51" s="331" cm="1">
        <f t="array" ref="S51">+IFERROR(SUM(_xlfn._xlws.FILTER(Table_ThuChiTC[Giá trị GD],
(Table_ThuChiTC[Loại GD]="THU")*
(Table_ThuChiTC[Nội dung GD]="Thu chi từ biến động gốc vay, thuê tài chính")*
(Table_ThuChiTC[Ngày GD]&gt;=DATE(S$1,1,1))*
(Table_ThuChiTC[Ngày GD]&lt;DATE(S$1+1,1,1))
)),0)</f>
        <v>0</v>
      </c>
      <c r="T51" s="242"/>
      <c r="U51" s="73" t="s">
        <v>117</v>
      </c>
      <c r="V51" s="337" cm="1">
        <f t="array" ref="V51">+IFERROR(SUM(_xlfn._xlws.FILTER(Table_ThuChiTC[Giá trị GD],
(Table_ThuChiTC[Loại GD]="THU")*
(Table_ThuChiTC[Nội dung GD]="Thu chi từ biến động gốc vay, thuê tài chính")*
(Table_ThuChiTC[Ngày GD]&gt;=V$1)*
(Table_ThuChiTC[Ngày GD]&lt;DATE(YEAR(V$1),MONTH(V$1)+1,1))
)),0)</f>
        <v>0</v>
      </c>
    </row>
    <row r="52" spans="2:22" ht="18" customHeight="1" outlineLevel="2" x14ac:dyDescent="0.3">
      <c r="B52" s="73" t="s">
        <v>317</v>
      </c>
      <c r="C52" s="331" cm="1">
        <f t="array" ref="C52" xml:space="preserve">
IFERROR(SUM(_xlfn._xlws.FILTER(Table_ThuChiTC[Giá trị GD],
(Table_ThuChiTC[Loại GD]="THU")*
(Table_ThuChiTC[Nội dung GD]="Thu chi từ biến động cổ phiếu, vốn góp")*
(YEAR(Table_ThuChiTC[Ngày GD])=C2)
)),0)
-IFERROR(SUM(_xlfn._xlws.FILTER(Table_ThuChiTC[Giá trị GD],
(Table_ThuChiTC[Loại GD]="CHI")*
(Table_ThuChiTC[Nội dung GD]="Thu chi từ biến động cổ phiếu, vốn góp")*
(YEAR(Table_ThuChiTC[Ngày GD])=C2)
)),0)</f>
        <v>0</v>
      </c>
      <c r="D52" s="337" cm="1">
        <f t="array" ref="D52" xml:space="preserve">
IFERROR(SUM(_xlfn._xlws.FILTER(Table_ThuChiTC[Giá trị GD],
(Table_ThuChiTC[Loại GD]="THU")*
(Table_ThuChiTC[Nội dung GD]="Thu chi từ biến động cổ phiếu, vốn góp")*
(Table_ThuChiTC[Ngày GD]&gt;=D2)*
(Table_ThuChiTC[Ngày GD]&lt;E2)
)),0)
-IFERROR(SUM(_xlfn._xlws.FILTER(Table_ThuChiTC[Giá trị GD],
(Table_ThuChiTC[Loại GD]="CHI")*
(Table_ThuChiTC[Nội dung GD]="Thu chi từ biến động cổ phiếu, vốn góp")*
(Table_ThuChiTC[Ngày GD]&gt;=D2)*
(Table_ThuChiTC[Ngày GD]&lt;E2)
)),0)</f>
        <v>0</v>
      </c>
      <c r="E52" s="337" cm="1">
        <f t="array" ref="E52" xml:space="preserve">
IFERROR(SUM(_xlfn._xlws.FILTER(Table_ThuChiTC[Giá trị GD],
(Table_ThuChiTC[Loại GD]="THU")*
(Table_ThuChiTC[Nội dung GD]="Thu chi từ biến động cổ phiếu, vốn góp")*
(Table_ThuChiTC[Ngày GD]&gt;=E2)*
(Table_ThuChiTC[Ngày GD]&lt;F2)
)),0)
-IFERROR(SUM(_xlfn._xlws.FILTER(Table_ThuChiTC[Giá trị GD],
(Table_ThuChiTC[Loại GD]="CHI")*
(Table_ThuChiTC[Nội dung GD]="Thu chi từ biến động cổ phiếu, vốn góp")*
(Table_ThuChiTC[Ngày GD]&gt;=E2)*
(Table_ThuChiTC[Ngày GD]&lt;F2)
)),0)</f>
        <v>0</v>
      </c>
      <c r="F52" s="337" cm="1">
        <f t="array" ref="F52" xml:space="preserve">
IFERROR(SUM(_xlfn._xlws.FILTER(Table_ThuChiTC[Giá trị GD],
(Table_ThuChiTC[Loại GD]="THU")*
(Table_ThuChiTC[Nội dung GD]="Thu chi từ biến động cổ phiếu, vốn góp")*
(Table_ThuChiTC[Ngày GD]&gt;=F2)*
(Table_ThuChiTC[Ngày GD]&lt;G2)
)),0)
-IFERROR(SUM(_xlfn._xlws.FILTER(Table_ThuChiTC[Giá trị GD],
(Table_ThuChiTC[Loại GD]="CHI")*
(Table_ThuChiTC[Nội dung GD]="Thu chi từ biến động cổ phiếu, vốn góp")*
(Table_ThuChiTC[Ngày GD]&gt;=F2)*
(Table_ThuChiTC[Ngày GD]&lt;G2)
)),0)</f>
        <v>0</v>
      </c>
      <c r="G52" s="337" cm="1">
        <f t="array" ref="G52" xml:space="preserve">
IFERROR(SUM(_xlfn._xlws.FILTER(Table_ThuChiTC[Giá trị GD],
(Table_ThuChiTC[Loại GD]="THU")*
(Table_ThuChiTC[Nội dung GD]="Thu chi từ biến động cổ phiếu, vốn góp")*
(Table_ThuChiTC[Ngày GD]&gt;=G2)*
(Table_ThuChiTC[Ngày GD]&lt;H2)
)),0)
-IFERROR(SUM(_xlfn._xlws.FILTER(Table_ThuChiTC[Giá trị GD],
(Table_ThuChiTC[Loại GD]="CHI")*
(Table_ThuChiTC[Nội dung GD]="Thu chi từ biến động cổ phiếu, vốn góp")*
(Table_ThuChiTC[Ngày GD]&gt;=G2)*
(Table_ThuChiTC[Ngày GD]&lt;H2)
)),0)</f>
        <v>0</v>
      </c>
      <c r="H52" s="337" cm="1">
        <f t="array" ref="H52" xml:space="preserve">
IFERROR(SUM(_xlfn._xlws.FILTER(Table_ThuChiTC[Giá trị GD],
(Table_ThuChiTC[Loại GD]="THU")*
(Table_ThuChiTC[Nội dung GD]="Thu chi từ biến động cổ phiếu, vốn góp")*
(Table_ThuChiTC[Ngày GD]&gt;=H2)*
(Table_ThuChiTC[Ngày GD]&lt;I2)
)),0)
-IFERROR(SUM(_xlfn._xlws.FILTER(Table_ThuChiTC[Giá trị GD],
(Table_ThuChiTC[Loại GD]="CHI")*
(Table_ThuChiTC[Nội dung GD]="Thu chi từ biến động cổ phiếu, vốn góp")*
(Table_ThuChiTC[Ngày GD]&gt;=H2)*
(Table_ThuChiTC[Ngày GD]&lt;I2)
)),0)</f>
        <v>0</v>
      </c>
      <c r="I52" s="337" cm="1">
        <f t="array" ref="I52" xml:space="preserve">
IFERROR(SUM(_xlfn._xlws.FILTER(Table_ThuChiTC[Giá trị GD],
(Table_ThuChiTC[Loại GD]="THU")*
(Table_ThuChiTC[Nội dung GD]="Thu chi từ biến động cổ phiếu, vốn góp")*
(Table_ThuChiTC[Ngày GD]&gt;=I2)*
(Table_ThuChiTC[Ngày GD]&lt;J2)
)),0)
-IFERROR(SUM(_xlfn._xlws.FILTER(Table_ThuChiTC[Giá trị GD],
(Table_ThuChiTC[Loại GD]="CHI")*
(Table_ThuChiTC[Nội dung GD]="Thu chi từ biến động cổ phiếu, vốn góp")*
(Table_ThuChiTC[Ngày GD]&gt;=I2)*
(Table_ThuChiTC[Ngày GD]&lt;J2)
)),0)</f>
        <v>0</v>
      </c>
      <c r="J52" s="337" cm="1">
        <f t="array" ref="J52" xml:space="preserve">
IFERROR(SUM(_xlfn._xlws.FILTER(Table_ThuChiTC[Giá trị GD],
(Table_ThuChiTC[Loại GD]="THU")*
(Table_ThuChiTC[Nội dung GD]="Thu chi từ biến động cổ phiếu, vốn góp")*
(Table_ThuChiTC[Ngày GD]&gt;=J2)*
(Table_ThuChiTC[Ngày GD]&lt;K2)
)),0)
-IFERROR(SUM(_xlfn._xlws.FILTER(Table_ThuChiTC[Giá trị GD],
(Table_ThuChiTC[Loại GD]="CHI")*
(Table_ThuChiTC[Nội dung GD]="Thu chi từ biến động cổ phiếu, vốn góp")*
(Table_ThuChiTC[Ngày GD]&gt;=J2)*
(Table_ThuChiTC[Ngày GD]&lt;K2)
)),0)</f>
        <v>0</v>
      </c>
      <c r="K52" s="337" cm="1">
        <f t="array" ref="K52" xml:space="preserve">
IFERROR(SUM(_xlfn._xlws.FILTER(Table_ThuChiTC[Giá trị GD],
(Table_ThuChiTC[Loại GD]="THU")*
(Table_ThuChiTC[Nội dung GD]="Thu chi từ biến động cổ phiếu, vốn góp")*
(Table_ThuChiTC[Ngày GD]&gt;=K2)*
(Table_ThuChiTC[Ngày GD]&lt;L2)
)),0)
-IFERROR(SUM(_xlfn._xlws.FILTER(Table_ThuChiTC[Giá trị GD],
(Table_ThuChiTC[Loại GD]="CHI")*
(Table_ThuChiTC[Nội dung GD]="Thu chi từ biến động cổ phiếu, vốn góp")*
(Table_ThuChiTC[Ngày GD]&gt;=K2)*
(Table_ThuChiTC[Ngày GD]&lt;L2)
)),0)</f>
        <v>0</v>
      </c>
      <c r="L52" s="337" cm="1">
        <f t="array" ref="L52" xml:space="preserve">
IFERROR(SUM(_xlfn._xlws.FILTER(Table_ThuChiTC[Giá trị GD],
(Table_ThuChiTC[Loại GD]="THU")*
(Table_ThuChiTC[Nội dung GD]="Thu chi từ biến động cổ phiếu, vốn góp")*
(Table_ThuChiTC[Ngày GD]&gt;=L2)*
(Table_ThuChiTC[Ngày GD]&lt;M2)
)),0)
-IFERROR(SUM(_xlfn._xlws.FILTER(Table_ThuChiTC[Giá trị GD],
(Table_ThuChiTC[Loại GD]="CHI")*
(Table_ThuChiTC[Nội dung GD]="Thu chi từ biến động cổ phiếu, vốn góp")*
(Table_ThuChiTC[Ngày GD]&gt;=L2)*
(Table_ThuChiTC[Ngày GD]&lt;M2)
)),0)</f>
        <v>0</v>
      </c>
      <c r="M52" s="337" cm="1">
        <f t="array" ref="M52" xml:space="preserve">
IFERROR(SUM(_xlfn._xlws.FILTER(Table_ThuChiTC[Giá trị GD],
(Table_ThuChiTC[Loại GD]="THU")*
(Table_ThuChiTC[Nội dung GD]="Thu chi từ biến động cổ phiếu, vốn góp")*
(Table_ThuChiTC[Ngày GD]&gt;=M2)*
(Table_ThuChiTC[Ngày GD]&lt;N2)
)),0)
-IFERROR(SUM(_xlfn._xlws.FILTER(Table_ThuChiTC[Giá trị GD],
(Table_ThuChiTC[Loại GD]="CHI")*
(Table_ThuChiTC[Nội dung GD]="Thu chi từ biến động cổ phiếu, vốn góp")*
(Table_ThuChiTC[Ngày GD]&gt;=M2)*
(Table_ThuChiTC[Ngày GD]&lt;N2)
)),0)</f>
        <v>0</v>
      </c>
      <c r="N52" s="337" cm="1">
        <f t="array" ref="N52" xml:space="preserve">
IFERROR(SUM(_xlfn._xlws.FILTER(Table_ThuChiTC[Giá trị GD],
(Table_ThuChiTC[Loại GD]="THU")*
(Table_ThuChiTC[Nội dung GD]="Thu chi từ biến động cổ phiếu, vốn góp")*
(Table_ThuChiTC[Ngày GD]&gt;=N2)*
(Table_ThuChiTC[Ngày GD]&lt;O2)
)),0)
-IFERROR(SUM(_xlfn._xlws.FILTER(Table_ThuChiTC[Giá trị GD],
(Table_ThuChiTC[Loại GD]="CHI")*
(Table_ThuChiTC[Nội dung GD]="Thu chi từ biến động cổ phiếu, vốn góp")*
(Table_ThuChiTC[Ngày GD]&gt;=N2)*
(Table_ThuChiTC[Ngày GD]&lt;O2)
)),0)</f>
        <v>0</v>
      </c>
      <c r="O52" s="337" cm="1">
        <f t="array" ref="O52" xml:space="preserve">
IFERROR(SUM(_xlfn._xlws.FILTER(Table_ThuChiTC[Giá trị GD],
(Table_ThuChiTC[Loại GD]="THU")*
(Table_ThuChiTC[Nội dung GD]="Thu chi từ biến động cổ phiếu, vốn góp")*
(Table_ThuChiTC[Ngày GD]&gt;=O2)*
(Table_ThuChiTC[Ngày GD]&lt;P2)
)),0)
-IFERROR(SUM(_xlfn._xlws.FILTER(Table_ThuChiTC[Giá trị GD],
(Table_ThuChiTC[Loại GD]="CHI")*
(Table_ThuChiTC[Nội dung GD]="Thu chi từ biến động cổ phiếu, vốn góp")*
(Table_ThuChiTC[Ngày GD]&gt;=O2)*
(Table_ThuChiTC[Ngày GD]&lt;P2)
)),0)</f>
        <v>0</v>
      </c>
      <c r="P52" s="326"/>
      <c r="Q52" s="242"/>
      <c r="R52" s="73" t="s">
        <v>317</v>
      </c>
      <c r="S52" s="331" cm="1">
        <f t="array" ref="S52" xml:space="preserve">
IFERROR(SUM(_xlfn._xlws.FILTER(Table_ThuChiTC[Giá trị GD],
(Table_ThuChiTC[Loại GD]="THU")*
(Table_ThuChiTC[Nội dung GD]="Thu chi từ biến động cổ phiếu, vốn góp")*
(YEAR(Table_ThuChiTC[Ngày GD])=S$1)
)),0)
-IFERROR(SUM(_xlfn._xlws.FILTER(Table_ThuChiTC[Giá trị GD],
(Table_ThuChiTC[Loại GD]="CHI")*
(Table_ThuChiTC[Nội dung GD]="Thu chi từ biến động cổ phiếu, vốn góp")*
(YEAR(Table_ThuChiTC[Ngày GD])=S$1)
)),0)</f>
        <v>0</v>
      </c>
      <c r="T52" s="242"/>
      <c r="U52" s="73" t="s">
        <v>317</v>
      </c>
      <c r="V52" s="337" cm="1">
        <f t="array" ref="V52" xml:space="preserve">
IFERROR(SUM(_xlfn._xlws.FILTER(Table_ThuChiTC[Giá trị GD],
(Table_ThuChiTC[Loại GD]="THU")*
(Table_ThuChiTC[Nội dung GD]="Thu chi từ biến động cổ phiếu, vốn góp")*
(Table_ThuChiTC[Ngày GD]&gt;=V$1)*
(Table_ThuChiTC[Ngày GD]&lt;DATE(YEAR(V$1),MONTH(V$1)+1,1))
)),0)
-IFERROR(SUM(_xlfn._xlws.FILTER(Table_ThuChiTC[Giá trị GD],
(Table_ThuChiTC[Loại GD]="CHI")*
(Table_ThuChiTC[Nội dung GD]="Thu chi từ biến động cổ phiếu, vốn góp")*
(Table_ThuChiTC[Ngày GD]&gt;=V$1)*
(Table_ThuChiTC[Ngày GD]&lt;DATE(YEAR(V$1),MONTH(V$1)+1,1))
)),0)</f>
        <v>0</v>
      </c>
    </row>
    <row r="53" spans="2:22" ht="18" customHeight="1" outlineLevel="1" x14ac:dyDescent="0.3">
      <c r="B53" s="99" t="s">
        <v>318</v>
      </c>
      <c r="C53" s="129" t="e">
        <f xml:space="preserve">
(+ IFERROR(HLOOKUP(C$2,Table_BCTC_Nam[],Sheet_BaoCaoTaiChinh!A108,0),Sheet_BaoCaoTaiChinh!D108)
+ IFERROR(HLOOKUP(C$2,Table_BCTC_Nam[],Sheet_BaoCaoTaiChinh!A114,0),Sheet_BaoCaoTaiChinh!D114))
/(+ IFERROR(HLOOKUP(C$2,Table_BCTC_Nam[],Sheet_BaoCaoTaiChinh!A117,0),Sheet_BaoCaoTaiChinh!D117)
+ IFERROR(HLOOKUP(C$2,Table_BCTC_Nam[],Sheet_BaoCaoTaiChinh!A119,0),Sheet_BaoCaoTaiChinh!D119))</f>
        <v>#DIV/0!</v>
      </c>
      <c r="D53" s="122" t="e">
        <f xml:space="preserve">
(+ IFERROR(HLOOKUP(D$2,Table_BCTC_Thang[],Sheet_BaoCaoTaiChinh!$A$108,0),Sheet_BaoCaoTaiChinh!$D$108)
+ IFERROR(HLOOKUP(D$2,Table_BCTC_Nam[],Sheet_BaoCaoTaiChinh!$A$114,0),Sheet_BaoCaoTaiChinh!$D$114))
/(+ IFERROR(HLOOKUP(D$2,Table_BCTC_Nam[],Sheet_BaoCaoTaiChinh!$A$117,0),Sheet_BaoCaoTaiChinh!$D$117)
+ IFERROR(HLOOKUP(D$2,Table_BCTC_Nam[],Sheet_BaoCaoTaiChinh!$A$119,0),Sheet_BaoCaoTaiChinh!$D$119))</f>
        <v>#DIV/0!</v>
      </c>
      <c r="E53" s="122" t="e">
        <f xml:space="preserve">
(+ IFERROR(HLOOKUP(E$2,Table_BCTC_Thang[],Sheet_BaoCaoTaiChinh!$A$108,0),Sheet_BaoCaoTaiChinh!$D$108)
+ IFERROR(HLOOKUP(E$2,Table_BCTC_Nam[],Sheet_BaoCaoTaiChinh!$A$114,0),Sheet_BaoCaoTaiChinh!$D$114))
/(+ IFERROR(HLOOKUP(E$2,Table_BCTC_Nam[],Sheet_BaoCaoTaiChinh!$A$117,0),Sheet_BaoCaoTaiChinh!$D$117)
+ IFERROR(HLOOKUP(E$2,Table_BCTC_Nam[],Sheet_BaoCaoTaiChinh!$A$119,0),Sheet_BaoCaoTaiChinh!$D$119))</f>
        <v>#DIV/0!</v>
      </c>
      <c r="F53" s="122" t="e">
        <f xml:space="preserve">
(+ IFERROR(HLOOKUP(F$2,Table_BCTC_Thang[],Sheet_BaoCaoTaiChinh!$A$108,0),Sheet_BaoCaoTaiChinh!$D$108)
+ IFERROR(HLOOKUP(F$2,Table_BCTC_Nam[],Sheet_BaoCaoTaiChinh!$A$114,0),Sheet_BaoCaoTaiChinh!$D$114))
/(+ IFERROR(HLOOKUP(F$2,Table_BCTC_Nam[],Sheet_BaoCaoTaiChinh!$A$117,0),Sheet_BaoCaoTaiChinh!$D$117)
+ IFERROR(HLOOKUP(F$2,Table_BCTC_Nam[],Sheet_BaoCaoTaiChinh!$A$119,0),Sheet_BaoCaoTaiChinh!$D$119))</f>
        <v>#DIV/0!</v>
      </c>
      <c r="G53" s="122" t="e">
        <f xml:space="preserve">
(+ IFERROR(HLOOKUP(G$2,Table_BCTC_Thang[],Sheet_BaoCaoTaiChinh!$A$108,0),Sheet_BaoCaoTaiChinh!$D$108)
+ IFERROR(HLOOKUP(G$2,Table_BCTC_Nam[],Sheet_BaoCaoTaiChinh!$A$114,0),Sheet_BaoCaoTaiChinh!$D$114))
/(+ IFERROR(HLOOKUP(G$2,Table_BCTC_Nam[],Sheet_BaoCaoTaiChinh!$A$117,0),Sheet_BaoCaoTaiChinh!$D$117)
+ IFERROR(HLOOKUP(G$2,Table_BCTC_Nam[],Sheet_BaoCaoTaiChinh!$A$119,0),Sheet_BaoCaoTaiChinh!$D$119))</f>
        <v>#DIV/0!</v>
      </c>
      <c r="H53" s="122" t="e">
        <f xml:space="preserve">
(+ IFERROR(HLOOKUP(H$2,Table_BCTC_Thang[],Sheet_BaoCaoTaiChinh!$A$108,0),Sheet_BaoCaoTaiChinh!$D$108)
+ IFERROR(HLOOKUP(H$2,Table_BCTC_Nam[],Sheet_BaoCaoTaiChinh!$A$114,0),Sheet_BaoCaoTaiChinh!$D$114))
/(+ IFERROR(HLOOKUP(H$2,Table_BCTC_Nam[],Sheet_BaoCaoTaiChinh!$A$117,0),Sheet_BaoCaoTaiChinh!$D$117)
+ IFERROR(HLOOKUP(H$2,Table_BCTC_Nam[],Sheet_BaoCaoTaiChinh!$A$119,0),Sheet_BaoCaoTaiChinh!$D$119))</f>
        <v>#DIV/0!</v>
      </c>
      <c r="I53" s="122" t="e">
        <f xml:space="preserve">
(+ IFERROR(HLOOKUP(I$2,Table_BCTC_Thang[],Sheet_BaoCaoTaiChinh!$A$108,0),Sheet_BaoCaoTaiChinh!$D$108)
+ IFERROR(HLOOKUP(I$2,Table_BCTC_Nam[],Sheet_BaoCaoTaiChinh!$A$114,0),Sheet_BaoCaoTaiChinh!$D$114))
/(+ IFERROR(HLOOKUP(I$2,Table_BCTC_Nam[],Sheet_BaoCaoTaiChinh!$A$117,0),Sheet_BaoCaoTaiChinh!$D$117)
+ IFERROR(HLOOKUP(I$2,Table_BCTC_Nam[],Sheet_BaoCaoTaiChinh!$A$119,0),Sheet_BaoCaoTaiChinh!$D$119))</f>
        <v>#DIV/0!</v>
      </c>
      <c r="J53" s="122" t="e">
        <f xml:space="preserve">
(+ IFERROR(HLOOKUP(J$2,Table_BCTC_Thang[],Sheet_BaoCaoTaiChinh!$A$108,0),Sheet_BaoCaoTaiChinh!$D$108)
+ IFERROR(HLOOKUP(J$2,Table_BCTC_Nam[],Sheet_BaoCaoTaiChinh!$A$114,0),Sheet_BaoCaoTaiChinh!$D$114))
/(+ IFERROR(HLOOKUP(J$2,Table_BCTC_Nam[],Sheet_BaoCaoTaiChinh!$A$117,0),Sheet_BaoCaoTaiChinh!$D$117)
+ IFERROR(HLOOKUP(J$2,Table_BCTC_Nam[],Sheet_BaoCaoTaiChinh!$A$119,0),Sheet_BaoCaoTaiChinh!$D$119))</f>
        <v>#DIV/0!</v>
      </c>
      <c r="K53" s="122" t="e">
        <f xml:space="preserve">
(+ IFERROR(HLOOKUP(K$2,Table_BCTC_Thang[],Sheet_BaoCaoTaiChinh!$A$108,0),Sheet_BaoCaoTaiChinh!$D$108)
+ IFERROR(HLOOKUP(K$2,Table_BCTC_Nam[],Sheet_BaoCaoTaiChinh!$A$114,0),Sheet_BaoCaoTaiChinh!$D$114))
/(+ IFERROR(HLOOKUP(K$2,Table_BCTC_Nam[],Sheet_BaoCaoTaiChinh!$A$117,0),Sheet_BaoCaoTaiChinh!$D$117)
+ IFERROR(HLOOKUP(K$2,Table_BCTC_Nam[],Sheet_BaoCaoTaiChinh!$A$119,0),Sheet_BaoCaoTaiChinh!$D$119))</f>
        <v>#DIV/0!</v>
      </c>
      <c r="L53" s="122" t="e">
        <f xml:space="preserve">
(+ IFERROR(HLOOKUP(L$2,Table_BCTC_Thang[],Sheet_BaoCaoTaiChinh!$A$108,0),Sheet_BaoCaoTaiChinh!$D$108)
+ IFERROR(HLOOKUP(L$2,Table_BCTC_Nam[],Sheet_BaoCaoTaiChinh!$A$114,0),Sheet_BaoCaoTaiChinh!$D$114))
/(+ IFERROR(HLOOKUP(L$2,Table_BCTC_Nam[],Sheet_BaoCaoTaiChinh!$A$117,0),Sheet_BaoCaoTaiChinh!$D$117)
+ IFERROR(HLOOKUP(L$2,Table_BCTC_Nam[],Sheet_BaoCaoTaiChinh!$A$119,0),Sheet_BaoCaoTaiChinh!$D$119))</f>
        <v>#DIV/0!</v>
      </c>
      <c r="M53" s="122" t="e">
        <f xml:space="preserve">
(+ IFERROR(HLOOKUP(M$2,Table_BCTC_Thang[],Sheet_BaoCaoTaiChinh!$A$108,0),Sheet_BaoCaoTaiChinh!$D$108)
+ IFERROR(HLOOKUP(M$2,Table_BCTC_Nam[],Sheet_BaoCaoTaiChinh!$A$114,0),Sheet_BaoCaoTaiChinh!$D$114))
/(+ IFERROR(HLOOKUP(M$2,Table_BCTC_Nam[],Sheet_BaoCaoTaiChinh!$A$117,0),Sheet_BaoCaoTaiChinh!$D$117)
+ IFERROR(HLOOKUP(M$2,Table_BCTC_Nam[],Sheet_BaoCaoTaiChinh!$A$119,0),Sheet_BaoCaoTaiChinh!$D$119))</f>
        <v>#DIV/0!</v>
      </c>
      <c r="N53" s="122" t="e">
        <f xml:space="preserve">
(+ IFERROR(HLOOKUP(N$2,Table_BCTC_Thang[],Sheet_BaoCaoTaiChinh!$A$108,0),Sheet_BaoCaoTaiChinh!$D$108)
+ IFERROR(HLOOKUP(N$2,Table_BCTC_Nam[],Sheet_BaoCaoTaiChinh!$A$114,0),Sheet_BaoCaoTaiChinh!$D$114))
/(+ IFERROR(HLOOKUP(N$2,Table_BCTC_Nam[],Sheet_BaoCaoTaiChinh!$A$117,0),Sheet_BaoCaoTaiChinh!$D$117)
+ IFERROR(HLOOKUP(N$2,Table_BCTC_Nam[],Sheet_BaoCaoTaiChinh!$A$119,0),Sheet_BaoCaoTaiChinh!$D$119))</f>
        <v>#DIV/0!</v>
      </c>
      <c r="O53" s="122" t="e">
        <f xml:space="preserve">
(+ IFERROR(HLOOKUP(O$2,Table_BCTC_Thang[],Sheet_BaoCaoTaiChinh!$A$108,0),Sheet_BaoCaoTaiChinh!$D$108)
+ IFERROR(HLOOKUP(O$2,Table_BCTC_Nam[],Sheet_BaoCaoTaiChinh!$A$114,0),Sheet_BaoCaoTaiChinh!$D$114))
/(+ IFERROR(HLOOKUP(O$2,Table_BCTC_Nam[],Sheet_BaoCaoTaiChinh!$A$117,0),Sheet_BaoCaoTaiChinh!$D$117)
+ IFERROR(HLOOKUP(O$2,Table_BCTC_Nam[],Sheet_BaoCaoTaiChinh!$A$119,0),Sheet_BaoCaoTaiChinh!$D$119))</f>
        <v>#DIV/0!</v>
      </c>
      <c r="P53" s="326"/>
      <c r="Q53" s="242"/>
      <c r="R53" s="99" t="s">
        <v>318</v>
      </c>
      <c r="S53" s="129" t="e">
        <f xml:space="preserve">
(+ IFERROR(HLOOKUP(S$1,Table_BCTC_Nam[],Sheet_BaoCaoTaiChinh!$A$108,0),Sheet_BaoCaoTaiChinh!$D$108)
+ IFERROR(HLOOKUP(S$1,Table_BCTC_Nam[],Sheet_BaoCaoTaiChinh!$A$114,0),Sheet_BaoCaoTaiChinh!$D$114))
/(+ IFERROR(HLOOKUP(S$1,Table_BCTC_Nam[],Sheet_BaoCaoTaiChinh!$A$117,0),Sheet_BaoCaoTaiChinh!$D$117)
+ IFERROR(HLOOKUP(S$1,Table_BCTC_Nam[],Sheet_BaoCaoTaiChinh!$A$119,0),Sheet_BaoCaoTaiChinh!$D$119))</f>
        <v>#DIV/0!</v>
      </c>
      <c r="T53" s="242"/>
      <c r="U53" s="99" t="s">
        <v>318</v>
      </c>
      <c r="V53" s="122" t="e">
        <f xml:space="preserve">
(+ IFERROR(HLOOKUP(V$1,Table_BCTC_Thang[],Sheet_BaoCaoTaiChinh!$A$108,0),Sheet_BaoCaoTaiChinh!$D$108)
+ IFERROR(HLOOKUP(V$1,Table_BCTC_Nam[],Sheet_BaoCaoTaiChinh!$A$114,0),Sheet_BaoCaoTaiChinh!$D$114))
/(+ IFERROR(HLOOKUP(V$1,Table_BCTC_Nam[],Sheet_BaoCaoTaiChinh!$A$117,0),Sheet_BaoCaoTaiChinh!$D$117)
+ IFERROR(HLOOKUP(V$1,Table_BCTC_Nam[],Sheet_BaoCaoTaiChinh!$A$119,0),Sheet_BaoCaoTaiChinh!$D$119))</f>
        <v>#DIV/0!</v>
      </c>
    </row>
    <row r="54" spans="2:22" s="53" customFormat="1" ht="18" customHeight="1" outlineLevel="1" x14ac:dyDescent="0.3">
      <c r="B54" s="74" t="s">
        <v>319</v>
      </c>
      <c r="C54" s="330" cm="1">
        <f t="array" ref="C54">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f>
        <v>0</v>
      </c>
      <c r="D54" s="339" cm="1">
        <f t="array" ref="D54"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f>
        <v>0</v>
      </c>
      <c r="E54" s="339" cm="1">
        <f t="array" ref="E54"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f>
        <v>0</v>
      </c>
      <c r="F54" s="339" cm="1">
        <f t="array" ref="F54"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f>
        <v>0</v>
      </c>
      <c r="G54" s="339" cm="1">
        <f t="array" ref="G54"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f>
        <v>0</v>
      </c>
      <c r="H54" s="339" cm="1">
        <f t="array" ref="H54"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f>
        <v>0</v>
      </c>
      <c r="I54" s="339" cm="1">
        <f t="array" ref="I54"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f>
        <v>0</v>
      </c>
      <c r="J54" s="339" cm="1">
        <f t="array" ref="J54"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f>
        <v>0</v>
      </c>
      <c r="K54" s="339" cm="1">
        <f t="array" ref="K54"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f>
        <v>0</v>
      </c>
      <c r="L54" s="339" cm="1">
        <f t="array" ref="L54"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f>
        <v>0</v>
      </c>
      <c r="M54" s="339" cm="1">
        <f t="array" ref="M54"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f>
        <v>0</v>
      </c>
      <c r="N54" s="339" cm="1">
        <f t="array" ref="N54"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f>
        <v>0</v>
      </c>
      <c r="O54" s="339" cm="1">
        <f t="array" ref="O54"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f>
        <v>0</v>
      </c>
      <c r="P54" s="339"/>
      <c r="Q54" s="264"/>
      <c r="R54" s="74" t="s">
        <v>319</v>
      </c>
      <c r="S54" s="330" cm="1">
        <f t="array" ref="S54">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f>
        <v>0</v>
      </c>
      <c r="T54" s="264"/>
      <c r="U54" s="74" t="s">
        <v>319</v>
      </c>
      <c r="V54" s="339" cm="1">
        <f t="array" ref="V54"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f>
        <v>0</v>
      </c>
    </row>
    <row r="55" spans="2:22" s="41" customFormat="1" ht="18" customHeight="1" outlineLevel="1" x14ac:dyDescent="0.3">
      <c r="B55" s="73" t="s">
        <v>121</v>
      </c>
      <c r="C55" s="331" cm="1">
        <f t="array" ref="C55" xml:space="preserve">
+IFERROR(SUM(_xlfn._xlws.FILTER(Table_ThuChiTC[Giá trị GD],
(Table_ThuChiTC[Loại GD]="THU")*
(Table_ThuChiTC[Nội dung GD]=Sheet_ThuChiTC!$F$10)*
(Table_ThuChiTC[Ngày GD]&gt;=D2)*
(Table_ThuChiTC[Ngày GD]&lt;P2)
)),0)
-IFERROR(SUM(_xlfn._xlws.FILTER(Table_ThuChiTC[Giá trị GD],
(Table_ThuChiTC[Loại GD]="CHI")*
(Table_ThuChiTC[Nội dung GD]=Sheet_ThuChiTC!$F$10)*
(Table_ThuChiTC[Ngày GD]&gt;=D2)*
(Table_ThuChiTC[Ngày GD]&lt;P2)
)),0)</f>
        <v>0</v>
      </c>
      <c r="D55" s="337" cm="1">
        <f t="array" ref="D55" xml:space="preserve">
+IFERROR(SUM(_xlfn._xlws.FILTER(Table_ThuChiTC[Giá trị GD],
(Table_ThuChiTC[Loại GD]="THU")*
(Table_ThuChiTC[Nội dung GD]=Sheet_ThuChiTC!$F$10)*
(Table_ThuChiTC[Ngày GD]&gt;=D2)*
(Table_ThuChiTC[Ngày GD]&lt;E2)
)),0)
-IFERROR(SUM(_xlfn._xlws.FILTER(Table_ThuChiTC[Giá trị GD],
(Table_ThuChiTC[Loại GD]="CHI")*
(Table_ThuChiTC[Nội dung GD]=Sheet_ThuChiTC!$F$10)*
(Table_ThuChiTC[Ngày GD]&gt;=D2)*
(Table_ThuChiTC[Ngày GD]&lt;E2)
)),0)</f>
        <v>0</v>
      </c>
      <c r="E55" s="337" cm="1">
        <f t="array" ref="E55" xml:space="preserve">
+IFERROR(SUM(_xlfn._xlws.FILTER(Table_ThuChiTC[Giá trị GD],
(Table_ThuChiTC[Loại GD]="THU")*
(Table_ThuChiTC[Nội dung GD]=Sheet_ThuChiTC!$F$10)*
(Table_ThuChiTC[Ngày GD]&gt;=E2)*
(Table_ThuChiTC[Ngày GD]&lt;F2)
)),0)
-IFERROR(SUM(_xlfn._xlws.FILTER(Table_ThuChiTC[Giá trị GD],
(Table_ThuChiTC[Loại GD]="CHI")*
(Table_ThuChiTC[Nội dung GD]=Sheet_ThuChiTC!$F$10)*
(Table_ThuChiTC[Ngày GD]&gt;=E2)*
(Table_ThuChiTC[Ngày GD]&lt;F2)
)),0)</f>
        <v>0</v>
      </c>
      <c r="F55" s="337" cm="1">
        <f t="array" ref="F55" xml:space="preserve">
+IFERROR(SUM(_xlfn._xlws.FILTER(Table_ThuChiTC[Giá trị GD],
(Table_ThuChiTC[Loại GD]="THU")*
(Table_ThuChiTC[Nội dung GD]=Sheet_ThuChiTC!$F$10)*
(Table_ThuChiTC[Ngày GD]&gt;=F2)*
(Table_ThuChiTC[Ngày GD]&lt;G2)
)),0)
-IFERROR(SUM(_xlfn._xlws.FILTER(Table_ThuChiTC[Giá trị GD],
(Table_ThuChiTC[Loại GD]="CHI")*
(Table_ThuChiTC[Nội dung GD]=Sheet_ThuChiTC!$F$10)*
(Table_ThuChiTC[Ngày GD]&gt;=F2)*
(Table_ThuChiTC[Ngày GD]&lt;G2)
)),0)</f>
        <v>0</v>
      </c>
      <c r="G55" s="337" cm="1">
        <f t="array" ref="G55" xml:space="preserve">
+IFERROR(SUM(_xlfn._xlws.FILTER(Table_ThuChiTC[Giá trị GD],
(Table_ThuChiTC[Loại GD]="THU")*
(Table_ThuChiTC[Nội dung GD]=Sheet_ThuChiTC!$F$10)*
(Table_ThuChiTC[Ngày GD]&gt;=G2)*
(Table_ThuChiTC[Ngày GD]&lt;H2)
)),0)
-IFERROR(SUM(_xlfn._xlws.FILTER(Table_ThuChiTC[Giá trị GD],
(Table_ThuChiTC[Loại GD]="CHI")*
(Table_ThuChiTC[Nội dung GD]=Sheet_ThuChiTC!$F$10)*
(Table_ThuChiTC[Ngày GD]&gt;=G2)*
(Table_ThuChiTC[Ngày GD]&lt;H2)
)),0)</f>
        <v>0</v>
      </c>
      <c r="H55" s="337" cm="1">
        <f t="array" ref="H55" xml:space="preserve">
+IFERROR(SUM(_xlfn._xlws.FILTER(Table_ThuChiTC[Giá trị GD],
(Table_ThuChiTC[Loại GD]="THU")*
(Table_ThuChiTC[Nội dung GD]=Sheet_ThuChiTC!$F$10)*
(Table_ThuChiTC[Ngày GD]&gt;=H2)*
(Table_ThuChiTC[Ngày GD]&lt;I2)
)),0)
-IFERROR(SUM(_xlfn._xlws.FILTER(Table_ThuChiTC[Giá trị GD],
(Table_ThuChiTC[Loại GD]="CHI")*
(Table_ThuChiTC[Nội dung GD]=Sheet_ThuChiTC!$F$10)*
(Table_ThuChiTC[Ngày GD]&gt;=H2)*
(Table_ThuChiTC[Ngày GD]&lt;I2)
)),0)</f>
        <v>0</v>
      </c>
      <c r="I55" s="337" cm="1">
        <f t="array" ref="I55" xml:space="preserve">
+IFERROR(SUM(_xlfn._xlws.FILTER(Table_ThuChiTC[Giá trị GD],
(Table_ThuChiTC[Loại GD]="THU")*
(Table_ThuChiTC[Nội dung GD]=Sheet_ThuChiTC!$F$10)*
(Table_ThuChiTC[Ngày GD]&gt;=I2)*
(Table_ThuChiTC[Ngày GD]&lt;J2)
)),0)
-IFERROR(SUM(_xlfn._xlws.FILTER(Table_ThuChiTC[Giá trị GD],
(Table_ThuChiTC[Loại GD]="CHI")*
(Table_ThuChiTC[Nội dung GD]=Sheet_ThuChiTC!$F$10)*
(Table_ThuChiTC[Ngày GD]&gt;=I2)*
(Table_ThuChiTC[Ngày GD]&lt;J2)
)),0)</f>
        <v>0</v>
      </c>
      <c r="J55" s="337" cm="1">
        <f t="array" ref="J55" xml:space="preserve">
+IFERROR(SUM(_xlfn._xlws.FILTER(Table_ThuChiTC[Giá trị GD],
(Table_ThuChiTC[Loại GD]="THU")*
(Table_ThuChiTC[Nội dung GD]=Sheet_ThuChiTC!$F$10)*
(Table_ThuChiTC[Ngày GD]&gt;=J2)*
(Table_ThuChiTC[Ngày GD]&lt;K2)
)),0)
-IFERROR(SUM(_xlfn._xlws.FILTER(Table_ThuChiTC[Giá trị GD],
(Table_ThuChiTC[Loại GD]="CHI")*
(Table_ThuChiTC[Nội dung GD]=Sheet_ThuChiTC!$F$10)*
(Table_ThuChiTC[Ngày GD]&gt;=J2)*
(Table_ThuChiTC[Ngày GD]&lt;K2)
)),0)</f>
        <v>0</v>
      </c>
      <c r="K55" s="337" cm="1">
        <f t="array" ref="K55" xml:space="preserve">
+IFERROR(SUM(_xlfn._xlws.FILTER(Table_ThuChiTC[Giá trị GD],
(Table_ThuChiTC[Loại GD]="THU")*
(Table_ThuChiTC[Nội dung GD]=Sheet_ThuChiTC!$F$10)*
(Table_ThuChiTC[Ngày GD]&gt;=K2)*
(Table_ThuChiTC[Ngày GD]&lt;L2)
)),0)
-IFERROR(SUM(_xlfn._xlws.FILTER(Table_ThuChiTC[Giá trị GD],
(Table_ThuChiTC[Loại GD]="CHI")*
(Table_ThuChiTC[Nội dung GD]=Sheet_ThuChiTC!$F$10)*
(Table_ThuChiTC[Ngày GD]&gt;=K2)*
(Table_ThuChiTC[Ngày GD]&lt;L2)
)),0)</f>
        <v>0</v>
      </c>
      <c r="L55" s="337" cm="1">
        <f t="array" ref="L55" xml:space="preserve">
+IFERROR(SUM(_xlfn._xlws.FILTER(Table_ThuChiTC[Giá trị GD],
(Table_ThuChiTC[Loại GD]="THU")*
(Table_ThuChiTC[Nội dung GD]=Sheet_ThuChiTC!$F$10)*
(Table_ThuChiTC[Ngày GD]&gt;=L2)*
(Table_ThuChiTC[Ngày GD]&lt;M2)
)),0)
-IFERROR(SUM(_xlfn._xlws.FILTER(Table_ThuChiTC[Giá trị GD],
(Table_ThuChiTC[Loại GD]="CHI")*
(Table_ThuChiTC[Nội dung GD]=Sheet_ThuChiTC!$F$10)*
(Table_ThuChiTC[Ngày GD]&gt;=L2)*
(Table_ThuChiTC[Ngày GD]&lt;M2)
)),0)</f>
        <v>0</v>
      </c>
      <c r="M55" s="337" cm="1">
        <f t="array" ref="M55" xml:space="preserve">
+IFERROR(SUM(_xlfn._xlws.FILTER(Table_ThuChiTC[Giá trị GD],
(Table_ThuChiTC[Loại GD]="THU")*
(Table_ThuChiTC[Nội dung GD]=Sheet_ThuChiTC!$F$10)*
(Table_ThuChiTC[Ngày GD]&gt;=M2)*
(Table_ThuChiTC[Ngày GD]&lt;N2)
)),0)
-IFERROR(SUM(_xlfn._xlws.FILTER(Table_ThuChiTC[Giá trị GD],
(Table_ThuChiTC[Loại GD]="CHI")*
(Table_ThuChiTC[Nội dung GD]=Sheet_ThuChiTC!$F$10)*
(Table_ThuChiTC[Ngày GD]&gt;=M2)*
(Table_ThuChiTC[Ngày GD]&lt;N2)
)),0)</f>
        <v>0</v>
      </c>
      <c r="N55" s="337" cm="1">
        <f t="array" ref="N55" xml:space="preserve">
+IFERROR(SUM(_xlfn._xlws.FILTER(Table_ThuChiTC[Giá trị GD],
(Table_ThuChiTC[Loại GD]="THU")*
(Table_ThuChiTC[Nội dung GD]=Sheet_ThuChiTC!$F$10)*
(Table_ThuChiTC[Ngày GD]&gt;=N2)*
(Table_ThuChiTC[Ngày GD]&lt;O2)
)),0)
-IFERROR(SUM(_xlfn._xlws.FILTER(Table_ThuChiTC[Giá trị GD],
(Table_ThuChiTC[Loại GD]="CHI")*
(Table_ThuChiTC[Nội dung GD]=Sheet_ThuChiTC!$F$10)*
(Table_ThuChiTC[Ngày GD]&gt;=N2)*
(Table_ThuChiTC[Ngày GD]&lt;O2)
)),0)</f>
        <v>0</v>
      </c>
      <c r="O55" s="337" cm="1">
        <f t="array" ref="O55" xml:space="preserve">
+IFERROR(SUM(_xlfn._xlws.FILTER(Table_ThuChiTC[Giá trị GD],
(Table_ThuChiTC[Loại GD]="THU")*
(Table_ThuChiTC[Nội dung GD]=Sheet_ThuChiTC!$F$10)*
(Table_ThuChiTC[Ngày GD]&gt;=O2)*
(Table_ThuChiTC[Ngày GD]&lt;P2)
)),0)
-IFERROR(SUM(_xlfn._xlws.FILTER(Table_ThuChiTC[Giá trị GD],
(Table_ThuChiTC[Loại GD]="CHI")*
(Table_ThuChiTC[Nội dung GD]=Sheet_ThuChiTC!$F$10)*
(Table_ThuChiTC[Ngày GD]&gt;=O2)*
(Table_ThuChiTC[Ngày GD]&lt;P2)
)),0)</f>
        <v>0</v>
      </c>
      <c r="P55" s="326"/>
      <c r="Q55" s="266"/>
      <c r="R55" s="73" t="s">
        <v>121</v>
      </c>
      <c r="S55" s="331" cm="1">
        <f t="array" ref="S55" xml:space="preserve">
+IFERROR(SUM(_xlfn._xlws.FILTER(Table_ThuChiTC[Giá trị GD],
(Table_ThuChiTC[Loại GD]="THU")*
(Table_ThuChiTC[Nội dung GD]="Cổ tức, lợi nhuận đã trả cho chú sở hữu")*
(Table_ThuChiTC[Ngày GD]&gt;=DATE(S$1,1,1))*
(Table_ThuChiTC[Ngày GD]&lt;DATE(S$1+1,1,1))
)),0)
-IFERROR(SUM(_xlfn._xlws.FILTER(Table_ThuChiTC[Giá trị GD],
(Table_ThuChiTC[Loại GD]="CHI")*
(Table_ThuChiTC[Nội dung GD]="Cổ tức, lợi nhuận đã trả cho chú sở hữu")*
(Table_ThuChiTC[Ngày GD]&gt;=DATE(S$1,1,1))*
(Table_ThuChiTC[Ngày GD]&lt;DATE(S$1+1,1,1))
)),0)</f>
        <v>0</v>
      </c>
      <c r="T55" s="266"/>
      <c r="U55" s="73" t="s">
        <v>121</v>
      </c>
      <c r="V55" s="337" cm="1">
        <f t="array" ref="V55" xml:space="preserve">
+IFERROR(SUM(_xlfn._xlws.FILTER(Table_ThuChiTC[Giá trị GD],
(Table_ThuChiTC[Loại GD]="THU")*
(Table_ThuChiTC[Nội dung GD]="Cổ tức, lợi nhuận đã trả cho chú sở hữu")*
(Table_ThuChiTC[Ngày GD]&gt;=V$1)*
(Table_ThuChiTC[Ngày GD]&lt;DATE(YEAR(V$1),MONTH(V$1)+1,1))
)),0)
-IFERROR(SUM(_xlfn._xlws.FILTER(Table_ThuChiTC[Giá trị GD],
(Table_ThuChiTC[Loại GD]="CHI")*
(Table_ThuChiTC[Nội dung GD]="Cổ tức, lợi nhuận đã trả cho chú sở hữu")*
(Table_ThuChiTC[Ngày GD]&gt;=V$1)*
(Table_ThuChiTC[Ngày GD]&lt;DATE(YEAR(V$1),MONTH(V$1)+1,1))
)),0)</f>
        <v>0</v>
      </c>
    </row>
    <row r="56" spans="2:22" ht="18" customHeight="1" outlineLevel="1" x14ac:dyDescent="0.3">
      <c r="B56" s="87" t="s">
        <v>320</v>
      </c>
      <c r="C56" s="334" cm="1">
        <f t="array" ref="C56">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+C47+SUM(C50:C52)+SUM(C45:C46)+C55</f>
        <v>0</v>
      </c>
      <c r="D56" s="334" cm="1">
        <f t="array" ref="D56"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+SUM($D$47:D47)+SUM($D$50:D52)+SUM($D$45:D46)+SUM($D$55:D55)</f>
        <v>0</v>
      </c>
      <c r="E56" s="334" cm="1">
        <f t="array" ref="E56"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+SUM($D$47:E47)+SUM($D$50:E52)+SUM($D$45:E46)+SUM($D$55:E55)</f>
        <v>0</v>
      </c>
      <c r="F56" s="334" cm="1">
        <f t="array" ref="F56"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+SUM($D$47:F47)+SUM($D$50:F52)+SUM($D$45:F46)+SUM($D$55:F55)</f>
        <v>0</v>
      </c>
      <c r="G56" s="334" cm="1">
        <f t="array" ref="G56"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+SUM($D$47:G47)+SUM($D$50:G52)+SUM($D$45:G46)+SUM($D$55:G55)</f>
        <v>0</v>
      </c>
      <c r="H56" s="334" cm="1">
        <f t="array" ref="H56"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+SUM($D$47:H47)+SUM($D$50:H52)+SUM($D$45:H46)+SUM($D$55:H55)</f>
        <v>0</v>
      </c>
      <c r="I56" s="334" cm="1">
        <f t="array" ref="I56"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+SUM($D$47:I47)+SUM($D$50:I52)+SUM($D$45:I46)+SUM($D$55:I55)</f>
        <v>0</v>
      </c>
      <c r="J56" s="334" cm="1">
        <f t="array" ref="J56"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+SUM($D$47:J47)+SUM($D$50:J52)+SUM($D$45:J46)+SUM($D$55:J55)</f>
        <v>0</v>
      </c>
      <c r="K56" s="334" cm="1">
        <f t="array" ref="K56"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+SUM($D$47:K47)+SUM($D$50:K52)+SUM($D$45:K46)+SUM($D$55:K55)</f>
        <v>0</v>
      </c>
      <c r="L56" s="334" cm="1">
        <f t="array" ref="L56"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+SUM($D$47:L47)+SUM($D$50:L52)+SUM($D$45:L46)+SUM($D$55:L55)</f>
        <v>0</v>
      </c>
      <c r="M56" s="334" cm="1">
        <f t="array" ref="M56"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+SUM($D$47:M47)+SUM($D$50:M52)+SUM($D$45:M46)+SUM($D$55:M55)</f>
        <v>0</v>
      </c>
      <c r="N56" s="334" cm="1">
        <f t="array" ref="N56"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+SUM($D$47:N47)+SUM($D$50:N52)+SUM($D$45:N46)+SUM($D$55:N55)</f>
        <v>0</v>
      </c>
      <c r="O56" s="334" cm="1">
        <f t="array" ref="O56"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+SUM($D$47:O47)+SUM($D$50:O52)+SUM($D$45:O46)+SUM($D$55:O55)</f>
        <v>0</v>
      </c>
      <c r="P56" s="326"/>
      <c r="Q56" s="242"/>
      <c r="R56" s="87" t="s">
        <v>320</v>
      </c>
      <c r="S56" s="334" cm="1">
        <f t="array" ref="S56">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)),0)+S47+SUM(S50:S52)+SUM(S45:S46)+S55</f>
        <v>0</v>
      </c>
      <c r="T56" s="242"/>
      <c r="U56" s="87" t="s">
        <v>320</v>
      </c>
      <c r="V56" s="334" cm="1">
        <f t="array" ref="V56"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+V47+SUM(V50:V52)+SUM(V45:V46)+V55</f>
        <v>0</v>
      </c>
    </row>
    <row r="57" spans="2:22" ht="18" customHeight="1" x14ac:dyDescent="0.3">
      <c r="Q57" s="242"/>
      <c r="T57" s="242"/>
    </row>
  </sheetData>
  <sheetProtection algorithmName="SHA-512" hashValue="ya+UT3EKjrHYzsxQ/gyW2ZbOuiZq5lrgUGlT1EXJltvXN3/UAMbIH748SUlnz8ZeczsGTCPVAHlG8y5ftpG5bg==" saltValue="AlThXClv8DL4oVAQlKlLQA==" spinCount="100000" sheet="1" scenarios="1" formatCells="0" formatColumns="0" formatRows="0" insertColumns="0" insertRows="0" deleteColumns="0" deleteRows="0" sort="0" autoFilter="0" pivotTables="0"/>
  <protectedRanges>
    <protectedRange sqref="B11 B21 B8 R21 R8 S3:S4 U21 U8 R11 U11 V3:V4 P3:P56 V9 C53 S19:S21 V19:V21 S31 V31 S36:S37 V36:V37 S41 V41 S43 V43 S47 V47 S53 S33 V33" name="Range1_63"/>
    <protectedRange sqref="D19:O19 B6:B7 C22:C30 C5 C9 R6:R7 U6:U7 U3:U4 B56 B3:C4 R3:R4 U39:U40 U33 U42:U43 R42:R43 R47 U56 R56 R31 B39:B40 B33 C44:C46 B42:B43 C51:C52 B47 B31 U31 U47 R39:R40 R33 S5 V5 S9 S14 D16:O16 S16:S17 V16:V17 S44:S46 S51:S52 C54:C55 S54:S55 C12:C14 C16:C19 S22:S30" name="Range1_63_63_1"/>
    <protectedRange sqref="B19 C20:O20 R9 R5 U19 U9 R19 U5 R54 U49 U54 B49 B54 R49 C10:O10 S10 V10" name="Range1_5_1_3_1_2"/>
    <protectedRange sqref="B17 R17 U17" name="Range1_5_1"/>
    <protectedRange sqref="B5" name="Range1_5"/>
    <protectedRange sqref="B9" name="Range1_5_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Option Button 1">
              <controlPr defaultSize="0" autoFill="0" autoLine="0" autoPict="0" macro="[0]!DoiDonViHienThi">
                <anchor moveWithCells="1">
                  <from>
                    <xdr:col>1</xdr:col>
                    <xdr:colOff>171450</xdr:colOff>
                    <xdr:row>0</xdr:row>
                    <xdr:rowOff>152400</xdr:rowOff>
                  </from>
                  <to>
                    <xdr:col>1</xdr:col>
                    <xdr:colOff>762000</xdr:colOff>
                    <xdr:row>1</xdr:row>
                    <xdr:rowOff>200025</xdr:rowOff>
                  </to>
                </anchor>
              </controlPr>
            </control>
          </mc:Choice>
        </mc:AlternateContent>
        <mc:AlternateContent xmlns:mc="http://schemas.openxmlformats.org/markup-compatibility/2006">
          <mc:Choice Requires="x14">
            <control shapeId="51202" r:id="rId4" name="Option Button 2">
              <controlPr defaultSize="0" autoFill="0" autoLine="0" autoPict="0" macro="[0]!DoiDonViHienThi">
                <anchor moveWithCells="1">
                  <from>
                    <xdr:col>1</xdr:col>
                    <xdr:colOff>638175</xdr:colOff>
                    <xdr:row>0</xdr:row>
                    <xdr:rowOff>152400</xdr:rowOff>
                  </from>
                  <to>
                    <xdr:col>1</xdr:col>
                    <xdr:colOff>1228725</xdr:colOff>
                    <xdr:row>1</xdr:row>
                    <xdr:rowOff>200025</xdr:rowOff>
                  </to>
                </anchor>
              </controlPr>
            </control>
          </mc:Choice>
        </mc:AlternateContent>
        <mc:AlternateContent xmlns:mc="http://schemas.openxmlformats.org/markup-compatibility/2006">
          <mc:Choice Requires="x14">
            <control shapeId="51203" r:id="rId5" name="Option Button 3">
              <controlPr defaultSize="0" autoFill="0" autoLine="0" autoPict="0" macro="[0]!DoiDonViHienThi">
                <anchor moveWithCells="1">
                  <from>
                    <xdr:col>1</xdr:col>
                    <xdr:colOff>1104900</xdr:colOff>
                    <xdr:row>0</xdr:row>
                    <xdr:rowOff>152400</xdr:rowOff>
                  </from>
                  <to>
                    <xdr:col>1</xdr:col>
                    <xdr:colOff>1695450</xdr:colOff>
                    <xdr:row>1</xdr:row>
                    <xdr:rowOff>200025</xdr:rowOff>
                  </to>
                </anchor>
              </controlPr>
            </control>
          </mc:Choice>
        </mc:AlternateContent>
        <mc:AlternateContent xmlns:mc="http://schemas.openxmlformats.org/markup-compatibility/2006">
          <mc:Choice Requires="x14">
            <control shapeId="51204" r:id="rId6" name="Option Button 4">
              <controlPr defaultSize="0" autoFill="0" autoLine="0" autoPict="0" macro="[0]!DoiDonViHienThi">
                <anchor moveWithCells="1">
                  <from>
                    <xdr:col>1</xdr:col>
                    <xdr:colOff>1581150</xdr:colOff>
                    <xdr:row>0</xdr:row>
                    <xdr:rowOff>152400</xdr:rowOff>
                  </from>
                  <to>
                    <xdr:col>1</xdr:col>
                    <xdr:colOff>1933575</xdr:colOff>
                    <xdr:row>1</xdr:row>
                    <xdr:rowOff>200025</xdr:rowOff>
                  </to>
                </anchor>
              </controlPr>
            </control>
          </mc:Choice>
        </mc:AlternateContent>
        <mc:AlternateContent xmlns:mc="http://schemas.openxmlformats.org/markup-compatibility/2006">
          <mc:Choice Requires="x14">
            <control shapeId="51205" r:id="rId7" name="Group Box 5">
              <controlPr defaultSize="0" autoFill="0" autoPict="0">
                <anchor moveWithCells="1">
                  <from>
                    <xdr:col>1</xdr:col>
                    <xdr:colOff>57150</xdr:colOff>
                    <xdr:row>0</xdr:row>
                    <xdr:rowOff>104775</xdr:rowOff>
                  </from>
                  <to>
                    <xdr:col>1</xdr:col>
                    <xdr:colOff>2047875</xdr:colOff>
                    <xdr:row>2</xdr:row>
                    <xdr:rowOff>9525</xdr:rowOff>
                  </to>
                </anchor>
              </controlPr>
            </control>
          </mc:Choice>
        </mc:AlternateContent>
        <mc:AlternateContent xmlns:mc="http://schemas.openxmlformats.org/markup-compatibility/2006">
          <mc:Choice Requires="x14">
            <control shapeId="51206" r:id="rId8" name="Button 6">
              <controlPr defaultSize="0" print="0" autoFill="0" autoPict="0" macro="[0]!AddColumn">
                <anchor moveWithCells="1" sizeWithCells="1">
                  <from>
                    <xdr:col>18</xdr:col>
                    <xdr:colOff>314325</xdr:colOff>
                    <xdr:row>0</xdr:row>
                    <xdr:rowOff>47625</xdr:rowOff>
                  </from>
                  <to>
                    <xdr:col>18</xdr:col>
                    <xdr:colOff>676275</xdr:colOff>
                    <xdr:row>1</xdr:row>
                    <xdr:rowOff>76200</xdr:rowOff>
                  </to>
                </anchor>
              </controlPr>
            </control>
          </mc:Choice>
        </mc:AlternateContent>
        <mc:AlternateContent xmlns:mc="http://schemas.openxmlformats.org/markup-compatibility/2006">
          <mc:Choice Requires="x14">
            <control shapeId="51207" r:id="rId9" name="Button 7">
              <controlPr defaultSize="0" print="0" autoFill="0" autoPict="0" macro="[0]!DeleteColumn">
                <anchor moveWithCells="1" sizeWithCells="1">
                  <from>
                    <xdr:col>19</xdr:col>
                    <xdr:colOff>38100</xdr:colOff>
                    <xdr:row>0</xdr:row>
                    <xdr:rowOff>47625</xdr:rowOff>
                  </from>
                  <to>
                    <xdr:col>19</xdr:col>
                    <xdr:colOff>400050</xdr:colOff>
                    <xdr:row>1</xdr:row>
                    <xdr:rowOff>76200</xdr:rowOff>
                  </to>
                </anchor>
              </controlPr>
            </control>
          </mc:Choice>
        </mc:AlternateContent>
        <mc:AlternateContent xmlns:mc="http://schemas.openxmlformats.org/markup-compatibility/2006">
          <mc:Choice Requires="x14">
            <control shapeId="51208" r:id="rId10" name="Button 8">
              <controlPr defaultSize="0" print="0" autoFill="0" autoPict="0" macro="[0]!AddColumn">
                <anchor moveWithCells="1" sizeWithCells="1">
                  <from>
                    <xdr:col>21</xdr:col>
                    <xdr:colOff>304800</xdr:colOff>
                    <xdr:row>0</xdr:row>
                    <xdr:rowOff>28575</xdr:rowOff>
                  </from>
                  <to>
                    <xdr:col>21</xdr:col>
                    <xdr:colOff>666750</xdr:colOff>
                    <xdr:row>1</xdr:row>
                    <xdr:rowOff>57150</xdr:rowOff>
                  </to>
                </anchor>
              </controlPr>
            </control>
          </mc:Choice>
        </mc:AlternateContent>
        <mc:AlternateContent xmlns:mc="http://schemas.openxmlformats.org/markup-compatibility/2006">
          <mc:Choice Requires="x14">
            <control shapeId="51209" r:id="rId11" name="Button 9">
              <controlPr defaultSize="0" print="0" autoFill="0" autoPict="0" macro="[0]!DeleteColumn">
                <anchor moveWithCells="1" sizeWithCells="1">
                  <from>
                    <xdr:col>22</xdr:col>
                    <xdr:colOff>28575</xdr:colOff>
                    <xdr:row>0</xdr:row>
                    <xdr:rowOff>28575</xdr:rowOff>
                  </from>
                  <to>
                    <xdr:col>22</xdr:col>
                    <xdr:colOff>390525</xdr:colOff>
                    <xdr:row>1</xdr:row>
                    <xdr:rowOff>57150</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T3:U3 A2:R3 W2:XFD3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V3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S3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M508"/>
  <sheetViews>
    <sheetView showGridLines="0" topLeftCell="A105" zoomScaleNormal="100" workbookViewId="0">
      <selection activeCell="D108" sqref="D108"/>
    </sheetView>
  </sheetViews>
  <sheetFormatPr defaultRowHeight="18" customHeight="1" outlineLevelRow="3" outlineLevelCol="1" x14ac:dyDescent="0.15"/>
  <cols>
    <col min="1" max="1" width="9.625" style="7" customWidth="1"/>
    <col min="2" max="2" width="9.25" style="15" bestFit="1" customWidth="1"/>
    <col min="3" max="3" width="40.125" style="7" bestFit="1" customWidth="1"/>
    <col min="4" max="4" width="9.75" style="44" customWidth="1" outlineLevel="1"/>
    <col min="5" max="5" width="18.375" style="15" customWidth="1"/>
    <col min="6" max="6" width="15.625" style="15" bestFit="1" customWidth="1"/>
    <col min="7" max="7" width="1.625" style="15" customWidth="1"/>
    <col min="8" max="8" width="7.75" style="7" customWidth="1"/>
    <col min="9" max="9" width="41.625" style="44" bestFit="1" customWidth="1"/>
    <col min="10" max="10" width="11.5" style="44" customWidth="1"/>
    <col min="11" max="11" width="12.625" style="44" customWidth="1"/>
    <col min="12" max="12" width="1.625" style="15" customWidth="1"/>
    <col min="13" max="13" width="6.375" style="7" customWidth="1"/>
    <col min="14" max="14" width="36.5" style="44" customWidth="1"/>
    <col min="15" max="15" width="9.625" style="44" customWidth="1"/>
    <col min="16" max="38" width="12.625" style="44" customWidth="1"/>
    <col min="39" max="39" width="12.625" style="15" customWidth="1"/>
    <col min="40" max="40" width="12.625" style="7" customWidth="1"/>
    <col min="41" max="16384" width="9" style="7"/>
  </cols>
  <sheetData>
    <row r="1" spans="1:39" ht="18" customHeight="1" x14ac:dyDescent="0.15">
      <c r="A1" s="242"/>
      <c r="B1" s="244"/>
      <c r="C1" s="41" t="s">
        <v>356</v>
      </c>
      <c r="D1" s="265"/>
      <c r="E1" s="351"/>
      <c r="F1" s="351"/>
      <c r="G1" s="244"/>
      <c r="H1" s="242"/>
      <c r="I1" s="242"/>
      <c r="J1" s="351"/>
      <c r="K1" s="351"/>
      <c r="L1" s="244"/>
      <c r="M1" s="242"/>
      <c r="N1" s="242"/>
      <c r="O1" s="351"/>
      <c r="P1" s="350"/>
      <c r="Q1" s="242"/>
      <c r="R1" s="242"/>
      <c r="S1" s="242"/>
      <c r="T1" s="242"/>
      <c r="U1" s="242"/>
      <c r="V1" s="242"/>
      <c r="W1" s="242"/>
      <c r="X1" s="242"/>
      <c r="Y1" s="242"/>
      <c r="Z1" s="242"/>
      <c r="AA1" s="242"/>
      <c r="AB1" s="242"/>
      <c r="AC1" s="242"/>
      <c r="AD1" s="242"/>
      <c r="AE1" s="242"/>
      <c r="AF1" s="242"/>
      <c r="AG1" s="242"/>
      <c r="AH1" s="242"/>
      <c r="AI1" s="242"/>
      <c r="AJ1" s="242"/>
      <c r="AK1" s="242"/>
      <c r="AL1" s="242"/>
      <c r="AM1" s="242"/>
    </row>
    <row r="2" spans="1:39" ht="18" customHeight="1" x14ac:dyDescent="0.3">
      <c r="A2" s="242"/>
      <c r="B2" s="244"/>
      <c r="C2" s="7" t="s">
        <v>889</v>
      </c>
      <c r="D2" s="457">
        <v>45915</v>
      </c>
      <c r="E2" s="352">
        <f>+E77+E90-E101-E115</f>
        <v>-4050000000</v>
      </c>
      <c r="F2" s="352">
        <f>+F77+F90-F101-F115</f>
        <v>-4050000000</v>
      </c>
      <c r="G2" s="244"/>
      <c r="H2" s="242"/>
      <c r="I2" s="242"/>
      <c r="J2" s="242"/>
      <c r="K2" s="242"/>
      <c r="L2" s="244"/>
      <c r="M2" s="242"/>
      <c r="N2" s="242"/>
      <c r="O2" s="242"/>
      <c r="P2" s="242"/>
      <c r="Q2" s="242"/>
      <c r="R2" s="242"/>
      <c r="S2" s="242"/>
      <c r="T2" s="242"/>
      <c r="U2" s="242"/>
      <c r="V2" s="242"/>
      <c r="W2" s="242"/>
      <c r="X2" s="242"/>
      <c r="Y2" s="242"/>
      <c r="Z2" s="242"/>
      <c r="AA2" s="242"/>
      <c r="AB2" s="242"/>
      <c r="AC2" s="242"/>
      <c r="AD2" s="242"/>
      <c r="AE2" s="242"/>
      <c r="AF2" s="242"/>
      <c r="AG2" s="242"/>
      <c r="AH2" s="242"/>
      <c r="AI2" s="242"/>
      <c r="AJ2" s="242"/>
      <c r="AK2" s="242"/>
      <c r="AL2" s="242"/>
      <c r="AM2" s="242"/>
    </row>
    <row r="3" spans="1:39" ht="18" customHeight="1" x14ac:dyDescent="0.3">
      <c r="A3" s="242"/>
      <c r="B3" s="3" t="s">
        <v>357</v>
      </c>
      <c r="C3" s="4" t="s">
        <v>884</v>
      </c>
      <c r="D3" s="12" t="s">
        <v>358</v>
      </c>
      <c r="E3" s="3" t="s">
        <v>359</v>
      </c>
      <c r="F3" s="4" t="s">
        <v>360</v>
      </c>
      <c r="G3" s="353"/>
      <c r="H3" s="3" t="s">
        <v>357</v>
      </c>
      <c r="I3" s="4" t="s">
        <v>884</v>
      </c>
      <c r="J3" s="4" t="s">
        <v>901</v>
      </c>
      <c r="K3" s="4" t="s">
        <v>883</v>
      </c>
      <c r="L3" s="244"/>
      <c r="M3" s="3" t="s">
        <v>357</v>
      </c>
      <c r="N3" s="4" t="s">
        <v>884</v>
      </c>
      <c r="O3" s="4" t="s">
        <v>902</v>
      </c>
      <c r="P3" s="4" t="s">
        <v>883</v>
      </c>
      <c r="Q3" s="242"/>
      <c r="R3" s="242"/>
      <c r="S3" s="242"/>
      <c r="T3" s="242"/>
      <c r="U3" s="242"/>
      <c r="V3" s="242"/>
      <c r="W3" s="242"/>
      <c r="X3" s="242"/>
      <c r="Y3" s="242"/>
      <c r="Z3" s="242"/>
      <c r="AA3" s="242"/>
      <c r="AB3" s="242"/>
      <c r="AC3" s="242"/>
      <c r="AD3" s="242"/>
      <c r="AE3" s="242"/>
      <c r="AF3" s="242"/>
      <c r="AG3" s="242"/>
      <c r="AH3" s="242"/>
      <c r="AI3" s="242"/>
      <c r="AJ3" s="242"/>
      <c r="AK3" s="242"/>
      <c r="AL3" s="242"/>
      <c r="AM3" s="242"/>
    </row>
    <row r="4" spans="1:39" s="69" customFormat="1" ht="18" customHeight="1" x14ac:dyDescent="0.3">
      <c r="A4" s="242">
        <f>+A3+1</f>
        <v>1</v>
      </c>
      <c r="B4" s="354"/>
      <c r="C4" s="74" t="s">
        <v>361</v>
      </c>
      <c r="D4" s="353"/>
      <c r="E4" s="75" t="str">
        <f>CONCATENATE(BCTC_Nam, " / Đầu kỳ")</f>
        <v xml:space="preserve"> / Đầu kỳ</v>
      </c>
      <c r="F4" s="76" t="str">
        <f>CONCATENATE(BCTC_Thang,"-",BCTC_Nam, " / Cuối kỳ")</f>
        <v>- / Cuối kỳ</v>
      </c>
      <c r="G4" s="355"/>
      <c r="H4" s="354"/>
      <c r="I4" s="74" t="s">
        <v>361</v>
      </c>
      <c r="J4" s="356"/>
      <c r="K4" s="356">
        <f>K$1</f>
        <v>0</v>
      </c>
      <c r="L4" s="357"/>
      <c r="M4" s="354"/>
      <c r="N4" s="74" t="s">
        <v>361</v>
      </c>
      <c r="O4" s="356"/>
      <c r="P4" s="76">
        <f>P$1</f>
        <v>0</v>
      </c>
      <c r="Q4" s="357"/>
      <c r="R4" s="357"/>
      <c r="S4" s="357"/>
      <c r="T4" s="357"/>
      <c r="U4" s="357"/>
      <c r="V4" s="357"/>
      <c r="W4" s="357"/>
      <c r="X4" s="357"/>
      <c r="Y4" s="357"/>
      <c r="Z4" s="357"/>
      <c r="AA4" s="357"/>
      <c r="AB4" s="357"/>
      <c r="AC4" s="357"/>
      <c r="AD4" s="357"/>
      <c r="AE4" s="357"/>
      <c r="AF4" s="357"/>
      <c r="AG4" s="357"/>
      <c r="AH4" s="357"/>
      <c r="AI4" s="357"/>
      <c r="AJ4" s="357"/>
      <c r="AK4" s="357"/>
      <c r="AL4" s="357"/>
      <c r="AM4" s="357"/>
    </row>
    <row r="5" spans="1:39" ht="18" customHeight="1" collapsed="1" x14ac:dyDescent="0.15">
      <c r="A5" s="242">
        <f t="shared" ref="A5:A68" si="0">+A4+1</f>
        <v>2</v>
      </c>
      <c r="B5" s="262"/>
      <c r="C5" s="74" t="s">
        <v>362</v>
      </c>
      <c r="D5" s="265"/>
      <c r="E5" s="358"/>
      <c r="F5" s="358"/>
      <c r="G5" s="242"/>
      <c r="H5" s="359"/>
      <c r="I5" s="74" t="s">
        <v>362</v>
      </c>
      <c r="J5" s="358"/>
      <c r="K5" s="358"/>
      <c r="L5" s="242"/>
      <c r="M5" s="359"/>
      <c r="N5" s="74" t="s">
        <v>362</v>
      </c>
      <c r="O5" s="358"/>
      <c r="P5" s="358"/>
      <c r="Q5" s="242"/>
      <c r="R5" s="242"/>
      <c r="S5" s="242"/>
      <c r="T5" s="242"/>
      <c r="U5" s="242"/>
      <c r="V5" s="242"/>
      <c r="W5" s="242"/>
      <c r="X5" s="242"/>
      <c r="Y5" s="242"/>
      <c r="Z5" s="242"/>
      <c r="AA5" s="242"/>
      <c r="AB5" s="242"/>
      <c r="AC5" s="242"/>
      <c r="AD5" s="242"/>
      <c r="AE5" s="242"/>
      <c r="AF5" s="242"/>
      <c r="AG5" s="242"/>
      <c r="AH5" s="242"/>
      <c r="AI5" s="242"/>
      <c r="AJ5" s="242"/>
      <c r="AK5" s="242"/>
      <c r="AL5" s="242"/>
      <c r="AM5" s="242"/>
    </row>
    <row r="6" spans="1:39" s="53" customFormat="1" ht="18" hidden="1" customHeight="1" outlineLevel="1" x14ac:dyDescent="0.3">
      <c r="A6" s="242">
        <f t="shared" si="0"/>
        <v>3</v>
      </c>
      <c r="B6" s="360"/>
      <c r="C6" s="72" t="s">
        <v>73</v>
      </c>
      <c r="D6" s="361"/>
      <c r="E6" s="362" cm="1">
        <f t="array" ref="E6">+IFERROR(SUM(
_xlfn._xlws.FILTER(Table_Main[Số lượng],
NOT(ISBLANK(Table_Main[Đơn bán]))*
(Table_Main[Loại] = "Xuất")*
(Table_Main[Ngày lên đơn] &gt;= DATE(BCTC_Nam, 1, 1))*
(Table_Main[Ngày lên đơn] &lt; DATE(BCTC_Nam+1, 1, 1))
)),0)
-IFERROR(SUM(
_xlfn._xlws.FILTER(Table_Main[Số lượng],
NOT(ISBLANK(Table_Main[Đơn bán]))*
(Table_Main[Loại] = "Nhập")*
(Table_Main[Ngày lên đơn] &gt;= DATE(BCTC_Nam, 1, 1))*
(Table_Main[Ngày lên đơn] &lt; DATE(BCTC_Nam+1, 1, 1))
)),0)</f>
        <v>0</v>
      </c>
      <c r="F6" s="363" cm="1">
        <f t="array" ref="F6">+IFERROR(SUM(
_xlfn._xlws.FILTER(Table_Main[Số lượng],
(NOT(ISBLANK(Table_Main[Đơn bán])))*
(Table_Main[Loại] = "Xuất")*
(Table_Main[Ngày lên đơn] &gt;= DATE(BCTC_Nam, BCTC_Thang, 1))*
(Table_Main[Ngày lên đơn] &lt; DATE(BCTC_Nam, BCTC_Thang+1, 1))
)),0)
-IFERROR(SUM(
_xlfn._xlws.FILTER(Table_Main[Số lượng],
(NOT(ISBLANK(Table_Main[Đơn bán])))*
(Table_Main[Loại] = "Nhập")*
(Table_Main[Ngày lên đơn] &gt;= DATE(BCTC_Nam, BCTC_Thang, 1))*
(Table_Main[Ngày lên đơn] &lt; DATE(BCTC_Nam, BCTC_Thang+1, 1))
)),0)</f>
        <v>0</v>
      </c>
      <c r="G6" s="362"/>
      <c r="H6" s="360"/>
      <c r="I6" s="72" t="s">
        <v>73</v>
      </c>
      <c r="J6" s="362" cm="1">
        <f t="array" ref="J6">+IFERROR(SUM(
_xlfn._xlws.FILTER(Table_Main[Số lượng],
NOT(ISBLANK(Table_Main[Đơn bán]))*
(Table_Main[Loại] = "Xuất")*
(Table_Main[Ngày lên đơn] &gt;= DATE(J$1, 1, 1))*
(Table_Main[Ngày lên đơn] &lt; DATE(J$1+1, 1, 1))
)),0)
-IFERROR(SUM(
_xlfn._xlws.FILTER(Table_Main[Số lượng],
NOT(ISBLANK(Table_Main[Đơn bán]))*
(Table_Main[Loại] = "Nhập")*
(Table_Main[Ngày lên đơn] &gt;= DATE(J$1, 1, 1))*
(Table_Main[Ngày lên đơn] &lt; DATE(J$1+1, 1, 1))
)),0)</f>
        <v>0</v>
      </c>
      <c r="K6" s="362" cm="1">
        <f t="array" ref="K6">+IFERROR(SUM(
_xlfn._xlws.FILTER(Table_Main[Số lượng],
NOT(ISBLANK(Table_Main[Đơn bán]))*
(Table_Main[Loại] = "Xuất")*
(Table_Main[Ngày lên đơn] &gt;= DATE(K$1, 1, 1))*
(Table_Main[Ngày lên đơn] &lt; DATE(K$1+1, 1, 1))
)),0)
-IFERROR(SUM(
_xlfn._xlws.FILTER(Table_Main[Số lượng],
NOT(ISBLANK(Table_Main[Đơn bán]))*
(Table_Main[Loại] = "Nhập")*
(Table_Main[Ngày lên đơn] &gt;= DATE(K$1, 1, 1))*
(Table_Main[Ngày lên đơn] &lt; DATE(K$1+1, 1, 1))
)),0)</f>
        <v>0</v>
      </c>
      <c r="L6" s="264"/>
      <c r="M6" s="360"/>
      <c r="N6" s="72" t="s">
        <v>73</v>
      </c>
      <c r="O6" s="363" cm="1">
        <f t="array" ref="O6">+IFERROR(SUM(
_xlfn._xlws.FILTER(Table_Main[Số lượng],
(NOT(ISBLANK(Table_Main[Đơn bán])))*
(Table_Main[Loại] = "Xuất")*
(Table_Main[Ngày lên đơn] &gt;= O$1)*
(Table_Main[Ngày lên đơn] &lt; DATE(YEAR(O$1),MONTH(O$1)+1, 1))
)),0)
-IFERROR(SUM(
_xlfn._xlws.FILTER(Table_Main[Số lượng],
(NOT(ISBLANK(Table_Main[Đơn bán])))*
(Table_Main[Loại] = "Nhập")*
(Table_Main[Ngày lên đơn] &gt;= O$1)*
(Table_Main[Ngày lên đơn] &lt; DATE(YEAR(O$1),MONTH(O$1)+1, 1))
)),0)</f>
        <v>0</v>
      </c>
      <c r="P6" s="363" cm="1">
        <f t="array" ref="P6">+IFERROR(SUM(
_xlfn._xlws.FILTER(Table_Main[Số lượng],
(NOT(ISBLANK(Table_Main[Đơn bán])))*
(Table_Main[Loại] = "Xuất")*
(Table_Main[Ngày lên đơn] &gt;= P$1)*
(Table_Main[Ngày lên đơn] &lt; DATE(YEAR(P$1),MONTH(P$1)+1, 1))
)),0)
-IFERROR(SUM(
_xlfn._xlws.FILTER(Table_Main[Số lượng],
(NOT(ISBLANK(Table_Main[Đơn bán])))*
(Table_Main[Loại] = "Nhập")*
(Table_Main[Ngày lên đơn] &gt;= P$1)*
(Table_Main[Ngày lên đơn] &lt; DATE(YEAR(P$1),MONTH(P$1)+1, 1))
)),0)</f>
        <v>0</v>
      </c>
      <c r="Q6" s="264"/>
      <c r="R6" s="264"/>
      <c r="S6" s="264"/>
      <c r="T6" s="264"/>
      <c r="U6" s="264"/>
      <c r="V6" s="264"/>
      <c r="W6" s="264"/>
      <c r="X6" s="264"/>
      <c r="Y6" s="264"/>
      <c r="Z6" s="264"/>
      <c r="AA6" s="264"/>
      <c r="AB6" s="264"/>
      <c r="AC6" s="264"/>
      <c r="AD6" s="264"/>
      <c r="AE6" s="264"/>
      <c r="AF6" s="264"/>
      <c r="AG6" s="264"/>
      <c r="AH6" s="264"/>
      <c r="AI6" s="264"/>
      <c r="AJ6" s="264"/>
      <c r="AK6" s="264"/>
      <c r="AL6" s="264"/>
      <c r="AM6" s="264"/>
    </row>
    <row r="7" spans="1:39" s="53" customFormat="1" ht="18" hidden="1" customHeight="1" outlineLevel="2" x14ac:dyDescent="0.3">
      <c r="A7" s="242">
        <f t="shared" si="0"/>
        <v>4</v>
      </c>
      <c r="B7" s="259" t="s">
        <v>363</v>
      </c>
      <c r="C7" s="73" t="s">
        <v>33</v>
      </c>
      <c r="D7" s="364"/>
      <c r="E7" s="312" cm="1">
        <f t="array" ref="E7">IFERROR(SUM(
_xlfn._xlws.FILTER(Table_Main[Thành tiền niêm yết],
NOT(ISBLANK(Table_Main[Đơn bán]))*
(Table_Main[Loại] = "Xuất")*
(Table_Main[Ngày lên đơn] &gt;= DATE(BCTC_Nam, 1, 1))*
(Table_Main[Ngày lên đơn] &lt; DATE(BCTC_Nam+1, 1, 1))
)),0)</f>
        <v>0</v>
      </c>
      <c r="F7" s="312" cm="1">
        <f t="array" ref="F7">IFERROR(SUM(
_xlfn._xlws.FILTER(Table_Main[Thành tiền niêm yết],
NOT(ISBLANK(Table_Main[Đơn bán]))*
(Table_Main[Loại] = "Xuất")*
(Table_Main[Ngày lên đơn] &gt;= DATE(BCTC_Nam, BCTC_Thang, 1))*
(Table_Main[Ngày lên đơn] &lt; DATE(BCTC_Nam, BCTC_Thang+1, 1))
)),0)</f>
        <v>0</v>
      </c>
      <c r="G7" s="362"/>
      <c r="H7" s="259" t="s">
        <v>363</v>
      </c>
      <c r="I7" s="73" t="s">
        <v>33</v>
      </c>
      <c r="J7" s="312" cm="1">
        <f t="array" ref="J7">IFERROR(SUM(
_xlfn._xlws.FILTER(Table_Main[Thành tiền niêm yết],
NOT(ISBLANK(Table_Main[Đơn bán]))*
(Table_Main[Loại] = "Xuất")*
(Table_Main[Ngày lên đơn] &gt;= DATE(J$1, 1, 1))*
(Table_Main[Ngày lên đơn] &lt; DATE(J$1+1, 1, 1))
)),0)</f>
        <v>0</v>
      </c>
      <c r="K7" s="312" cm="1">
        <f t="array" ref="K7">IFERROR(SUM(
_xlfn._xlws.FILTER(Table_Main[Thành tiền niêm yết],
NOT(ISBLANK(Table_Main[Đơn bán]))*
(Table_Main[Loại] = "Xuất")*
(Table_Main[Ngày lên đơn] &gt;= DATE(K$1, 1, 1))*
(Table_Main[Ngày lên đơn] &lt; DATE(K$1+1, 1, 1))
)),0)</f>
        <v>0</v>
      </c>
      <c r="L7" s="264"/>
      <c r="M7" s="259" t="s">
        <v>363</v>
      </c>
      <c r="N7" s="73" t="s">
        <v>33</v>
      </c>
      <c r="O7" s="312" cm="1">
        <f t="array" ref="O7">IFERROR(SUM(
_xlfn._xlws.FILTER(Table_Main[Thành tiền niêm yết],
NOT(ISBLANK(Table_Main[Đơn bán]))*
(Table_Main[Loại] = "Xuất")*
(Table_Main[Ngày lên đơn] &gt;= O$1)*
(Table_Main[Ngày lên đơn] &lt; DATE(YEAR(O$1),MONTH(O$1)+1, 1))
)),0)</f>
        <v>0</v>
      </c>
      <c r="P7" s="312" cm="1">
        <f t="array" ref="P7">IFERROR(SUM(
_xlfn._xlws.FILTER(Table_Main[Thành tiền niêm yết],
NOT(ISBLANK(Table_Main[Đơn bán]))*
(Table_Main[Loại] = "Xuất")*
(Table_Main[Ngày lên đơn] &gt;= P$1)*
(Table_Main[Ngày lên đơn] &lt; DATE(YEAR(P$1),MONTH(P$1)+1, 1))
)),0)</f>
        <v>0</v>
      </c>
      <c r="Q7" s="264"/>
      <c r="R7" s="264"/>
      <c r="S7" s="264"/>
      <c r="T7" s="264"/>
      <c r="U7" s="264"/>
      <c r="V7" s="264"/>
      <c r="W7" s="264"/>
      <c r="X7" s="264"/>
      <c r="Y7" s="264"/>
      <c r="Z7" s="264"/>
      <c r="AA7" s="264"/>
      <c r="AB7" s="264"/>
      <c r="AC7" s="264"/>
      <c r="AD7" s="264"/>
      <c r="AE7" s="264"/>
      <c r="AF7" s="264"/>
      <c r="AG7" s="264"/>
      <c r="AH7" s="264"/>
      <c r="AI7" s="264"/>
      <c r="AJ7" s="264"/>
      <c r="AK7" s="264"/>
      <c r="AL7" s="264"/>
      <c r="AM7" s="264"/>
    </row>
    <row r="8" spans="1:39" ht="18" hidden="1" customHeight="1" outlineLevel="3" x14ac:dyDescent="0.15">
      <c r="A8" s="242">
        <f t="shared" si="0"/>
        <v>5</v>
      </c>
      <c r="B8" s="365"/>
      <c r="C8" s="72" t="s">
        <v>285</v>
      </c>
      <c r="D8" s="361"/>
      <c r="E8" s="362" cm="1">
        <f t="array" ref="E8">-IFERROR(SUM(
_xlfn._xlws.FILTER(Table_Main[Giá trị CK],
NOT(ISBLANK(Table_Main[Đơn bán]))*
(Table_Main[Ngày lên đơn] &gt;= DATE(BCTC_Nam, 1, 1))*
(Table_Main[Ngày lên đơn] &lt; DATE(BCTC_Nam+1, 1, 1))
)),0)
-IFERROR(SUM(
_xlfn._xlws.FILTER(Table_DonBan[Giá trị CK],
( Table_DonBan[Ngày lập]&gt;= DATE(BCTC_Nam, 1, 1))*
(Table_DonBan[Ngày lập] &lt; DATE(BCTC_Nam+1, 1, 1))
)),0)</f>
        <v>0</v>
      </c>
      <c r="F8" s="362" cm="1">
        <f t="array" ref="F8">-IFERROR(SUM(
_xlfn._xlws.FILTER(Table_Main[Giá trị CK],
NOT(ISBLANK(Table_Main[Đơn bán]))*
(Table_Main[Ngày lên đơn] &gt;= DATE(BCTC_Nam, BCTC_Thang, 1))*
(Table_Main[Ngày lên đơn] &lt; DATE(BCTC_Nam, BCTC_Thang+1, 1))
)),0)
-IFERROR(SUM(
_xlfn._xlws.FILTER(Table_DonBan[Giá trị CK],
( Table_DonBan[Ngày lập]&gt;= DATE(BCTC_Nam, BCTC_Thang, 1))*
(Table_DonBan[Ngày lập] &lt; DATE(BCTC_Nam, BCTC_Thang+1, 1))
)),0)</f>
        <v>0</v>
      </c>
      <c r="G8" s="312"/>
      <c r="H8" s="365"/>
      <c r="I8" s="72" t="s">
        <v>285</v>
      </c>
      <c r="J8" s="362" cm="1">
        <f t="array" ref="J8">-IFERROR(SUM(
_xlfn._xlws.FILTER(Table_Main[Giá trị CK],
NOT(ISBLANK(Table_Main[Đơn bán]))*
(Table_Main[Ngày lên đơn] &gt;= DATE(J$1, 1, 1))*
(Table_Main[Ngày lên đơn] &lt; DATE(J$1+1, 1, 1))
)),0)
-IFERROR(SUM(
_xlfn._xlws.FILTER(Table_DonBan[Giá trị CK],
( Table_DonBan[Ngày lập]&gt;= DATE(J$1, 1, 1))*
(Table_DonBan[Ngày lập] &lt; DATE(J$1+1, 1, 1))
)),0)</f>
        <v>0</v>
      </c>
      <c r="K8" s="362" cm="1">
        <f t="array" ref="K8">-IFERROR(SUM(
_xlfn._xlws.FILTER(Table_Main[Giá trị CK],
NOT(ISBLANK(Table_Main[Đơn bán]))*
(Table_Main[Ngày lên đơn] &gt;= DATE(K$1, 1, 1))*
(Table_Main[Ngày lên đơn] &lt; DATE(K$1+1, 1, 1))
)),0)
-IFERROR(SUM(
_xlfn._xlws.FILTER(Table_DonBan[Giá trị CK],
( Table_DonBan[Ngày lập]&gt;= DATE(K$1, 1, 1))*
(Table_DonBan[Ngày lập] &lt; DATE(K$1+1, 1, 1))
)),0)</f>
        <v>0</v>
      </c>
      <c r="L8" s="244"/>
      <c r="M8" s="365"/>
      <c r="N8" s="72" t="s">
        <v>285</v>
      </c>
      <c r="O8" s="362" cm="1">
        <f t="array" ref="O8">-IFERROR(SUM(
_xlfn._xlws.FILTER(Table_Main[Giá trị CK],
NOT(ISBLANK(Table_Main[Đơn bán]))*
(Table_Main[Ngày lên đơn] &gt;= O$1)*
(Table_Main[Ngày lên đơn] &lt; DATE(YEAR(O$1),MONTH(O$1)+1, 1))
)),0)
-IFERROR(SUM(
_xlfn._xlws.FILTER(Table_DonBan[Giá trị CK],
( Table_DonBan[Ngày lập]&gt;= O$1)*
(Table_DonBan[Ngày lập] &lt; DATE(YEAR(O$1),MONTH(O$1)+1, 1))
)),0)</f>
        <v>0</v>
      </c>
      <c r="P8" s="362" cm="1">
        <f t="array" ref="P8">-IFERROR(SUM(
_xlfn._xlws.FILTER(Table_Main[Giá trị CK],
NOT(ISBLANK(Table_Main[Đơn bán]))*
(Table_Main[Ngày lên đơn] &gt;= P$1)*
(Table_Main[Ngày lên đơn] &lt; DATE(YEAR(P$1),MONTH(P$1)+1, 1))
)),0)
-IFERROR(SUM(
_xlfn._xlws.FILTER(Table_DonBan[Giá trị CK],
( Table_DonBan[Ngày lập]&gt;= P$1)*
(Table_DonBan[Ngày lập] &lt; DATE(YEAR(P$1),MONTH(P$1)+1, 1))
)),0)</f>
        <v>0</v>
      </c>
      <c r="Q8" s="242"/>
      <c r="R8" s="265"/>
      <c r="S8" s="242"/>
      <c r="T8" s="242"/>
      <c r="U8" s="242"/>
      <c r="V8" s="242"/>
      <c r="W8" s="242"/>
      <c r="X8" s="242"/>
      <c r="Y8" s="242"/>
      <c r="Z8" s="242"/>
      <c r="AA8" s="242"/>
      <c r="AB8" s="242"/>
      <c r="AC8" s="242"/>
      <c r="AD8" s="242"/>
      <c r="AE8" s="242"/>
      <c r="AF8" s="242"/>
      <c r="AG8" s="242"/>
      <c r="AH8" s="242"/>
      <c r="AI8" s="242"/>
      <c r="AJ8" s="242"/>
      <c r="AK8" s="242"/>
      <c r="AL8" s="242"/>
      <c r="AM8" s="242"/>
    </row>
    <row r="9" spans="1:39" s="41" customFormat="1" ht="18" hidden="1" customHeight="1" outlineLevel="3" x14ac:dyDescent="0.3">
      <c r="A9" s="242">
        <f t="shared" si="0"/>
        <v>6</v>
      </c>
      <c r="B9" s="365"/>
      <c r="C9" s="72" t="s">
        <v>364</v>
      </c>
      <c r="D9" s="361"/>
      <c r="E9" s="362" cm="1">
        <f t="array" ref="E9">+IFERROR(SUM(
_xlfn._xlws.FILTER(Table_Main[Thành tiền niêm yết],
NOT(ISBLANK(Table_Main[Đơn bán]))*
(Table_Main[Loại] = "Nhập")*
(Table_Main[Ngày xuất nhập] &gt;= DATE(BCTC_Nam, 1, 1))*
(Table_Main[Ngày xuất nhập] &lt; DATE(BCTC_Nam+1, 1, 1))
)),0)</f>
        <v>0</v>
      </c>
      <c r="F9" s="362" cm="1">
        <f t="array" ref="F9">+IFERROR(SUM(
_xlfn._xlws.FILTER(Table_Main[Thành tiền niêm yết],
NOT(ISBLANK(Table_Main[Đơn bán]))*
(Table_Main[Loại] = "Nhập")*
(Table_Main[Ngày xuất nhập] &gt;= DATE(BCTC_Nam, BCTC_Thang, 1))*
(Table_Main[Ngày xuất nhập] &lt; DATE(BCTC_Nam, BCTC_Thang+1, 1))
)),0)</f>
        <v>0</v>
      </c>
      <c r="G9" s="366"/>
      <c r="H9" s="365"/>
      <c r="I9" s="72" t="s">
        <v>364</v>
      </c>
      <c r="J9" s="362" cm="1">
        <f t="array" ref="J9">+IFERROR(SUM(
_xlfn._xlws.FILTER(Table_Main[Thành tiền niêm yết],
NOT(ISBLANK(Table_Main[Đơn bán]))*
(Table_Main[Loại] = "Nhập")*
(Table_Main[Ngày xuất nhập] &gt;= DATE(J$1, 1, 1))*
(Table_Main[Ngày xuất nhập] &lt; DATE(J$1+1, 1, 1))
)),0)</f>
        <v>0</v>
      </c>
      <c r="K9" s="362" cm="1">
        <f t="array" ref="K9">+IFERROR(SUM(
_xlfn._xlws.FILTER(Table_Main[Thành tiền niêm yết],
NOT(ISBLANK(Table_Main[Đơn bán]))*
(Table_Main[Loại] = "Nhập")*
(Table_Main[Ngày xuất nhập] &gt;= DATE(K$1, 1, 1))*
(Table_Main[Ngày xuất nhập] &lt; DATE(K$1+1, 1, 1))
)),0)</f>
        <v>0</v>
      </c>
      <c r="L9" s="266"/>
      <c r="M9" s="365"/>
      <c r="N9" s="72" t="s">
        <v>364</v>
      </c>
      <c r="O9" s="362" cm="1">
        <f t="array" ref="O9">IFERROR(SUM(
_xlfn._xlws.FILTER(Table_Main[Thành tiền niêm yết],
NOT(ISBLANK(Table_Main[Đơn bán]))*
(Table_Main[Loại] = "Nhập")*
(Table_Main[Ngày lên đơn] &gt;= O$1)*
(Table_Main[Ngày lên đơn] &lt; DATE(YEAR(O$1),MONTH(O$1)+1, 1))
)),0)</f>
        <v>0</v>
      </c>
      <c r="P9" s="362" cm="1">
        <f t="array" ref="P9">IFERROR(SUM(
_xlfn._xlws.FILTER(Table_Main[Thành tiền niêm yết],
NOT(ISBLANK(Table_Main[Đơn bán]))*
(Table_Main[Loại] = "Nhập")*
(Table_Main[Ngày lên đơn] &gt;= P$1)*
(Table_Main[Ngày lên đơn] &lt; DATE(YEAR(P$1),MONTH(P$1)+1, 1))
)),0)</f>
        <v>0</v>
      </c>
      <c r="Q9" s="266"/>
      <c r="R9" s="266"/>
      <c r="S9" s="266"/>
      <c r="T9" s="266"/>
      <c r="U9" s="266"/>
      <c r="V9" s="266"/>
      <c r="W9" s="266"/>
      <c r="X9" s="266"/>
      <c r="Y9" s="266"/>
      <c r="Z9" s="266"/>
      <c r="AA9" s="266"/>
      <c r="AB9" s="266"/>
      <c r="AC9" s="266"/>
      <c r="AD9" s="266"/>
      <c r="AE9" s="266"/>
      <c r="AF9" s="266"/>
      <c r="AG9" s="266"/>
      <c r="AH9" s="266"/>
      <c r="AI9" s="266"/>
      <c r="AJ9" s="266"/>
      <c r="AK9" s="266"/>
      <c r="AL9" s="266"/>
      <c r="AM9" s="266"/>
    </row>
    <row r="10" spans="1:39" s="53" customFormat="1" ht="18" hidden="1" customHeight="1" outlineLevel="2" x14ac:dyDescent="0.3">
      <c r="A10" s="242">
        <f t="shared" si="0"/>
        <v>7</v>
      </c>
      <c r="B10" s="259" t="s">
        <v>365</v>
      </c>
      <c r="C10" s="73" t="s">
        <v>366</v>
      </c>
      <c r="D10" s="364"/>
      <c r="E10" s="312">
        <f>SUM(E8:E9)</f>
        <v>0</v>
      </c>
      <c r="F10" s="312">
        <f>SUM(F8:F9)</f>
        <v>0</v>
      </c>
      <c r="G10" s="362"/>
      <c r="H10" s="259" t="s">
        <v>365</v>
      </c>
      <c r="I10" s="73" t="s">
        <v>366</v>
      </c>
      <c r="J10" s="312">
        <f>SUM(J8:J9)</f>
        <v>0</v>
      </c>
      <c r="K10" s="312">
        <f>SUM(K8:K9)</f>
        <v>0</v>
      </c>
      <c r="L10" s="264"/>
      <c r="M10" s="259" t="s">
        <v>365</v>
      </c>
      <c r="N10" s="73" t="s">
        <v>366</v>
      </c>
      <c r="O10" s="312">
        <f>SUM(O8:O9)</f>
        <v>0</v>
      </c>
      <c r="P10" s="312">
        <f>SUM(P8:P9)</f>
        <v>0</v>
      </c>
      <c r="Q10" s="264"/>
      <c r="R10" s="264"/>
      <c r="S10" s="264"/>
      <c r="T10" s="264"/>
      <c r="U10" s="264"/>
      <c r="V10" s="264"/>
      <c r="W10" s="264"/>
      <c r="X10" s="264"/>
      <c r="Y10" s="264"/>
      <c r="Z10" s="264"/>
      <c r="AA10" s="264"/>
      <c r="AB10" s="264"/>
      <c r="AC10" s="264"/>
      <c r="AD10" s="264"/>
      <c r="AE10" s="264"/>
      <c r="AF10" s="264"/>
      <c r="AG10" s="264"/>
      <c r="AH10" s="264"/>
      <c r="AI10" s="264"/>
      <c r="AJ10" s="264"/>
      <c r="AK10" s="264"/>
      <c r="AL10" s="264"/>
      <c r="AM10" s="264"/>
    </row>
    <row r="11" spans="1:39" s="53" customFormat="1" ht="18" hidden="1" customHeight="1" outlineLevel="1" x14ac:dyDescent="0.3">
      <c r="A11" s="242">
        <f t="shared" si="0"/>
        <v>8</v>
      </c>
      <c r="B11" s="356">
        <v>10</v>
      </c>
      <c r="C11" s="74" t="s">
        <v>367</v>
      </c>
      <c r="D11" s="367"/>
      <c r="E11" s="366">
        <f>+E7+E10</f>
        <v>0</v>
      </c>
      <c r="F11" s="366">
        <f>+F7+F10</f>
        <v>0</v>
      </c>
      <c r="G11" s="362"/>
      <c r="H11" s="356">
        <v>10</v>
      </c>
      <c r="I11" s="74" t="s">
        <v>367</v>
      </c>
      <c r="J11" s="366">
        <f>+J7+J10</f>
        <v>0</v>
      </c>
      <c r="K11" s="366">
        <f>+K7+K10</f>
        <v>0</v>
      </c>
      <c r="L11" s="264"/>
      <c r="M11" s="356">
        <v>10</v>
      </c>
      <c r="N11" s="74" t="s">
        <v>367</v>
      </c>
      <c r="O11" s="366">
        <f>+O7+O10</f>
        <v>0</v>
      </c>
      <c r="P11" s="366">
        <f>+P7+P10</f>
        <v>0</v>
      </c>
      <c r="Q11" s="264"/>
      <c r="R11" s="264"/>
      <c r="S11" s="264"/>
      <c r="T11" s="264"/>
      <c r="U11" s="264"/>
      <c r="V11" s="264"/>
      <c r="W11" s="264"/>
      <c r="X11" s="264"/>
      <c r="Y11" s="264"/>
      <c r="Z11" s="264"/>
      <c r="AA11" s="264"/>
      <c r="AB11" s="264"/>
      <c r="AC11" s="264"/>
      <c r="AD11" s="264"/>
      <c r="AE11" s="264"/>
      <c r="AF11" s="264"/>
      <c r="AG11" s="264"/>
      <c r="AH11" s="264"/>
      <c r="AI11" s="264"/>
      <c r="AJ11" s="264"/>
      <c r="AK11" s="264"/>
      <c r="AL11" s="264"/>
      <c r="AM11" s="264"/>
    </row>
    <row r="12" spans="1:39" s="53" customFormat="1" ht="18" hidden="1" customHeight="1" outlineLevel="2" x14ac:dyDescent="0.3">
      <c r="A12" s="242">
        <f t="shared" si="0"/>
        <v>9</v>
      </c>
      <c r="B12" s="359">
        <v>11</v>
      </c>
      <c r="C12" s="73" t="s">
        <v>368</v>
      </c>
      <c r="D12" s="364"/>
      <c r="E12" s="358">
        <f>+SUM(E13:E19)</f>
        <v>0</v>
      </c>
      <c r="F12" s="358">
        <f>+SUM(F13:F19)</f>
        <v>0</v>
      </c>
      <c r="G12" s="362"/>
      <c r="H12" s="359">
        <v>11</v>
      </c>
      <c r="I12" s="73" t="s">
        <v>368</v>
      </c>
      <c r="J12" s="358">
        <f>+SUM(J13:J19)</f>
        <v>0</v>
      </c>
      <c r="K12" s="358">
        <f>+SUM(K13:K19)</f>
        <v>0</v>
      </c>
      <c r="L12" s="264"/>
      <c r="M12" s="359">
        <v>11</v>
      </c>
      <c r="N12" s="73" t="s">
        <v>368</v>
      </c>
      <c r="O12" s="358">
        <f>+SUM(O13:O19)</f>
        <v>0</v>
      </c>
      <c r="P12" s="358">
        <f>+SUM(P13:P19)</f>
        <v>0</v>
      </c>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row>
    <row r="13" spans="1:39" s="53" customFormat="1" ht="18" hidden="1" customHeight="1" outlineLevel="3" x14ac:dyDescent="0.3">
      <c r="A13" s="242">
        <f t="shared" si="0"/>
        <v>10</v>
      </c>
      <c r="B13" s="365"/>
      <c r="C13" s="72" t="s">
        <v>369</v>
      </c>
      <c r="D13" s="361"/>
      <c r="E13" s="362" cm="1">
        <f t="array" ref="E13">-IFERROR(
SUM(_xlfn._xlws.FILTER(Table_TonKho[Chi phí ghi nhận],
(Table_TonKho[Năm] = BCTC_Nam) *
(Table_TonKho[Chức năng] = "Nguyên liệu")
)),0)
-IFERROR(
SUM(_xlfn._xlws.FILTER(Table_TonKho[Chi phí ghi nhận],
(Table_TonKho[Năm] = BCTC_Nam) *
(Table_TonKho[Chức năng] = "")
)),0)</f>
        <v>0</v>
      </c>
      <c r="F13" s="362" cm="1">
        <f t="array" ref="F13">-IFERROR(
SUM(_xlfn._xlws.FILTER(Table_TonKho[Chi phí ghi nhận],
(Table_TonKho[Kỳ] = DATE(BCTC_Nam,BCTC_Thang,1)) *
(Table_TonKho[Chức năng] = "Nguyên liệu")
)),0)
-IFERROR(
SUM(_xlfn._xlws.FILTER(Table_TonKho[Chi phí ghi nhận],
(Table_TonKho[Kỳ] = DATE(BCTC_Nam,BCTC_Thang,1)) *
(Table_TonKho[Chức năng] = "")
)),0)</f>
        <v>0</v>
      </c>
      <c r="G13" s="362"/>
      <c r="H13" s="365"/>
      <c r="I13" s="72" t="s">
        <v>369</v>
      </c>
      <c r="J13" s="362" cm="1">
        <f t="array" ref="J13">-IFERROR(
SUM(_xlfn._xlws.FILTER(Table_TonKho[Chi phí ghi nhận],
(Table_TonKho[Năm] = J$1) *
(Table_TonKho[Chức năng] = "Nguyên liệu")
)),0)
-IFERROR(
SUM(_xlfn._xlws.FILTER(Table_TonKho[Chi phí ghi nhận],
(Table_TonKho[Năm] = J$1) *
(Table_TonKho[Chức năng] = "")
)),0)</f>
        <v>0</v>
      </c>
      <c r="K13" s="362" cm="1">
        <f t="array" ref="K13">-IFERROR(
SUM(_xlfn._xlws.FILTER(Table_TonKho[Chi phí ghi nhận],
(Table_TonKho[Năm] = K$1) *
(Table_TonKho[Chức năng] = "Nguyên liệu")
)),0)
-IFERROR(
SUM(_xlfn._xlws.FILTER(Table_TonKho[Chi phí ghi nhận],
(Table_TonKho[Năm] = K$1) *
(Table_TonKho[Chức năng] = "")
)),0)</f>
        <v>0</v>
      </c>
      <c r="L13" s="264"/>
      <c r="M13" s="365"/>
      <c r="N13" s="72" t="s">
        <v>369</v>
      </c>
      <c r="O13" s="362" cm="1">
        <f t="array" ref="O13">-IFERROR(
SUM(_xlfn._xlws.FILTER(Table_TonKho[Chi phí ghi nhận],
(Table_TonKho[Kỳ] = O$1) *
(Table_TonKho[Chức năng] = "Nguyên liệu")
)),0)
-IFERROR(
SUM(_xlfn._xlws.FILTER(Table_TonKho[Chi phí ghi nhận],
(Table_TonKho[Kỳ] = O$1) *
(Table_TonKho[Chức năng] = "")
)),0)</f>
        <v>0</v>
      </c>
      <c r="P13" s="362" cm="1">
        <f t="array" ref="P13">-IFERROR(
SUM(_xlfn._xlws.FILTER(Table_TonKho[Chi phí ghi nhận],
(Table_TonKho[Kỳ] = P$1) *
(Table_TonKho[Chức năng] = "Nguyên liệu")
)),0)
-IFERROR(
SUM(_xlfn._xlws.FILTER(Table_TonKho[Chi phí ghi nhận],
(Table_TonKho[Kỳ] = P$1) *
(Table_TonKho[Chức năng] = "")
)),0)</f>
        <v>0</v>
      </c>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s="53" customFormat="1" ht="18" hidden="1" customHeight="1" outlineLevel="3" x14ac:dyDescent="0.3">
      <c r="A14" s="242">
        <f t="shared" si="0"/>
        <v>11</v>
      </c>
      <c r="B14" s="365"/>
      <c r="C14" s="72" t="s">
        <v>370</v>
      </c>
      <c r="D14" s="361"/>
      <c r="E14" s="362" cm="1">
        <f t="array" ref="E14">-IFERROR(
SUM(_xlfn._xlws.FILTER(Table_ChiPhiNV[Tổng chi phí],
(Table_ChiPhiNV[Chức năng] = "Sản xuất") *
(Table_ChiPhiNV[Năm] = BCTC_Nam)
)),0)</f>
        <v>0</v>
      </c>
      <c r="F14" s="362"/>
      <c r="G14" s="362"/>
      <c r="H14" s="365"/>
      <c r="I14" s="72" t="s">
        <v>370</v>
      </c>
      <c r="J14" s="362" cm="1">
        <f t="array" ref="J14" xml:space="preserve">
-IFERROR(
SUM(
_xlfn._xlws.FILTER(Table_ChiPhiNV[Tổng chi phí],
(Table_ChiPhiNV[Chức năng] = "Sản xuất") *
(NOT(ISBLANK(Table_ChiPhiNV[Tháng])))*
(Table_ChiPhiNV[Năm] = J$1)
)),
0)
-IFERROR(
SUMPRODUCT(
_xlfn._xlws.FILTER(Table_ChiPhiNV[Tổng chi phí],
(Table_ChiPhiNV[Chức năng] = "Sản xuất")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"Sản xuất") *
(ISBLANK(Table_ChiPhiNV[Tháng]))*
(Table_ChiPhiNV[Phân bổ từ] &lt; DATE(J$1+1,1,1))*
(Table_ChiPhiNV[Phân bổ đến] &gt; DATE(J$1,1,1))
),
1/_xlfn._xlws.FILTER(
ROUND(
(Table_ChiPhiNV[Phân bổ đến]-Table_ChiPhiNV[Phân bổ từ])
/(365.25/12),
0),
(Table_ChiPhiNV[Chức năng] = "Sản xuất") *
(ISBLANK(Table_ChiPhiNV[Tháng]))*
(Table_ChiPhiNV[Phân bổ từ] &lt; DATE(J$1+1,1,1))*
(Table_ChiPhiNV[Phân bổ đến] &gt; DATE(J$1,1,1))
)
),
0)</f>
        <v>0</v>
      </c>
      <c r="K14" s="362" cm="1">
        <f t="array" ref="K14" xml:space="preserve">
-IFERROR(
SUM(
_xlfn._xlws.FILTER(Table_ChiPhiNV[Tổng chi phí],
(Table_ChiPhiNV[Chức năng] = "Sản xuất") *
(NOT(ISBLANK(Table_ChiPhiNV[Tháng])))*
(Table_ChiPhiNV[Năm] = K$1)
)),
0)
-IFERROR(
SUMPRODUCT(
_xlfn._xlws.FILTER(Table_ChiPhiNV[Tổng chi phí],
(Table_ChiPhiNV[Chức năng] = "Sản xuất")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"Sản xuất") *
(ISBLANK(Table_ChiPhiNV[Tháng]))*
(Table_ChiPhiNV[Phân bổ từ] &lt; DATE(K$1+1,1,1))*
(Table_ChiPhiNV[Phân bổ đến] &gt; DATE(K$1,1,1))
),
1/_xlfn._xlws.FILTER(
ROUND(
(Table_ChiPhiNV[Phân bổ đến]-Table_ChiPhiNV[Phân bổ từ])
/(365.25/12),
0),
(Table_ChiPhiNV[Chức năng] = "Sản xuất") *
(ISBLANK(Table_ChiPhiNV[Tháng]))*
(Table_ChiPhiNV[Phân bổ từ] &lt; DATE(K$1+1,1,1))*
(Table_ChiPhiNV[Phân bổ đến] &gt; DATE(K$1,1,1))
)
),
0)</f>
        <v>0</v>
      </c>
      <c r="L14" s="264"/>
      <c r="M14" s="365"/>
      <c r="N14" s="72" t="s">
        <v>370</v>
      </c>
      <c r="O14" s="362" cm="1">
        <f t="array" ref="O14">-IFERROR(
SUM(_xlfn._xlws.FILTER(Table_ChiPhiNV[Tổng chi phí],
(Table_ChiPhiNV[Chức năng] = "Sản xuất") *
(NOT(ISBLANK(Table_ChiPhiNV[Tháng])))*
(Table_ChiPhiNV[Kỳ] = O$1)
)),0)
-IFERROR(
SUMPRODUCT(
_xlfn._xlws.FILTER(Table_ChiPhiNV[Tổng chi phí],
(Table_ChiPhiNV[Chức năng] = "Sản xuất") *
(ISBLANK(Table_ChiPhiNV[Tháng]))*
(Table_ChiPhiNV[Phân bổ từ] &lt; DATE(YEAR(O$1),MONTH(O$1)+1,1))*
(Table_ChiPhiNV[Phân bổ đến] &gt; O$1)
),
1/_xlfn._xlws.FILTER(ROUND((Table_ChiPhiNV[Phân bổ đến]-Table_ChiPhiNV[Phân bổ từ])/(365.25/12),0),
(Table_ChiPhiNV[Chức năng] = "Sản xuất") *
(ISBLANK(Table_ChiPhiNV[Tháng]))*
(Table_ChiPhiNV[Phân bổ từ] &lt; DATE(YEAR(O$1),MONTH(O$1)+1,1))*
(Table_ChiPhiNV[Phân bổ đến] &gt; O$1)
)
),0)</f>
        <v>0</v>
      </c>
      <c r="P14" s="362" cm="1">
        <f t="array" ref="P14">-IFERROR(
SUM(_xlfn._xlws.FILTER(Table_ChiPhiNV[Tổng chi phí],
(Table_ChiPhiNV[Chức năng] = "Sản xuất") *
(NOT(ISBLANK(Table_ChiPhiNV[Tháng])))*
(Table_ChiPhiNV[Kỳ] = P$1)
)),0)
-IFERROR(
SUMPRODUCT(
_xlfn._xlws.FILTER(Table_ChiPhiNV[Tổng chi phí],
(Table_ChiPhiNV[Chức năng] = "Sản xuất") *
(ISBLANK(Table_ChiPhiNV[Tháng]))*
(Table_ChiPhiNV[Phân bổ từ] &lt; DATE(YEAR(P$1),MONTH(P$1)+1,1))*
(Table_ChiPhiNV[Phân bổ đến] &gt; P$1)
),
1/_xlfn._xlws.FILTER(ROUND((Table_ChiPhiNV[Phân bổ đến]-Table_ChiPhiNV[Phân bổ từ])/(365.25/12),0),
(Table_ChiPhiNV[Chức năng] = "Sản xuất") *
(ISBLANK(Table_ChiPhiNV[Tháng]))*
(Table_ChiPhiNV[Phân bổ từ] &lt; DATE(YEAR(P$1),MONTH(P$1)+1,1))*
(Table_ChiPhiNV[Phân bổ đến] &gt; P$1)
)
),0)</f>
        <v>0</v>
      </c>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s="53" customFormat="1" ht="18" hidden="1" customHeight="1" outlineLevel="3" x14ac:dyDescent="0.3">
      <c r="A15" s="242">
        <f t="shared" si="0"/>
        <v>12</v>
      </c>
      <c r="B15" s="365"/>
      <c r="C15" s="72" t="s">
        <v>371</v>
      </c>
      <c r="D15" s="361"/>
      <c r="E15" s="362" cm="1">
        <f t="array" ref="E15">-IFERROR(
SUM(_xlfn._xlws.FILTER(Table_TonKho[Chi phí ghi nhận],
(Table_TonKho[Năm] = BCTC_Nam) *
(Table_TonKho[Chức năng] = "Sản xuất")
)),0)</f>
        <v>0</v>
      </c>
      <c r="F15" s="362" cm="1">
        <f t="array" ref="F15">-IFERROR(
SUM(_xlfn._xlws.FILTER(Table_TonKho[Chi phí ghi nhận],
(Table_TonKho[Kỳ] = DATE(BCTC_Nam,BCTC_Thang,1)) *
(Table_TonKho[Chức năng] = "Sản xuất")
)),0)</f>
        <v>0</v>
      </c>
      <c r="G15" s="362"/>
      <c r="H15" s="365"/>
      <c r="I15" s="72" t="s">
        <v>371</v>
      </c>
      <c r="J15" s="362" cm="1">
        <f t="array" ref="J15">-IFERROR(
SUM(_xlfn._xlws.FILTER(Table_TonKho[Chi phí ghi nhận],
(Table_TonKho[Năm] = J$1) *
(Table_TonKho[Chức năng] = "Sản xuất")
)),0)</f>
        <v>0</v>
      </c>
      <c r="K15" s="362" cm="1">
        <f t="array" ref="K15">-IFERROR(
SUM(_xlfn._xlws.FILTER(Table_TonKho[Chi phí ghi nhận],
(Table_TonKho[Năm] = K$1) *
(Table_TonKho[Chức năng] = "Sản xuất")
)),0)</f>
        <v>0</v>
      </c>
      <c r="L15" s="264"/>
      <c r="M15" s="365"/>
      <c r="N15" s="72" t="s">
        <v>371</v>
      </c>
      <c r="O15" s="362" cm="1">
        <f t="array" ref="O15">-IFERROR(
SUM(_xlfn._xlws.FILTER(Table_TonKho[Chi phí ghi nhận],
(Table_TonKho[Kỳ] = O$1) *
(Table_TonKho[Chức năng] = "Sản xuất")
)),0)</f>
        <v>0</v>
      </c>
      <c r="P15" s="362" cm="1">
        <f t="array" ref="P15">-IFERROR(
SUM(_xlfn._xlws.FILTER(Table_TonKho[Chi phí ghi nhận],
(Table_TonKho[Kỳ] = P$1) *
(Table_TonKho[Chức năng] = "Sản xuất")
)),0)</f>
        <v>0</v>
      </c>
      <c r="Q15" s="264"/>
      <c r="R15" s="264"/>
      <c r="S15" s="264"/>
      <c r="T15" s="264"/>
      <c r="U15" s="264"/>
      <c r="V15" s="264"/>
      <c r="W15" s="264"/>
      <c r="X15" s="264"/>
      <c r="Y15" s="264"/>
      <c r="Z15" s="264"/>
      <c r="AA15" s="264"/>
      <c r="AB15" s="264"/>
      <c r="AC15" s="264"/>
      <c r="AD15" s="264"/>
      <c r="AE15" s="264"/>
      <c r="AF15" s="264"/>
      <c r="AG15" s="264"/>
      <c r="AH15" s="264"/>
      <c r="AI15" s="264"/>
      <c r="AJ15" s="264"/>
      <c r="AK15" s="264"/>
      <c r="AL15" s="264"/>
      <c r="AM15" s="264"/>
    </row>
    <row r="16" spans="1:39" s="53" customFormat="1" ht="18" hidden="1" customHeight="1" outlineLevel="3" x14ac:dyDescent="0.3">
      <c r="A16" s="242">
        <f t="shared" si="0"/>
        <v>13</v>
      </c>
      <c r="B16" s="365"/>
      <c r="C16" s="72" t="s">
        <v>287</v>
      </c>
      <c r="D16" s="361"/>
      <c r="E16" s="362" cm="1">
        <f t="array" ref="E16">-
IFERROR(
SUMPRODUCT(
_xlfn._xlws.FILTER(Table_ChiPhiKD[Giá trị],
(Table_ChiPhiKD[Năm] = BCTC_Nam) *
(VLOOKUP(Table_ChiPhiKD[Nhóm chi phí],Table_ChiPhiKD_PhanNhom[],Sheet_ChiPhiKD!$H$2,0) = "Chưa phân bổ" )),
_xlfn._xlws.FILTER(Table_ChiPhiKD_PhanBo[Tỷ lệ phân bổ],
(Table_ChiPhiKD_PhanBo[Năm] = BCTC_Nam) *
(VLOOKUP(Table_ChiPhiKD_PhanBo[Chi phí],Table_ChiPhiKD_PhanNhom[],Sheet_ChiPhiKD!$H$2,0) = "Chưa phân bổ" ) *
(Table_ChiPhiKD_PhanBo[Chức năng] = "Sản xuất")
)),0)</f>
        <v>0</v>
      </c>
      <c r="F16" s="362" cm="1">
        <f t="array" ref="F16">-
IFERROR(
SUMPRODUCT(
_xlfn._xlws.FILTER(Table_ChiPhiKD[Giá trị],
(Table_ChiPhiKD[Kỳ] = DATE(BCTC_Nam,BCTC_Thang,1)) *
(NOT(ISBLANK(Table_ChiPhiKD[Tháng])))*
(VLOOKUP(Table_ChiPhiKD[Nhóm chi phí],Table_ChiPhiKD_PhanNhom[],Sheet_ChiPhiKD!$H$2,0) = "Chưa phân bổ" )),
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16" s="312"/>
      <c r="H16" s="365"/>
      <c r="I16" s="72" t="s">
        <v>287</v>
      </c>
      <c r="J16" s="362" cm="1">
        <f t="array" ref="J16" xml:space="preserve">
-IFERROR(
SUMPRODUCT(
_xlfn._xlws.FILTER(Table_ChiPhiKD[Giá trị],
(Table_ChiPhiKD[Năm] = J$1) *
(NOT(ISBLANK(Table_ChiPhiKD[Tháng])))*
(VLOOKUP(
Table_ChiPhiKD[Nhóm chi phí],
Table_ChiPhiKD_PhanNhom[],
COUNTA(Table_ChiPhiKD_PhanNhom[[#Headers],[Nhóm chi phí]:[Chức năng]]),
0) = "Chưa phân bổ" )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16" s="362" cm="1">
        <f t="array" ref="K16" xml:space="preserve">
-IFERROR(
SUMPRODUCT(
_xlfn._xlws.FILTER(Table_ChiPhiKD[Giá trị],
(Table_ChiPhiKD[Năm] = K$1) *
(NOT(ISBLANK(Table_ChiPhiKD[Tháng])))*
(VLOOKUP(
Table_ChiPhiKD[Nhóm chi phí],
Table_ChiPhiKD_PhanNhom[],
COUNTA(Table_ChiPhiKD_PhanNhom[[#Headers],[Nhóm chi phí]:[Chức năng]]),
0) = "Chưa phân bổ" )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16" s="264"/>
      <c r="M16" s="365"/>
      <c r="N16" s="72" t="s">
        <v>287</v>
      </c>
      <c r="O16" s="362" cm="1">
        <f t="array" ref="O16">-
IFERROR(
SUMPRODUCT(
_xlfn._xlws.FILTER(Table_ChiPhiKD[Giá trị],
(Table_ChiPhiKD[Kỳ] = O$1) *
(NOT(ISBLANK(Table_ChiPhiKD[Tháng])))*
(VLOOKUP(Table_ChiPhiKD[Nhóm chi phí],Table_ChiPhiKD_PhanNhom[],Sheet_ChiPhiKD!$H$2,0) = "Chưa phân bổ"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16" s="362" cm="1">
        <f t="array" ref="P16">-
IFERROR(
SUMPRODUCT(
_xlfn._xlws.FILTER(Table_ChiPhiKD[Giá trị],
(Table_ChiPhiKD[Kỳ] = P$1) *
(NOT(ISBLANK(Table_ChiPhiKD[Tháng])))*
(VLOOKUP(Table_ChiPhiKD[Nhóm chi phí],Table_ChiPhiKD_PhanNhom[],Sheet_ChiPhiKD!$H$2,0) = "Chưa phân bổ"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16" s="264"/>
      <c r="R16" s="264"/>
      <c r="S16" s="264"/>
      <c r="T16" s="264"/>
      <c r="U16" s="264"/>
      <c r="V16" s="264"/>
      <c r="W16" s="264"/>
      <c r="X16" s="264"/>
      <c r="Y16" s="264"/>
      <c r="Z16" s="264"/>
      <c r="AA16" s="264"/>
      <c r="AB16" s="264"/>
      <c r="AC16" s="264"/>
      <c r="AD16" s="264"/>
      <c r="AE16" s="264"/>
      <c r="AF16" s="264"/>
      <c r="AG16" s="264"/>
      <c r="AH16" s="264"/>
      <c r="AI16" s="264"/>
      <c r="AJ16" s="264"/>
      <c r="AK16" s="264"/>
      <c r="AL16" s="264"/>
      <c r="AM16" s="264"/>
    </row>
    <row r="17" spans="1:39" s="41" customFormat="1" ht="18" hidden="1" customHeight="1" outlineLevel="3" x14ac:dyDescent="0.3">
      <c r="A17" s="242">
        <f t="shared" si="0"/>
        <v>14</v>
      </c>
      <c r="B17" s="365"/>
      <c r="C17" s="72" t="s">
        <v>348</v>
      </c>
      <c r="D17" s="361"/>
      <c r="E17" s="362" cm="1">
        <f t="array" ref="E17">-IFERROR(
SUM(_xlfn._xlws.FILTER(Table_DonMua[Phụ phí],
(YEAR(Table_DonMua[Ngày lập]) = BCTC_Nam)
)),0)
+IFERROR(
SUM(_xlfn._xlws.FILTER(Table_DonMua[Khuyến mãi],
(YEAR(Table_DonMua[Ngày lập]) = BCTC_Nam)
)),0)
-IFERROR(
SUM(_xlfn._xlws.FILTER(Table_ChiPhiKD[Giá trị],
(Table_ChiPhiKD[Nhóm chi phí] = Table_BCTC[[#This Row],[Gtri]]) *
(Table_ChiPhiKD[Năm] = BCTC_Nam)
)),0)</f>
        <v>0</v>
      </c>
      <c r="F17" s="362" cm="1">
        <f t="array" ref="F17">-IFERROR(
SUM(_xlfn._xlws.FILTER(Table_DonMua[Phụ phí],
(YEAR(Table_DonMua[Ngày lập]) = BCTC_Nam)*
(MONTH(Table_DonMua[Ngày lập]) = BCTC_Thang)
)),0)
+IFERROR(
SUM(_xlfn._xlws.FILTER(Table_DonMua[Khuyến mãi],
(YEAR(Table_DonMua[Ngày lập]) = BCTC_Nam)*
(MONTH(Table_DonMua[Ngày lập]) = BCTC_Thang)
)),0)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7" s="358"/>
      <c r="H17" s="365"/>
      <c r="I17" s="72" t="s">
        <v>348</v>
      </c>
      <c r="J17" s="362" cm="1">
        <f t="array" ref="J17" xml:space="preserve">
-IFERROR(
SUM(
_xlfn._xlws.FILTER(Table_DonMua[Phụ phí],
(Table_DonMua[Ngày lập] &gt;= DATE(J$1,1,1))*
(Table_DonMua[Ngày lập] &lt; DATE(J$1+1,1,1))
)),
0)
+IFERROR(
SUM(
_xlfn._xlws.FILTER(Table_DonMua[Khuyến mãi],
(Table_DonMua[Ngày lập] &gt;= DATE(J$1,1,1))*
(Table_DonMua[Ngày lập] &lt; DATE(J$1+1,1,1))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7" s="362" cm="1">
        <f t="array" ref="K17" xml:space="preserve">
-IFERROR(
SUM(
_xlfn._xlws.FILTER(Table_DonMua[Phụ phí],
(Table_DonMua[Ngày lập] &gt;= DATE(K$1,1,1))*
(Table_DonMua[Ngày lập] &lt; DATE(K$1+1,1,1))
)),
0)
+IFERROR(
SUM(
_xlfn._xlws.FILTER(Table_DonMua[Khuyến mãi],
(Table_DonMua[Ngày lập] &gt;= DATE(K$1,1,1))*
(Table_DonMua[Ngày lập] &lt; DATE(K$1+1,1,1))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7" s="266"/>
      <c r="M17" s="365"/>
      <c r="N17" s="72" t="s">
        <v>348</v>
      </c>
      <c r="O17" s="362" cm="1">
        <f t="array" ref="O17">-IFERROR(
SUM(_xlfn._xlws.FILTER(Table_DonMua[Phụ phí],
(Table_DonMua[Ngày lập] &gt;= O$1)*
(Table_DonMua[Ngày lập] &lt; DATE(YEAR(O$1),MONTH(O$1)+1,1))
)),0)
+IFERROR(
SUM(_xlfn._xlws.FILTER(Table_DonMua[Khuyến mãi],
(Table_DonMua[Ngày lập] &gt;= O$1)*
(Table_DonMua[Ngày lập] &lt; DATE(YEAR(O$1),MONTH(O$1)+1,1))
)),0)
-IFERROR(
SUM(_xlfn._xlws.FILTER(Table_ChiPhiKD[Giá trị],
(NOT(ISBLANK(Table_ChiPhiKD[Tháng])))*
(Table_ChiPhiKD[Nhóm chi phí] = Table_BCTC_Thang[[#This Row],[Gtri]]) *
(Table_ChiPhiKD[Kỳ] = O$1)
)),0)
- IFERROR(SUMPRODUCT(
_xlfn._xlws.FILTER(Table_ChiPhiKD[Giá trị],
(ISBLANK(Table_ChiPhiKD[Tháng])) *
(Table_ChiPhiKD[Nhóm chi phí] = Table_BCTC_Thang[[#This Row],[Gtri]]) *
(Table_ChiPhiKD[Phân bổ từ] &lt; DATE(YEAR(O$1),MONTH(O$1)+1,1))*
(Table_ChiPhiKD[Phân bổ đến] &gt; O$1)),
1/_xlfn._xlws.FILTER(ROUND((Table_ChiPhiKD[Phân bổ đến]-Table_ChiPhiKD[Phân bổ từ])/(365.25/12),0),
(ISBLANK(Table_ChiPhiKD[Tháng])) *
(Table_ChiPhiKD[Nhóm chi phí] = Table_BCTC_Thang[[#This Row],[Gtri]]) *
(Table_ChiPhiKD[Phân bổ từ] &lt; DATE(YEAR(O$1),MONTH(O$1)+1,1))*
(Table_ChiPhiKD[Phân bổ đến] &gt; O$1))
), 0)</f>
        <v>0</v>
      </c>
      <c r="P17" s="362" cm="1">
        <f t="array" ref="P17">-IFERROR(
SUM(_xlfn._xlws.FILTER(Table_DonMua[Phụ phí],
(Table_DonMua[Ngày lập] &gt;= P$1)*
(Table_DonMua[Ngày lập] &lt; DATE(YEAR(P$1),MONTH(P$1)+1,1))
)),0)
+IFERROR(
SUM(_xlfn._xlws.FILTER(Table_DonMua[Khuyến mãi],
(Table_DonMua[Ngày lập] &gt;= P$1)*
(Table_DonMua[Ngày lập] &lt; DATE(YEAR(P$1),MONTH(P$1)+1,1))
)),0)
-IFERROR(
SUM(_xlfn._xlws.FILTER(Table_ChiPhiKD[Giá trị],
(NOT(ISBLANK(Table_ChiPhiKD[Tháng])))*
(Table_ChiPhiKD[Nhóm chi phí] = Table_BCTC_Thang[[#This Row],[Gtri]]) *
(Table_ChiPhiKD[Kỳ] = P$1)
)),0)
- IFERROR(SUMPRODUCT(
_xlfn._xlws.FILTER(Table_ChiPhiKD[Giá trị],
(ISBLANK(Table_ChiPhiKD[Tháng])) *
(Table_ChiPhiKD[Nhóm chi phí] = Table_BCTC_Thang[[#This Row],[Gtri]]) *
(Table_ChiPhiKD[Phân bổ từ] &lt; DATE(YEAR(P$1),MONTH(P$1)+1,1))*
(Table_ChiPhiKD[Phân bổ đến] &gt; P$1)),
1/_xlfn._xlws.FILTER(ROUND((Table_ChiPhiKD[Phân bổ đến]-Table_ChiPhiKD[Phân bổ từ])/(365.25/12),0),
(ISBLANK(Table_ChiPhiKD[Tháng])) *
(Table_ChiPhiKD[Nhóm chi phí] = Table_BCTC_Thang[[#This Row],[Gtri]]) *
(Table_ChiPhiKD[Phân bổ từ] &lt; DATE(YEAR(P$1),MONTH(P$1)+1,1))*
(Table_ChiPhiKD[Phân bổ đến] &gt; P$1))
), 0)</f>
        <v>0</v>
      </c>
      <c r="Q17" s="266"/>
      <c r="R17" s="266"/>
      <c r="S17" s="266"/>
      <c r="T17" s="266"/>
      <c r="U17" s="266"/>
      <c r="V17" s="266"/>
      <c r="W17" s="266"/>
      <c r="X17" s="266"/>
      <c r="Y17" s="266"/>
      <c r="Z17" s="266"/>
      <c r="AA17" s="266"/>
      <c r="AB17" s="266"/>
      <c r="AC17" s="266"/>
      <c r="AD17" s="266"/>
      <c r="AE17" s="266"/>
      <c r="AF17" s="266"/>
      <c r="AG17" s="266"/>
      <c r="AH17" s="266"/>
      <c r="AI17" s="266"/>
      <c r="AJ17" s="266"/>
      <c r="AK17" s="266"/>
      <c r="AL17" s="266"/>
      <c r="AM17" s="266"/>
    </row>
    <row r="18" spans="1:39" s="41" customFormat="1" ht="18" hidden="1" customHeight="1" outlineLevel="3" x14ac:dyDescent="0.3">
      <c r="A18" s="242">
        <f t="shared" si="0"/>
        <v>15</v>
      </c>
      <c r="B18" s="365"/>
      <c r="C18" s="72" t="s">
        <v>372</v>
      </c>
      <c r="D18" s="361"/>
      <c r="E18" s="362" cm="1">
        <f t="array" ref="E18">-IFERROR(
SUM(_xlfn._xlws.FILTER(Table_TSCD_KhauHao[Khấu hao sản xuất],
(Table_TSCD_KhauHao[Năm] = BCTC_Nam)
)),0)</f>
        <v>0</v>
      </c>
      <c r="F18" s="362" cm="1">
        <f t="array" ref="F18">-IFERROR(
SUM(_xlfn._xlws.FILTER(Table_TSCD_KhauHao[Khấu hao sản xuất],
(Table_TSCD_KhauHao[Kỳ] = DATE(BCTC_Nam,BCTC_Thang,1))
)),0)</f>
        <v>0</v>
      </c>
      <c r="G18" s="366"/>
      <c r="H18" s="365"/>
      <c r="I18" s="72" t="s">
        <v>372</v>
      </c>
      <c r="J18" s="362" cm="1">
        <f t="array" ref="J18">-IFERROR(
SUM(_xlfn._xlws.FILTER(Table_TSCD_KhauHao[Khấu hao sản xuất],
(Table_TSCD_KhauHao[Năm] = J$1)
)),0)</f>
        <v>0</v>
      </c>
      <c r="K18" s="362" cm="1">
        <f t="array" ref="K18">-IFERROR(
SUM(_xlfn._xlws.FILTER(Table_TSCD_KhauHao[Khấu hao sản xuất],
(Table_TSCD_KhauHao[Năm] = K$1)
)),0)</f>
        <v>0</v>
      </c>
      <c r="L18" s="266"/>
      <c r="M18" s="365"/>
      <c r="N18" s="72" t="s">
        <v>372</v>
      </c>
      <c r="O18" s="362" cm="1">
        <f t="array" ref="O18">-IFERROR(
SUM(_xlfn._xlws.FILTER(Table_TSCD_KhauHao[Khấu hao sản xuất],
(Table_TSCD_KhauHao[Kỳ] = O$1)
)),0)</f>
        <v>0</v>
      </c>
      <c r="P18" s="362" cm="1">
        <f t="array" ref="P18">-IFERROR(
SUM(_xlfn._xlws.FILTER(Table_TSCD_KhauHao[Khấu hao sản xuất],
(Table_TSCD_KhauHao[Kỳ] = P$1)
)),0)</f>
        <v>0</v>
      </c>
      <c r="Q18" s="266"/>
      <c r="R18" s="266"/>
      <c r="S18" s="266"/>
      <c r="T18" s="266"/>
      <c r="U18" s="266"/>
      <c r="V18" s="266"/>
      <c r="W18" s="266"/>
      <c r="X18" s="266"/>
      <c r="Y18" s="266"/>
      <c r="Z18" s="266"/>
      <c r="AA18" s="266"/>
      <c r="AB18" s="266"/>
      <c r="AC18" s="266"/>
      <c r="AD18" s="266"/>
      <c r="AE18" s="266"/>
      <c r="AF18" s="266"/>
      <c r="AG18" s="266"/>
      <c r="AH18" s="266"/>
      <c r="AI18" s="266"/>
      <c r="AJ18" s="266"/>
      <c r="AK18" s="266"/>
      <c r="AL18" s="266"/>
      <c r="AM18" s="266"/>
    </row>
    <row r="19" spans="1:39" s="53" customFormat="1" ht="18" hidden="1" customHeight="1" outlineLevel="3" x14ac:dyDescent="0.3">
      <c r="A19" s="242">
        <f t="shared" si="0"/>
        <v>16</v>
      </c>
      <c r="B19" s="259"/>
      <c r="C19" s="72" t="s">
        <v>373</v>
      </c>
      <c r="D19" s="361"/>
      <c r="E19" s="312" cm="1">
        <f t="array" ref="E19">-IFERROR(
SUM(_xlfn._xlws.FILTER(Table_ChiPhiKD[Giá trị],
(Table_ChiPhiKD[Nhóm chi phí] = Table_BCTC[[#This Row],[Gtri]]) *
(Table_ChiPhiKD[Năm] = BCTC_Nam)
)),0)</f>
        <v>0</v>
      </c>
      <c r="F19" s="312" cm="1">
        <f t="array" ref="F1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9" s="362"/>
      <c r="H19" s="259"/>
      <c r="I19" s="72" t="s">
        <v>373</v>
      </c>
      <c r="J19" s="312" cm="1">
        <f t="array" ref="J1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9" s="312" cm="1">
        <f t="array" ref="K1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9" s="264"/>
      <c r="M19" s="259"/>
      <c r="N19" s="72" t="s">
        <v>373</v>
      </c>
      <c r="O19" s="312" cm="1">
        <f t="array" ref="O1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19" s="312" cm="1">
        <f t="array" ref="P1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19" s="264"/>
      <c r="R19" s="264"/>
      <c r="S19" s="264"/>
      <c r="T19" s="264"/>
      <c r="U19" s="264"/>
      <c r="V19" s="264"/>
      <c r="W19" s="264"/>
      <c r="X19" s="264"/>
      <c r="Y19" s="264"/>
      <c r="Z19" s="264"/>
      <c r="AA19" s="264"/>
      <c r="AB19" s="264"/>
      <c r="AC19" s="264"/>
      <c r="AD19" s="264"/>
      <c r="AE19" s="264"/>
      <c r="AF19" s="264"/>
      <c r="AG19" s="264"/>
      <c r="AH19" s="264"/>
      <c r="AI19" s="264"/>
      <c r="AJ19" s="264"/>
      <c r="AK19" s="264"/>
      <c r="AL19" s="264"/>
      <c r="AM19" s="264"/>
    </row>
    <row r="20" spans="1:39" s="53" customFormat="1" ht="18" hidden="1" customHeight="1" outlineLevel="1" x14ac:dyDescent="0.3">
      <c r="A20" s="242">
        <f t="shared" si="0"/>
        <v>17</v>
      </c>
      <c r="B20" s="356" t="s">
        <v>374</v>
      </c>
      <c r="C20" s="74" t="s">
        <v>375</v>
      </c>
      <c r="D20" s="367"/>
      <c r="E20" s="366">
        <f>+E11+E12</f>
        <v>0</v>
      </c>
      <c r="F20" s="366">
        <f>+F11+F12</f>
        <v>0</v>
      </c>
      <c r="G20" s="362"/>
      <c r="H20" s="356" t="s">
        <v>374</v>
      </c>
      <c r="I20" s="74" t="s">
        <v>375</v>
      </c>
      <c r="J20" s="366">
        <f>+J11+J12</f>
        <v>0</v>
      </c>
      <c r="K20" s="366">
        <f>+K11+K12</f>
        <v>0</v>
      </c>
      <c r="L20" s="264"/>
      <c r="M20" s="356" t="s">
        <v>374</v>
      </c>
      <c r="N20" s="74" t="s">
        <v>375</v>
      </c>
      <c r="O20" s="366">
        <f>+O11+O12</f>
        <v>0</v>
      </c>
      <c r="P20" s="366">
        <f>+P11+P12</f>
        <v>0</v>
      </c>
      <c r="Q20" s="264"/>
      <c r="R20" s="264"/>
      <c r="S20" s="264"/>
      <c r="T20" s="264"/>
      <c r="U20" s="264"/>
      <c r="V20" s="264"/>
      <c r="W20" s="264"/>
      <c r="X20" s="264"/>
      <c r="Y20" s="264"/>
      <c r="Z20" s="264"/>
      <c r="AA20" s="264"/>
      <c r="AB20" s="264"/>
      <c r="AC20" s="264"/>
      <c r="AD20" s="264"/>
      <c r="AE20" s="264"/>
      <c r="AF20" s="264"/>
      <c r="AG20" s="264"/>
      <c r="AH20" s="264"/>
      <c r="AI20" s="264"/>
      <c r="AJ20" s="264"/>
      <c r="AK20" s="264"/>
      <c r="AL20" s="264"/>
      <c r="AM20" s="264"/>
    </row>
    <row r="21" spans="1:39" s="53" customFormat="1" ht="18" hidden="1" customHeight="1" outlineLevel="2" x14ac:dyDescent="0.3">
      <c r="A21" s="242">
        <f t="shared" si="0"/>
        <v>18</v>
      </c>
      <c r="B21" s="359" t="s">
        <v>376</v>
      </c>
      <c r="C21" s="73" t="s">
        <v>377</v>
      </c>
      <c r="D21" s="364"/>
      <c r="E21" s="358">
        <f>+SUM(E22:E31)</f>
        <v>0</v>
      </c>
      <c r="F21" s="358">
        <f>+SUM(F22:F31)</f>
        <v>0</v>
      </c>
      <c r="G21" s="362"/>
      <c r="H21" s="359" t="s">
        <v>376</v>
      </c>
      <c r="I21" s="73" t="s">
        <v>377</v>
      </c>
      <c r="J21" s="358">
        <f>+SUM(J22:J31)</f>
        <v>0</v>
      </c>
      <c r="K21" s="358">
        <f>+SUM(K22:K31)</f>
        <v>0</v>
      </c>
      <c r="L21" s="264"/>
      <c r="M21" s="359" t="s">
        <v>376</v>
      </c>
      <c r="N21" s="73" t="s">
        <v>377</v>
      </c>
      <c r="O21" s="358">
        <f>+SUM(O22:O31)</f>
        <v>0</v>
      </c>
      <c r="P21" s="358">
        <f>+SUM(P22:P31)</f>
        <v>0</v>
      </c>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row>
    <row r="22" spans="1:39" s="53" customFormat="1" ht="18" hidden="1" customHeight="1" outlineLevel="3" x14ac:dyDescent="0.3">
      <c r="A22" s="242">
        <f t="shared" si="0"/>
        <v>19</v>
      </c>
      <c r="B22" s="365"/>
      <c r="C22" s="72" t="s">
        <v>378</v>
      </c>
      <c r="D22" s="361"/>
      <c r="E22" s="362" cm="1">
        <f t="array" ref="E22">-IFERROR(
SUM(_xlfn._xlws.FILTER(Table_ChiPhiNV[Tổng chi phí],
(Table_ChiPhiNV[Chức năng] = "Bán hàng") *
(Table_ChiPhiNV[Năm] = BCTC_Nam)
)),0)-E23</f>
        <v>0</v>
      </c>
      <c r="F22" s="362" cm="1">
        <f t="array" ref="F22">-IFERROR(
SUM(_xlfn._xlws.FILTER(Table_ChiPhiNV[Tổng chi phí],
(Table_ChiPhiNV[Chức năng] = "Bán hàng") *
(NOT(ISBLANK(Table_ChiPhiNV[Tháng])))*
(Table_ChiPhiNV[Kỳ] = DATE(BCTC_Nam,BCTC_Thang,1))
)),0)
-IFERROR(
SUMPRODUCT(
_xlfn._xlws.FILTER(Table_ChiPhiNV[Tổng chi phí],
(Table_ChiPhiNV[Chức năng] = "Bán hàng")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"Bán hàng") *
(Table_ChiPhiNV[Năm] = BCTC_Nam) *
(ISBLANK(Table_ChiPhiNV[Tháng]))*
(Table_ChiPhiNV[Phân bổ từ] &lt; DATE(BCTC_Nam,BCTC_Thang+1,1))*
(Table_ChiPhiNV[Phân bổ đến] &gt; DATE(BCTC_Nam,BCTC_Thang,1))
)
),0)-F23</f>
        <v>0</v>
      </c>
      <c r="G22" s="362"/>
      <c r="H22" s="365"/>
      <c r="I22" s="72" t="s">
        <v>378</v>
      </c>
      <c r="J22" s="362" cm="1">
        <f t="array" ref="J22" xml:space="preserve">
-IFERROR(
SUM(
_xlfn._xlws.FILTER(Table_ChiPhiNV[Tổng chi phí],
(Table_ChiPhiNV[Chức năng] = "Bán hàng") *
(NOT(ISBLANK(Table_ChiPhiNV[Tháng])))*
(Table_ChiPhiNV[Năm] = J$1)
)),
0)
-IFERROR(
SUMPRODUCT(
_xlfn._xlws.FILTER(Table_ChiPhiNV[Tổng chi phí],
(Table_ChiPhiNV[Chức năng] = "Bán hàng")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"Bán hàng") *
(ISBLANK(Table_ChiPhiNV[Tháng]))*
(Table_ChiPhiNV[Phân bổ từ] &lt; DATE(J$1+1,1,1))*
(Table_ChiPhiNV[Phân bổ đến] &gt; DATE(J$1,1,1))
),
1/_xlfn._xlws.FILTER(
ROUND(
(Table_ChiPhiNV[Phân bổ đến]-Table_ChiPhiNV[Phân bổ từ])
/(365.25/12),
0),
(Table_ChiPhiNV[Chức năng] = "Bán hàng") *
(ISBLANK(Table_ChiPhiNV[Tháng]))*
(Table_ChiPhiNV[Phân bổ từ] &lt; DATE(J$1+1,1,1))*
(Table_ChiPhiNV[Phân bổ đến] &gt; DATE(J$1,1,1))
)
),
0)-J23</f>
        <v>0</v>
      </c>
      <c r="K22" s="362" cm="1">
        <f t="array" ref="K22" xml:space="preserve">
-IFERROR(
SUM(
_xlfn._xlws.FILTER(Table_ChiPhiNV[Tổng chi phí],
(Table_ChiPhiNV[Chức năng] = "Bán hàng") *
(NOT(ISBLANK(Table_ChiPhiNV[Tháng])))*
(Table_ChiPhiNV[Năm] = K$1)
)),
0)
-IFERROR(
SUMPRODUCT(
_xlfn._xlws.FILTER(Table_ChiPhiNV[Tổng chi phí],
(Table_ChiPhiNV[Chức năng] = "Bán hàng")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"Bán hàng") *
(ISBLANK(Table_ChiPhiNV[Tháng]))*
(Table_ChiPhiNV[Phân bổ từ] &lt; DATE(K$1+1,1,1))*
(Table_ChiPhiNV[Phân bổ đến] &gt; DATE(K$1,1,1))
),
1/_xlfn._xlws.FILTER(
ROUND(
(Table_ChiPhiNV[Phân bổ đến]-Table_ChiPhiNV[Phân bổ từ])
/(365.25/12),
0),
(Table_ChiPhiNV[Chức năng] = "Bán hàng") *
(ISBLANK(Table_ChiPhiNV[Tháng]))*
(Table_ChiPhiNV[Phân bổ từ] &lt; DATE(K$1+1,1,1))*
(Table_ChiPhiNV[Phân bổ đến] &gt; DATE(K$1,1,1))
)
),
0)-K23</f>
        <v>0</v>
      </c>
      <c r="L22" s="264"/>
      <c r="M22" s="365"/>
      <c r="N22" s="72" t="s">
        <v>378</v>
      </c>
      <c r="O22" s="362" cm="1">
        <f t="array" ref="O22">-IFERROR(
SUM(_xlfn._xlws.FILTER(Table_ChiPhiNV[Tổng chi phí],
(Table_ChiPhiNV[Chức năng] = "Bán hàng") *
(NOT(ISBLANK(Table_ChiPhiNV[Tháng])))*
(Table_ChiPhiNV[Kỳ] = O$1)
)),0)
-IFERROR(
SUMPRODUCT(
_xlfn._xlws.FILTER(Table_ChiPhiNV[Tổng chi phí],
(Table_ChiPhiNV[Chức năng] = "Bán hàng") *
(ISBLANK(Table_ChiPhiNV[Tháng]))*
(Table_ChiPhiNV[Phân bổ từ] &lt; DATE(YEAR(O$1),MONTH(O$1)+1,1))*
(Table_ChiPhiNV[Phân bổ đến] &gt; O$1)
),
1/_xlfn._xlws.FILTER(ROUND((Table_ChiPhiNV[Phân bổ đến]-Table_ChiPhiNV[Phân bổ từ])/(365.25/12),0),
(Table_ChiPhiNV[Chức năng] = "Bán hàng") *
(ISBLANK(Table_ChiPhiNV[Tháng]))*
(Table_ChiPhiNV[Phân bổ từ] &lt; DATE(YEAR(O$1),MONTH(O$1)+1,1))*
(Table_ChiPhiNV[Phân bổ đến] &gt; O$1)
)
),0)-O23</f>
        <v>0</v>
      </c>
      <c r="P22" s="362" cm="1">
        <f t="array" ref="P22">-IFERROR(
SUM(_xlfn._xlws.FILTER(Table_ChiPhiNV[Tổng chi phí],
(Table_ChiPhiNV[Chức năng] = "Bán hàng") *
(NOT(ISBLANK(Table_ChiPhiNV[Tháng])))*
(Table_ChiPhiNV[Kỳ] = P$1)
)),0)
-IFERROR(
SUMPRODUCT(
_xlfn._xlws.FILTER(Table_ChiPhiNV[Tổng chi phí],
(Table_ChiPhiNV[Chức năng] = "Bán hàng") *
(ISBLANK(Table_ChiPhiNV[Tháng]))*
(Table_ChiPhiNV[Phân bổ từ] &lt; DATE(YEAR(P$1),MONTH(P$1)+1,1))*
(Table_ChiPhiNV[Phân bổ đến] &gt; P$1)
),
1/_xlfn._xlws.FILTER(ROUND((Table_ChiPhiNV[Phân bổ đến]-Table_ChiPhiNV[Phân bổ từ])/(365.25/12),0),
(Table_ChiPhiNV[Chức năng] = "Bán hàng") *
(ISBLANK(Table_ChiPhiNV[Tháng]))*
(Table_ChiPhiNV[Phân bổ từ] &lt; DATE(YEAR(P$1),MONTH(P$1)+1,1))*
(Table_ChiPhiNV[Phân bổ đến] &gt; P$1)
)
),0)-P23</f>
        <v>0</v>
      </c>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row>
    <row r="23" spans="1:39" s="53" customFormat="1" ht="18" hidden="1" customHeight="1" outlineLevel="3" x14ac:dyDescent="0.3">
      <c r="A23" s="242">
        <f t="shared" si="0"/>
        <v>20</v>
      </c>
      <c r="B23" s="365"/>
      <c r="C23" s="72" t="s">
        <v>224</v>
      </c>
      <c r="D23" s="361"/>
      <c r="E23" s="362" cm="1">
        <f t="array" ref="E23">-IFERROR(SUM(_xlfn._xlws.FILTER(Table_ChiPhiNV[Hoa hồng],
(Table_ChiPhiNV[Năm] = BCTC_Nam)
)),0)
-IFERROR(
SUM(_xlfn._xlws.FILTER(Table_KPI[Thưởng KPI],
(NOT(ISBLANK(Table_KPI[Nhân viên]))) *
(Table_KPI[Năm] =  BCTC_Nam)
)),0)</f>
        <v>0</v>
      </c>
      <c r="F23" s="362" cm="1">
        <f t="array" ref="F23">-IFERROR(SUM(_xlfn._xlws.FILTER(Table_ChiPhiNV[Hoa hồng],
(Table_ChiPhiNV[Kỳ] = DATE(BCTC_Nam, BCTC_Thang, 1))
)),0)
-IFERROR(
SUM(_xlfn._xlws.FILTER(Table_KPI[Thưởng KPI],
(NOT(ISBLANK(Table_KPI[Nhân viên]))) *
(NOT(ISBLANK(Table_KPI[Tháng]))) *
(Table_KPI[Kỳ] &gt;= DATE(BCTC_Nam, BCTC_Thang, 1)) *
(Table_KPI[Kỳ] &lt; DATE(BCTC_Nam, BCTC_Thang+1, 1))
)),0)
-IFERROR(
SUM(_xlfn._xlws.FILTER(Table_KPI[Thưởng KPI],
(NOT(ISBLANK(Table_KPI[Nhân viên]))) *
(ISBLANK(Table_KPI[Tháng])) *
(Table_KPI[Năm] =  BCTC_Nam)
)) / 12,0)</f>
        <v>0</v>
      </c>
      <c r="G23" s="362"/>
      <c r="H23" s="365"/>
      <c r="I23" s="72" t="s">
        <v>224</v>
      </c>
      <c r="J23" s="362" cm="1">
        <f t="array" ref="J23" xml:space="preserve">
-IFERROR(
SUM(
_xlfn._xlws.FILTER(Table_ChiPhiNV[Hoa hồng],
(Table_ChiPhiNV[Năm] = J$1)
)),
0)
-IFERROR(
SUM(
_xlfn._xlws.FILTER(Table_KPI[Thưởng KPI],
(NOT(ISBLANK(Table_KPI[Nhân viên]))) *
(Table_KPI[Năm] =  J$1)
)),
0)</f>
        <v>0</v>
      </c>
      <c r="K23" s="362" cm="1">
        <f t="array" ref="K23" xml:space="preserve">
-IFERROR(
SUM(
_xlfn._xlws.FILTER(Table_ChiPhiNV[Hoa hồng],
(Table_ChiPhiNV[Năm] = K$1)
)),
0)
-IFERROR(
SUM(
_xlfn._xlws.FILTER(Table_KPI[Thưởng KPI],
(NOT(ISBLANK(Table_KPI[Nhân viên]))) *
(Table_KPI[Năm] =  K$1)
)),
0)</f>
        <v>0</v>
      </c>
      <c r="L23" s="264"/>
      <c r="M23" s="365"/>
      <c r="N23" s="72" t="s">
        <v>224</v>
      </c>
      <c r="O23" s="362" cm="1">
        <f t="array" ref="O23" xml:space="preserve">
-IFERROR(
SUM(
_xlfn._xlws.FILTER(Table_ChiPhiNV[Hoa hồng],
(Table_ChiPhiNV[Kỳ] = O$1)
)),
0)
-IFERROR(
SUM(
_xlfn._xlws.FILTER(Table_KPI[Thưởng KPI],
(NOT(ISBLANK(Table_KPI[Nhân viên]))) *
(NOT(ISBLANK(Table_KPI[Tháng]))) *
(Table_KPI[Kỳ] = O$1)
)),
0)
-IFERROR(
SUM(
_xlfn._xlws.FILTER(Table_KPI[Thưởng KPI],
(NOT(ISBLANK(Table_KPI[Nhân viên]))) *
(ISBLANK(Table_KPI[Tháng])) *
(Table_KPI[Năm] =  YEAR(O$1))
)) / 12,
0)</f>
        <v>0</v>
      </c>
      <c r="P23" s="362" cm="1">
        <f t="array" ref="P23" xml:space="preserve">
-IFERROR(
SUM(
_xlfn._xlws.FILTER(Table_ChiPhiNV[Hoa hồng],
(Table_ChiPhiNV[Kỳ] = P$1)
)),
0)
-IFERROR(
SUM(
_xlfn._xlws.FILTER(Table_KPI[Thưởng KPI],
(NOT(ISBLANK(Table_KPI[Nhân viên]))) *
(NOT(ISBLANK(Table_KPI[Tháng]))) *
(Table_KPI[Kỳ] = P$1)
)),
0)
-IFERROR(
SUM(
_xlfn._xlws.FILTER(Table_KPI[Thưởng KPI],
(NOT(ISBLANK(Table_KPI[Nhân viên]))) *
(ISBLANK(Table_KPI[Tháng])) *
(Table_KPI[Năm] =  YEAR(P$1))
)) / 12,
0)</f>
        <v>0</v>
      </c>
      <c r="Q23" s="264"/>
      <c r="R23" s="264"/>
      <c r="S23" s="264"/>
      <c r="T23" s="264"/>
      <c r="U23" s="264"/>
      <c r="V23" s="264"/>
      <c r="W23" s="264"/>
      <c r="X23" s="264"/>
      <c r="Y23" s="264"/>
      <c r="Z23" s="264"/>
      <c r="AA23" s="264"/>
      <c r="AB23" s="264"/>
      <c r="AC23" s="264"/>
      <c r="AD23" s="264"/>
      <c r="AE23" s="264"/>
      <c r="AF23" s="264"/>
      <c r="AG23" s="264"/>
      <c r="AH23" s="264"/>
      <c r="AI23" s="264"/>
      <c r="AJ23" s="264"/>
      <c r="AK23" s="264"/>
      <c r="AL23" s="264"/>
      <c r="AM23" s="264"/>
    </row>
    <row r="24" spans="1:39" s="53" customFormat="1" ht="18" hidden="1" customHeight="1" outlineLevel="3" x14ac:dyDescent="0.3">
      <c r="A24" s="242">
        <f t="shared" si="0"/>
        <v>21</v>
      </c>
      <c r="B24" s="365"/>
      <c r="C24" s="72" t="s">
        <v>379</v>
      </c>
      <c r="D24" s="361"/>
      <c r="E24" s="362" cm="1">
        <f t="array" ref="E24">-IFERROR(
SUM(_xlfn._xlws.FILTER(Table_TonKho[Chi phí ghi nhận],
(Table_TonKho[Năm] = BCTC_Nam) *
(Table_TonKho[Chức năng] = "Bán hàng")
)),0)</f>
        <v>0</v>
      </c>
      <c r="F24" s="362" cm="1">
        <f t="array" ref="F24">-IFERROR(
SUM(_xlfn._xlws.FILTER(Table_TonKho[Chi phí ghi nhận],
(Table_TonKho[Kỳ] = DATE(BCTC_Nam,BCTC_Thang,1)) *
(Table_TonKho[Chức năng] = "Bán hàng")
)),0)</f>
        <v>0</v>
      </c>
      <c r="G24" s="362"/>
      <c r="H24" s="365"/>
      <c r="I24" s="72" t="s">
        <v>379</v>
      </c>
      <c r="J24" s="362" cm="1">
        <f t="array" ref="J24">-IFERROR(
SUM(_xlfn._xlws.FILTER(Table_TonKho[Chi phí ghi nhận],
(Table_TonKho[Năm] = J$1) *
(Table_TonKho[Chức năng] = "Bán hàng")
)),0)</f>
        <v>0</v>
      </c>
      <c r="K24" s="362" cm="1">
        <f t="array" ref="K24">-IFERROR(
SUM(_xlfn._xlws.FILTER(Table_TonKho[Chi phí ghi nhận],
(Table_TonKho[Năm] = K$1) *
(Table_TonKho[Chức năng] = "Bán hàng")
)),0)</f>
        <v>0</v>
      </c>
      <c r="L24" s="264"/>
      <c r="M24" s="365"/>
      <c r="N24" s="72" t="s">
        <v>379</v>
      </c>
      <c r="O24" s="362" cm="1">
        <f t="array" ref="O24">-IFERROR(
SUM(_xlfn._xlws.FILTER(Table_TonKho[Chi phí ghi nhận],
(Table_TonKho[Kỳ] = O$1) *
(Table_TonKho[Chức năng] = "Bán hàng")
)),0)</f>
        <v>0</v>
      </c>
      <c r="P24" s="362" cm="1">
        <f t="array" ref="P24">-IFERROR(
SUM(_xlfn._xlws.FILTER(Table_TonKho[Chi phí ghi nhận],
(Table_TonKho[Kỳ] = P$1) *
(Table_TonKho[Chức năng] = "Bán hàng")
)),0)</f>
        <v>0</v>
      </c>
      <c r="Q24" s="264"/>
      <c r="R24" s="264"/>
      <c r="S24" s="264"/>
      <c r="T24" s="264"/>
      <c r="U24" s="264"/>
      <c r="V24" s="264"/>
      <c r="W24" s="264"/>
      <c r="X24" s="264"/>
      <c r="Y24" s="264"/>
      <c r="Z24" s="264"/>
      <c r="AA24" s="264"/>
      <c r="AB24" s="264"/>
      <c r="AC24" s="264"/>
      <c r="AD24" s="264"/>
      <c r="AE24" s="264"/>
      <c r="AF24" s="264"/>
      <c r="AG24" s="264"/>
      <c r="AH24" s="264"/>
      <c r="AI24" s="264"/>
      <c r="AJ24" s="264"/>
      <c r="AK24" s="264"/>
      <c r="AL24" s="264"/>
      <c r="AM24" s="264"/>
    </row>
    <row r="25" spans="1:39" s="53" customFormat="1" ht="18" hidden="1" customHeight="1" outlineLevel="3" x14ac:dyDescent="0.3">
      <c r="A25" s="242">
        <f t="shared" si="0"/>
        <v>22</v>
      </c>
      <c r="B25" s="365"/>
      <c r="C25" s="72" t="s">
        <v>291</v>
      </c>
      <c r="D25" s="361"/>
      <c r="E25" s="362" cm="1">
        <f t="array" ref="E25">-IFERROR(
SUM(_xlfn._xlws.FILTER(Table_VanDon[Phí ship],
(Table_VanDon[Bên chịu phí] = "Bên bán") *
(Table_VanDon[Ngày lập] &gt;= DATE(BCTC_Nam,1,1)) *
(Table_VanDon[Ngày lập] &lt; DATE(BCTC_Nam+1,1,1))
)),0)</f>
        <v>0</v>
      </c>
      <c r="F25" s="362" cm="1">
        <f t="array" ref="F25">-IFERROR(
SUM(_xlfn._xlws.FILTER(Table_VanDon[Phí ship],
(Table_VanDon[Bên chịu phí] = "Bên bán") *
(Table_VanDon[Ngày lập] &gt;= DATE(BCTC_Nam, BCTC_Thang,1)) *
(Table_VanDon[Ngày lập] &lt; DATE(BCTC_Nam, BCTC_Thang+1,1))
)),0)</f>
        <v>0</v>
      </c>
      <c r="G25" s="362"/>
      <c r="H25" s="365"/>
      <c r="I25" s="72" t="s">
        <v>291</v>
      </c>
      <c r="J25" s="362" cm="1">
        <f t="array" ref="J25">-IFERROR(
SUM(
_xlfn._xlws.FILTER(Table_VanDon[Phí ship],
(Table_VanDon[Bên chịu phí] = "Bên bán") *
(Table_VanDon[Ngày lập] &gt;= DATE(J$1,1,1)) *
(Table_VanDon[Ngày lập] &lt; DATE(J$1+1,1,1))
)),
0)</f>
        <v>0</v>
      </c>
      <c r="K25" s="362" cm="1">
        <f t="array" ref="K25">-IFERROR(
SUM(
_xlfn._xlws.FILTER(Table_VanDon[Phí ship],
(Table_VanDon[Bên chịu phí] = "Bên bán") *
(Table_VanDon[Ngày lập] &gt;= DATE(K$1,1,1)) *
(Table_VanDon[Ngày lập] &lt; DATE(K$1+1,1,1))
)),
0)</f>
        <v>0</v>
      </c>
      <c r="L25" s="264"/>
      <c r="M25" s="365"/>
      <c r="N25" s="72" t="s">
        <v>291</v>
      </c>
      <c r="O25" s="362" cm="1">
        <f t="array" ref="O25">-IFERROR(
SUM(
_xlfn._xlws.FILTER(Table_VanDon[Phí ship],
(Table_VanDon[Bên chịu phí] = "Bên bán") *
(Table_VanDon[Ngày lập] &gt;= O$1) *
(Table_VanDon[Ngày lập] &lt; DATE(YEAR(O$1),MONTH(O$1)+1,1))
)),
0)</f>
        <v>0</v>
      </c>
      <c r="P25" s="362" cm="1">
        <f t="array" ref="P25">-IFERROR(
SUM(
_xlfn._xlws.FILTER(Table_VanDon[Phí ship],
(Table_VanDon[Bên chịu phí] = "Bên bán") *
(Table_VanDon[Ngày lập] &gt;= P$1) *
(Table_VanDon[Ngày lập] &lt; DATE(YEAR(P$1),MONTH(P$1)+1,1))
)),
0)</f>
        <v>0</v>
      </c>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s="53" customFormat="1" ht="18" hidden="1" customHeight="1" outlineLevel="3" x14ac:dyDescent="0.3">
      <c r="A26" s="242">
        <f t="shared" si="0"/>
        <v>23</v>
      </c>
      <c r="B26" s="365"/>
      <c r="C26" s="72" t="s">
        <v>345</v>
      </c>
      <c r="D26" s="361"/>
      <c r="E26" s="362" cm="1">
        <f t="array" ref="E26">-IFERROR(SUM(
_xlfn._xlws.FILTER(Table_Main[CK kênh],
(Table_Main[Ngày lên đơn] &gt;= DATE(BCTC_Nam, 1, 1))*
(Table_Main[Ngày lên đơn]  &lt; DATE(BCTC_Nam+1, 1, 1))
)),0)
-IFERROR(
SUM(_xlfn._xlws.FILTER(Table_KPI[Thưởng KPI],
(NOT(ISBLANK(Table_KPI[Kênh]))) *
(Table_KPI[Năm] =  BCTC_Nam)
)),0)
-IFERROR(
SUM(_xlfn._xlws.FILTER(Table_ChiPhiKD[Giá trị],
(Table_ChiPhiKD[Nhóm chi phí] = Table_BCTC[[#This Row],[Gtri]]) *
(Table_ChiPhiKD[Năm] = BCTC_Nam)
)),0)</f>
        <v>0</v>
      </c>
      <c r="F26" s="362" cm="1">
        <f t="array" ref="F26">-IFERROR(SUM(
_xlfn._xlws.FILTER(Table_Main[CK kênh],
(Table_Main[Ngày lên đơn] &gt;= DATE(BCTC_Nam, BCTC_Thang, 1))*
(Table_Main[Ngày lên đơn] &lt; DATE(BCTC_Nam, BCTC_Thang+1, 1))
)),0)
-IFERROR(
SUM(_xlfn._xlws.FILTER(Table_KPI[Thưởng KPI],
(NOT(ISBLANK(Table_KPI[Kênh]))) *
(NOT(ISBLANK(Table_KPI[Tháng]))) *
(Table_KPI[Kỳ] &gt;= DATE(BCTC_Nam, BCTC_Thang, 1)) *
(Table_KPI[Kỳ] &lt; DATE(BCTC_Nam, BCTC_Thang+1, 1))
)),0)
-IFERROR(
SUM(_xlfn._xlws.FILTER(Table_KPI[Thưởng KPI],
(NOT(ISBLANK(Table_KPI[Kênh]))) *
(ISBLANK(Table_KPI[Tháng])) *
(Table_KPI[Năm] =  BCTC_Nam)
)) / 12,0)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6" s="362"/>
      <c r="H26" s="365"/>
      <c r="I26" s="72" t="s">
        <v>345</v>
      </c>
      <c r="J26" s="362" cm="1">
        <f t="array" ref="J26">-IFERROR(
SUM(
_xlfn._xlws.FILTER(Table_Main[CK kênh],
(Table_Main[Ngày lên đơn] &gt;= DATE(J$1, 1, 1))*
(Table_Main[Ngày lên đơn]  &lt; DATE(J$1+1, 1, 1))
)),
0)
-IFERROR(
SUM(
_xlfn._xlws.FILTER(Table_KPI[Thưởng KPI],
(NOT(ISBLANK(Table_KPI[Kênh]))) *
(Table_KPI[Năm] =  J$1)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6" s="362" cm="1">
        <f t="array" ref="K26">-IFERROR(
SUM(
_xlfn._xlws.FILTER(Table_Main[CK kênh],
(Table_Main[Ngày lên đơn] &gt;= DATE(K$1, 1, 1))*
(Table_Main[Ngày lên đơn]  &lt; DATE(K$1+1, 1, 1))
)),
0)
-IFERROR(
SUM(
_xlfn._xlws.FILTER(Table_KPI[Thưởng KPI],
(NOT(ISBLANK(Table_KPI[Kênh]))) *
(Table_KPI[Năm] =  K$1)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6" s="264"/>
      <c r="M26" s="365"/>
      <c r="N26" s="72" t="s">
        <v>345</v>
      </c>
      <c r="O26" s="362" cm="1">
        <f t="array" ref="O26">-IFERROR(
SUM(
_xlfn._xlws.FILTER(Table_Main[CK kênh],
(Table_Main[Ngày lên đơn] &gt;= O$1)*
(Table_Main[Ngày lên đơn] &lt; DATE(YEAR(O$1),MONTH(O$1)+1,1))
)),
0)
-IFERROR(
SUM(
_xlfn._xlws.FILTER(Table_KPI[Thưởng KPI],
(NOT(ISBLANK(Table_KPI[Kênh]))) *
(NOT(ISBLANK(Table_KPI[Tháng]))) *
(Table_KPI[Kỳ] = O$1)
)),
0)
-IFERROR(
SUM(
_xlfn._xlws.FILTER(Table_KPI[Thưởng KPI],
(NOT(ISBLANK(Table_KPI[Kênh]))) *
(ISBLANK(Table_KPI[Tháng])) *
(Table_KPI[Năm] =  YEAR(O$1))
)) / 12,
0)
-IFERROR(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6" s="362" cm="1">
        <f t="array" ref="P26">-IFERROR(
SUM(
_xlfn._xlws.FILTER(Table_Main[CK kênh],
(Table_Main[Ngày lên đơn] &gt;= P$1)*
(Table_Main[Ngày lên đơn] &lt; DATE(YEAR(P$1),MONTH(P$1)+1,1))
)),
0)
-IFERROR(
SUM(
_xlfn._xlws.FILTER(Table_KPI[Thưởng KPI],
(NOT(ISBLANK(Table_KPI[Kênh]))) *
(NOT(ISBLANK(Table_KPI[Tháng]))) *
(Table_KPI[Kỳ] = P$1)
)),
0)
-IFERROR(
SUM(
_xlfn._xlws.FILTER(Table_KPI[Thưởng KPI],
(NOT(ISBLANK(Table_KPI[Kênh]))) *
(ISBLANK(Table_KPI[Tháng])) *
(Table_KPI[Năm] =  YEAR(P$1))
)) / 12,
0)
-IFERROR(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s="53" customFormat="1" ht="18" hidden="1" customHeight="1" outlineLevel="3" x14ac:dyDescent="0.3">
      <c r="A27" s="242">
        <f t="shared" si="0"/>
        <v>24</v>
      </c>
      <c r="B27" s="365"/>
      <c r="C27" s="72" t="s">
        <v>290</v>
      </c>
      <c r="D27" s="361"/>
      <c r="E27" s="362" cm="1">
        <f t="array" ref="E27">-IFERROR(SUM(
_xlfn._xlws.FILTER(Table_ThuChiKD[Phí GD],
(Table_ThuChiKD[Ngày GD] &gt;= DATE(BCTC_Nam, 1, 1))*
(Table_ThuChiKD[Ngày GD] &lt; DATE(BCTC_Nam+1, 1, 1))
)),0)</f>
        <v>0</v>
      </c>
      <c r="F27" s="362" cm="1">
        <f t="array" ref="F27">-IFERROR(SUM(
_xlfn._xlws.FILTER(Table_ThuChiKD[Phí GD],
(Table_ThuChiKD[Ngày GD] &gt;= DATE(BCTC_Nam, BCTC_Thang, 1))*
(Table_ThuChiKD[Ngày GD] &lt; DATE(BCTC_Nam, BCTC_Thang + 1, 1))
)),0)</f>
        <v>0</v>
      </c>
      <c r="G27" s="362"/>
      <c r="H27" s="365"/>
      <c r="I27" s="72" t="s">
        <v>290</v>
      </c>
      <c r="J27" s="362" cm="1">
        <f t="array" ref="J27">-IFERROR(
SUM(
_xlfn._xlws.FILTER(Table_ThuChiKD[Phí GD],
(Table_ThuChiKD[Ngày GD] &gt;= DATE(J$1, 1, 1))*
(Table_ThuChiKD[Ngày GD] &lt; DATE(J$1+1, 1, 1))
)),
0)</f>
        <v>0</v>
      </c>
      <c r="K27" s="362" cm="1">
        <f t="array" ref="K27">-IFERROR(
SUM(
_xlfn._xlws.FILTER(Table_ThuChiKD[Phí GD],
(Table_ThuChiKD[Ngày GD] &gt;= DATE(K$1, 1, 1))*
(Table_ThuChiKD[Ngày GD] &lt; DATE(K$1+1, 1, 1))
)),
0)</f>
        <v>0</v>
      </c>
      <c r="L27" s="264"/>
      <c r="M27" s="365"/>
      <c r="N27" s="72" t="s">
        <v>290</v>
      </c>
      <c r="O27" s="362" cm="1">
        <f t="array" ref="O27">-IFERROR(
SUM(
_xlfn._xlws.FILTER(Table_ThuChiKD[Phí GD],
(Table_ThuChiKD[Ngày GD] &gt;= O$1)*
(Table_ThuChiKD[Ngày GD] &lt; DATE(YEAR(O$1),MONTH(O$1)+1,1))
)),
0)</f>
        <v>0</v>
      </c>
      <c r="P27" s="362" cm="1">
        <f t="array" ref="P27">-IFERROR(
SUM(
_xlfn._xlws.FILTER(Table_ThuChiKD[Phí GD],
(Table_ThuChiKD[Ngày GD] &gt;= P$1)*
(Table_ThuChiKD[Ngày GD] &lt; DATE(YEAR(P$1),MONTH(P$1)+1,1))
)),
0)</f>
        <v>0</v>
      </c>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s="53" customFormat="1" ht="18" hidden="1" customHeight="1" outlineLevel="3" x14ac:dyDescent="0.3">
      <c r="A28" s="242">
        <f t="shared" si="0"/>
        <v>25</v>
      </c>
      <c r="B28" s="365"/>
      <c r="C28" s="72" t="s">
        <v>346</v>
      </c>
      <c r="D28" s="361"/>
      <c r="E28" s="362" cm="1">
        <f t="array" ref="E28">-IFERROR(
SUM(_xlfn._xlws.FILTER(Table_ChiPhiKD[Giá trị],
(Table_ChiPhiKD[Nhóm chi phí] = Table_BCTC[[#This Row],[Gtri]]) *
(Table_ChiPhiKD[Năm] = BCTC_Nam)
)),0)</f>
        <v>0</v>
      </c>
      <c r="F28" s="362" cm="1">
        <f t="array" ref="F2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8" s="358"/>
      <c r="H28" s="365"/>
      <c r="I28" s="72" t="s">
        <v>346</v>
      </c>
      <c r="J28" s="362" cm="1">
        <f t="array" ref="J2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8" s="362" cm="1">
        <f t="array" ref="K2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8" s="264"/>
      <c r="M28" s="365"/>
      <c r="N28" s="72" t="s">
        <v>346</v>
      </c>
      <c r="O28" s="362" cm="1">
        <f t="array" ref="O2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8" s="362" cm="1">
        <f t="array" ref="P2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29" spans="1:39" ht="18" hidden="1" customHeight="1" outlineLevel="3" x14ac:dyDescent="0.3">
      <c r="A29" s="242">
        <f t="shared" si="0"/>
        <v>26</v>
      </c>
      <c r="B29" s="365"/>
      <c r="C29" s="72" t="s">
        <v>347</v>
      </c>
      <c r="D29" s="361"/>
      <c r="E29" s="362" cm="1">
        <f t="array" ref="E29">-IFERROR(
SUM(_xlfn._xlws.FILTER(Table_ChiPhiKD[Giá trị],
(Table_ChiPhiKD[Nhóm chi phí] = Table_BCTC[[#This Row],[Gtri]]) *
(Table_ChiPhiKD[Năm] = BCTC_Nam)
)),0)</f>
        <v>0</v>
      </c>
      <c r="F29" s="362" cm="1">
        <f t="array" ref="F2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9" s="362"/>
      <c r="H29" s="365"/>
      <c r="I29" s="72" t="s">
        <v>347</v>
      </c>
      <c r="J29" s="362" cm="1">
        <f t="array" ref="J2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9" s="362" cm="1">
        <f t="array" ref="K2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9" s="244"/>
      <c r="M29" s="365"/>
      <c r="N29" s="72" t="s">
        <v>347</v>
      </c>
      <c r="O29" s="362" cm="1">
        <f t="array" ref="O2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9" s="362" cm="1">
        <f t="array" ref="P2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9" s="242"/>
      <c r="R29" s="242"/>
      <c r="S29" s="242"/>
      <c r="T29" s="242"/>
      <c r="U29" s="242"/>
      <c r="V29" s="242"/>
      <c r="W29" s="242"/>
      <c r="X29" s="242"/>
      <c r="Y29" s="242"/>
      <c r="Z29" s="242"/>
      <c r="AA29" s="242"/>
      <c r="AB29" s="242"/>
      <c r="AC29" s="242"/>
      <c r="AD29" s="242"/>
      <c r="AE29" s="242"/>
      <c r="AF29" s="242"/>
      <c r="AG29" s="242"/>
      <c r="AH29" s="242"/>
      <c r="AI29" s="242"/>
      <c r="AJ29" s="242"/>
      <c r="AK29" s="242"/>
      <c r="AL29" s="242"/>
      <c r="AM29" s="242"/>
    </row>
    <row r="30" spans="1:39" s="53" customFormat="1" ht="18" hidden="1" customHeight="1" outlineLevel="3" x14ac:dyDescent="0.3">
      <c r="A30" s="242">
        <f t="shared" si="0"/>
        <v>27</v>
      </c>
      <c r="B30" s="365"/>
      <c r="C30" s="72" t="s">
        <v>380</v>
      </c>
      <c r="D30" s="361"/>
      <c r="E30" s="362" cm="1">
        <f t="array" ref="E30">-IFERROR(
SUM(_xlfn._xlws.FILTER(Table_TSCD_KhauHao[Khấu hao bán hàng],
(Table_TSCD_KhauHao[Năm] = BCTC_Nam)
)),0)</f>
        <v>0</v>
      </c>
      <c r="F30" s="362" cm="1">
        <f t="array" ref="F30">-IFERROR(
SUM(_xlfn._xlws.FILTER(Table_TSCD_KhauHao[Khấu hao bán hàng],
(Table_TSCD_KhauHao[Kỳ] = DATE(BCTC_Nam,BCTC_Thang,1))
)),0)</f>
        <v>0</v>
      </c>
      <c r="G30" s="362"/>
      <c r="H30" s="365"/>
      <c r="I30" s="72" t="s">
        <v>381</v>
      </c>
      <c r="J30" s="362" cm="1">
        <f t="array" ref="J30">-IFERROR(
SUM(_xlfn._xlws.FILTER(Table_TSCD_KhauHao[Khấu hao bán hàng],
(Table_TSCD_KhauHao[Năm] = J$1)
)),0)</f>
        <v>0</v>
      </c>
      <c r="K30" s="362" cm="1">
        <f t="array" ref="K30">-IFERROR(
SUM(_xlfn._xlws.FILTER(Table_TSCD_KhauHao[Khấu hao bán hàng],
(Table_TSCD_KhauHao[Năm] = K$1)
)),0)</f>
        <v>0</v>
      </c>
      <c r="L30" s="264"/>
      <c r="M30" s="365"/>
      <c r="N30" s="72" t="s">
        <v>381</v>
      </c>
      <c r="O30" s="362" cm="1">
        <f t="array" ref="O30">-IFERROR(
SUM(_xlfn._xlws.FILTER(Table_TSCD_KhauHao[Khấu hao bán hàng],
(Table_TSCD_KhauHao[Kỳ] = O$1)
)),0)</f>
        <v>0</v>
      </c>
      <c r="P30" s="362" cm="1">
        <f t="array" ref="P30">-IFERROR(
SUM(_xlfn._xlws.FILTER(Table_TSCD_KhauHao[Khấu hao bán hàng],
(Table_TSCD_KhauHao[Kỳ] = P$1)
)),0)</f>
        <v>0</v>
      </c>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row>
    <row r="31" spans="1:39" s="53" customFormat="1" ht="18" hidden="1" customHeight="1" outlineLevel="3" x14ac:dyDescent="0.3">
      <c r="A31" s="242">
        <f t="shared" si="0"/>
        <v>28</v>
      </c>
      <c r="B31" s="365"/>
      <c r="C31" s="72" t="s">
        <v>382</v>
      </c>
      <c r="D31" s="361"/>
      <c r="E31" s="362" cm="1">
        <f t="array" ref="E31">-IFERROR(
SUM(_xlfn._xlws.FILTER(Table_ChiPhiKD[Giá trị],
(Table_ChiPhiKD[Nhóm chi phí] = Table_BCTC[[#This Row],[Gtri]]) *
(Table_ChiPhiKD[Năm] = BCTC_Nam)
)),0)</f>
        <v>0</v>
      </c>
      <c r="F31" s="362" cm="1">
        <f t="array" ref="F31">-IFERROR(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1" s="362"/>
      <c r="H31" s="365"/>
      <c r="I31" s="72" t="s">
        <v>382</v>
      </c>
      <c r="J31" s="362" cm="1">
        <f t="array" ref="J31"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1" s="362" cm="1">
        <f t="array" ref="K31"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1" s="264"/>
      <c r="M31" s="365"/>
      <c r="N31" s="72" t="s">
        <v>382</v>
      </c>
      <c r="O31" s="362" cm="1">
        <f t="array" ref="O31">-IFERROR(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1" s="362" cm="1">
        <f t="array" ref="P31">-IFERROR(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row>
    <row r="32" spans="1:39" s="53" customFormat="1" ht="18" hidden="1" customHeight="1" outlineLevel="2" x14ac:dyDescent="0.3">
      <c r="A32" s="242">
        <f t="shared" si="0"/>
        <v>29</v>
      </c>
      <c r="B32" s="359" t="s">
        <v>383</v>
      </c>
      <c r="C32" s="73" t="s">
        <v>384</v>
      </c>
      <c r="D32" s="364"/>
      <c r="E32" s="358">
        <f>+SUM(E33:E39)</f>
        <v>0</v>
      </c>
      <c r="F32" s="358">
        <f>+SUM(F33:F39)</f>
        <v>0</v>
      </c>
      <c r="G32" s="362"/>
      <c r="H32" s="359" t="s">
        <v>383</v>
      </c>
      <c r="I32" s="73" t="s">
        <v>384</v>
      </c>
      <c r="J32" s="358">
        <f>+SUM(J33:J39)</f>
        <v>0</v>
      </c>
      <c r="K32" s="358">
        <f>+SUM(K33:K39)</f>
        <v>0</v>
      </c>
      <c r="L32" s="264"/>
      <c r="M32" s="359" t="s">
        <v>383</v>
      </c>
      <c r="N32" s="73" t="s">
        <v>384</v>
      </c>
      <c r="O32" s="358">
        <f>+SUM(O33:O39)</f>
        <v>0</v>
      </c>
      <c r="P32" s="358">
        <f>+SUM(P33:P39)</f>
        <v>0</v>
      </c>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row>
    <row r="33" spans="1:39" s="53" customFormat="1" ht="18" hidden="1" customHeight="1" outlineLevel="3" x14ac:dyDescent="0.3">
      <c r="A33" s="242">
        <f t="shared" si="0"/>
        <v>30</v>
      </c>
      <c r="B33" s="365"/>
      <c r="C33" s="72" t="s">
        <v>385</v>
      </c>
      <c r="D33" s="361"/>
      <c r="E33" s="362" cm="1">
        <f t="array" ref="E33">-IFERROR(
SUM(_xlfn._xlws.FILTER(Table_ChiPhiNV[Tổng chi phí],
(Table_ChiPhiNV[Chức năng] = "Văn phòng") *
(Table_ChiPhiNV[Năm] = BCTC_Nam)
)),0)</f>
        <v>0</v>
      </c>
      <c r="F33" s="362" cm="1">
        <f t="array" ref="F33">-IFERROR(
SUM(_xlfn._xlws.FILTER(Table_ChiPhiNV[Tổng chi phí],
(Table_ChiPhiNV[Chức năng] = "Văn phòng") *
(NOT(ISBLANK(Table_ChiPhiNV[Tháng])))*
(Table_ChiPhiNV[Kỳ] = DATE(BCTC_Nam,BCTC_Thang,1))
)),0)
-IFERROR(
SUMPRODUCT(
_xlfn._xlws.FILTER(Table_ChiPhiNV[Tổng chi phí],
(Table_ChiPhiNV[Chức năng] = "Văn phòng")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"Văn phòng") *
(Table_ChiPhiNV[Năm] = BCTC_Nam) *
(ISBLANK(Table_ChiPhiNV[Tháng]))*
(Table_ChiPhiNV[Phân bổ từ] &lt; DATE(BCTC_Nam,BCTC_Thang+1,1))*
(Table_ChiPhiNV[Phân bổ đến] &gt; DATE(BCTC_Nam,BCTC_Thang,1))
)
),0)</f>
        <v>0</v>
      </c>
      <c r="G33" s="362"/>
      <c r="H33" s="365"/>
      <c r="I33" s="72" t="s">
        <v>385</v>
      </c>
      <c r="J33" s="362" cm="1">
        <f t="array" ref="J33" xml:space="preserve">
-IFERROR(
SUM(
_xlfn._xlws.FILTER(Table_ChiPhiNV[Tổng chi phí],
(Table_ChiPhiNV[Chức năng] = "Văn phòng") *
(NOT(ISBLANK(Table_ChiPhiNV[Tháng])))*
(Table_ChiPhiNV[Năm] = J$1)
)),
0)
-IFERROR(
SUMPRODUCT(
_xlfn._xlws.FILTER(Table_ChiPhiNV[Tổng chi phí],
(Table_ChiPhiNV[Chức năng] = "Văn phòng")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"Văn phòng") *
(ISBLANK(Table_ChiPhiNV[Tháng]))*
(Table_ChiPhiNV[Phân bổ từ] &lt; DATE(J$1+1,1,1))*
(Table_ChiPhiNV[Phân bổ đến] &gt; DATE(J$1,1,1))
),
1/_xlfn._xlws.FILTER(
ROUND(
(Table_ChiPhiNV[Phân bổ đến]-Table_ChiPhiNV[Phân bổ từ])
/(365.25/12),
0),
(Table_ChiPhiNV[Chức năng] = "Văn phòng") *
(ISBLANK(Table_ChiPhiNV[Tháng]))*
(Table_ChiPhiNV[Phân bổ từ] &lt; DATE(J$1+1,1,1))*
(Table_ChiPhiNV[Phân bổ đến] &gt; DATE(J$1,1,1))
)
),
0)</f>
        <v>0</v>
      </c>
      <c r="K33" s="362" cm="1">
        <f t="array" ref="K33" xml:space="preserve">
-IFERROR(
SUM(
_xlfn._xlws.FILTER(Table_ChiPhiNV[Tổng chi phí],
(Table_ChiPhiNV[Chức năng] = "Văn phòng") *
(NOT(ISBLANK(Table_ChiPhiNV[Tháng])))*
(Table_ChiPhiNV[Năm] = K$1)
)),
0)
-IFERROR(
SUMPRODUCT(
_xlfn._xlws.FILTER(Table_ChiPhiNV[Tổng chi phí],
(Table_ChiPhiNV[Chức năng] = "Văn phòng")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"Văn phòng") *
(ISBLANK(Table_ChiPhiNV[Tháng]))*
(Table_ChiPhiNV[Phân bổ từ] &lt; DATE(K$1+1,1,1))*
(Table_ChiPhiNV[Phân bổ đến] &gt; DATE(K$1,1,1))
),
1/_xlfn._xlws.FILTER(
ROUND(
(Table_ChiPhiNV[Phân bổ đến]-Table_ChiPhiNV[Phân bổ từ])
/(365.25/12),
0),
(Table_ChiPhiNV[Chức năng] = "Văn phòng") *
(ISBLANK(Table_ChiPhiNV[Tháng]))*
(Table_ChiPhiNV[Phân bổ từ] &lt; DATE(K$1+1,1,1))*
(Table_ChiPhiNV[Phân bổ đến] &gt; DATE(K$1,1,1))
)
),
0)</f>
        <v>0</v>
      </c>
      <c r="L33" s="264"/>
      <c r="M33" s="365"/>
      <c r="N33" s="72" t="s">
        <v>385</v>
      </c>
      <c r="O33" s="362" cm="1">
        <f t="array" ref="O33">-IFERROR(
SUM(_xlfn._xlws.FILTER(Table_ChiPhiNV[Tổng chi phí],
(Table_ChiPhiNV[Chức năng] = "Văn phòng") *
(NOT(ISBLANK(Table_ChiPhiNV[Tháng])))*
(Table_ChiPhiNV[Kỳ] = O$1)
)),0)
-IFERROR(
SUMPRODUCT(
_xlfn._xlws.FILTER(Table_ChiPhiNV[Tổng chi phí],
(Table_ChiPhiNV[Chức năng] = "Văn phòng") *
(ISBLANK(Table_ChiPhiNV[Tháng]))*
(Table_ChiPhiNV[Phân bổ từ] &lt; DATE(YEAR(O$1),MONTH(O$1)+1,1))*
(Table_ChiPhiNV[Phân bổ đến] &gt; O$1)
),
1/_xlfn._xlws.FILTER(ROUND((Table_ChiPhiNV[Phân bổ đến]-Table_ChiPhiNV[Phân bổ từ])/(365.25/12),0),
(Table_ChiPhiNV[Chức năng] = "Văn phòng") *
(ISBLANK(Table_ChiPhiNV[Tháng]))*
(Table_ChiPhiNV[Phân bổ từ] &lt; DATE(YEAR(O$1),MONTH(O$1)+1,1))*
(Table_ChiPhiNV[Phân bổ đến] &gt; O$1)
)
),0)</f>
        <v>0</v>
      </c>
      <c r="P33" s="362" cm="1">
        <f t="array" ref="P33">-IFERROR(
SUM(_xlfn._xlws.FILTER(Table_ChiPhiNV[Tổng chi phí],
(Table_ChiPhiNV[Chức năng] = "Văn phòng") *
(NOT(ISBLANK(Table_ChiPhiNV[Tháng])))*
(Table_ChiPhiNV[Kỳ] = P$1)
)),0)
-IFERROR(
SUMPRODUCT(
_xlfn._xlws.FILTER(Table_ChiPhiNV[Tổng chi phí],
(Table_ChiPhiNV[Chức năng] = "Văn phòng") *
(ISBLANK(Table_ChiPhiNV[Tháng]))*
(Table_ChiPhiNV[Phân bổ từ] &lt; DATE(YEAR(P$1),MONTH(P$1)+1,1))*
(Table_ChiPhiNV[Phân bổ đến] &gt; P$1)
),
1/_xlfn._xlws.FILTER(ROUND((Table_ChiPhiNV[Phân bổ đến]-Table_ChiPhiNV[Phân bổ từ])/(365.25/12),0),
(Table_ChiPhiNV[Chức năng] = "Văn phòng") *
(ISBLANK(Table_ChiPhiNV[Tháng]))*
(Table_ChiPhiNV[Phân bổ từ] &lt; DATE(YEAR(P$1),MONTH(P$1)+1,1))*
(Table_ChiPhiNV[Phân bổ đến] &gt; P$1)
)
),0)</f>
        <v>0</v>
      </c>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row>
    <row r="34" spans="1:39" s="53" customFormat="1" ht="18" hidden="1" customHeight="1" outlineLevel="3" x14ac:dyDescent="0.3">
      <c r="A34" s="242">
        <f t="shared" si="0"/>
        <v>31</v>
      </c>
      <c r="B34" s="365"/>
      <c r="C34" s="72" t="s">
        <v>386</v>
      </c>
      <c r="D34" s="361"/>
      <c r="E34" s="362" cm="1">
        <f t="array" ref="E34">-IFERROR(
SUM(_xlfn._xlws.FILTER(Table_TonKho[Chi phí ghi nhận],
(Table_TonKho[Năm] = BCTC_Nam) *
(Table_TonKho[Chức năng] = "Văn phòng")
)),0)</f>
        <v>0</v>
      </c>
      <c r="F34" s="362" cm="1">
        <f t="array" ref="F34">-IFERROR(
SUM(_xlfn._xlws.FILTER(Table_TonKho[Chi phí ghi nhận],
(Table_TonKho[Kỳ] = DATE(BCTC_Nam,BCTC_Thang,1)) *
(Table_TonKho[Chức năng] = "Văn phòng")
)),0)</f>
        <v>0</v>
      </c>
      <c r="G34" s="362"/>
      <c r="H34" s="365"/>
      <c r="I34" s="72" t="s">
        <v>386</v>
      </c>
      <c r="J34" s="362" cm="1">
        <f t="array" ref="J34">-IFERROR(
SUM(_xlfn._xlws.FILTER(Table_TonKho[Chi phí ghi nhận],
(Table_TonKho[Năm] = J$1) *
(Table_TonKho[Chức năng] = "Văn phòng")
)),0)</f>
        <v>0</v>
      </c>
      <c r="K34" s="362" cm="1">
        <f t="array" ref="K34">-IFERROR(
SUM(_xlfn._xlws.FILTER(Table_TonKho[Chi phí ghi nhận],
(Table_TonKho[Năm] = K$1) *
(Table_TonKho[Chức năng] = "Văn phòng")
)),0)</f>
        <v>0</v>
      </c>
      <c r="L34" s="264"/>
      <c r="M34" s="365"/>
      <c r="N34" s="72" t="s">
        <v>386</v>
      </c>
      <c r="O34" s="362" cm="1">
        <f t="array" ref="O34">-IFERROR(
SUM(_xlfn._xlws.FILTER(Table_TonKho[Chi phí ghi nhận],
(Table_TonKho[Kỳ] = O$1) *
(Table_TonKho[Chức năng] = "Văn phòng")
)),0)</f>
        <v>0</v>
      </c>
      <c r="P34" s="362" cm="1">
        <f t="array" ref="P34">-IFERROR(
SUM(_xlfn._xlws.FILTER(Table_TonKho[Chi phí ghi nhận],
(Table_TonKho[Kỳ] = P$1) *
(Table_TonKho[Chức năng] = "Văn phòng")
)),0)</f>
        <v>0</v>
      </c>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s="53" customFormat="1" ht="18" hidden="1" customHeight="1" outlineLevel="3" x14ac:dyDescent="0.3">
      <c r="A35" s="242">
        <f t="shared" si="0"/>
        <v>32</v>
      </c>
      <c r="B35" s="365"/>
      <c r="C35" s="72" t="s">
        <v>387</v>
      </c>
      <c r="D35" s="361"/>
      <c r="E35" s="362" cm="1">
        <f t="array" ref="E35">-
IFERROR(
SUMPRODUCT(
_xlfn._xlws.FILTER(Table_ChiPhiKD[Giá trị],
(Table_ChiPhiKD[Năm] = BCTC_Nam) *
(VLOOKUP(Table_ChiPhiKD[Nhóm chi phí],Table_ChiPhiKD_PhanNhom[],Sheet_ChiPhiKD!$H$2,0) = "Chưa phân bổ" )),
(1-_xlfn._xlws.FILTER(Table_ChiPhiKD_PhanBo[Tỷ lệ phân bổ],
(Table_ChiPhiKD_PhanBo[Năm] = BCTC_Nam) *
(VLOOKUP(Table_ChiPhiKD_PhanBo[Chi phí],Table_ChiPhiKD_PhanNhom[],Sheet_ChiPhiKD!$H$2,0) = "Chưa phân bổ" ) *
(Table_ChiPhiKD_PhanBo[Chức năng] = "Sản xuất")
))),0)</f>
        <v>0</v>
      </c>
      <c r="F35" s="362" cm="1">
        <f t="array" ref="F35">-
IFERROR(
SUMPRODUCT(
_xlfn._xlws.FILTER(Table_ChiPhiKD[Giá trị],
(Table_ChiPhiKD[Kỳ] = DATE(BCTC_Nam,BCTC_Thang,1)) *
(NOT(ISBLANK(Table_ChiPhiKD[Tháng])))*
(VLOOKUP(Table_ChiPhiKD[Nhóm chi phí],Table_ChiPhiKD_PhanNhom[],Sheet_ChiPhiKD!$H$2,0) = "Chưa phân bổ" )),
(1-_xlfn._xlws.FILTER(Table_ChiPhiKD_PhanBo[Tỷ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(1-_xlfn._xlws.FILTER(Table_ChiPhiKD_PhanBo[Tỷ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35" s="362"/>
      <c r="H35" s="365"/>
      <c r="I35" s="72" t="s">
        <v>387</v>
      </c>
      <c r="J35" s="362" cm="1">
        <f t="array" ref="J35" xml:space="preserve">
-IFERROR(
SUMPRODUCT(
_xlfn._xlws.FILTER(Table_ChiPhiKD[Giá trị],
(Table_ChiPhiKD[Năm] = J$1) *
(NOT(ISBLANK(Table_ChiPhiKD[Tháng])))*
(VLOOKUP(
Table_ChiPhiKD[Nhóm chi phí],
Table_ChiPhiKD_PhanNhom[],
COUNTA(Table_ChiPhiKD_PhanNhom[[#Headers],[Nhóm chi phí]:[Chức năng]]),
0) = "Chưa phân bổ" )
),
(1 -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35" s="362" cm="1">
        <f t="array" ref="K35" xml:space="preserve">
-IFERROR(
SUMPRODUCT(
_xlfn._xlws.FILTER(Table_ChiPhiKD[Giá trị],
(Table_ChiPhiKD[Năm] = K$1) *
(NOT(ISBLANK(Table_ChiPhiKD[Tháng])))*
(VLOOKUP(
Table_ChiPhiKD[Nhóm chi phí],
Table_ChiPhiKD_PhanNhom[],
COUNTA(Table_ChiPhiKD_PhanNhom[[#Headers],[Nhóm chi phí]:[Chức năng]]),
0) = "Chưa phân bổ" )
),
(1 -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35" s="264"/>
      <c r="M35" s="365"/>
      <c r="N35" s="72" t="s">
        <v>387</v>
      </c>
      <c r="O35" s="362" cm="1">
        <f t="array" ref="O35">-
IFERROR(
SUMPRODUCT(
_xlfn._xlws.FILTER(Table_ChiPhiKD[Giá trị],
(Table_ChiPhiKD[Kỳ] = O$1) *
(NOT(ISBLANK(Table_ChiPhiKD[Tháng])))*
(VLOOKUP(Table_ChiPhiKD[Nhóm chi phí],Table_ChiPhiKD_PhanNhom[],Sheet_ChiPhiKD!$H$2,0) = "Chưa phân bổ" )),
(1 -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(1 -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35" s="362" cm="1">
        <f t="array" ref="P35">-
IFERROR(
SUMPRODUCT(
_xlfn._xlws.FILTER(Table_ChiPhiKD[Giá trị],
(Table_ChiPhiKD[Kỳ] = P$1) *
(NOT(ISBLANK(Table_ChiPhiKD[Tháng])))*
(VLOOKUP(Table_ChiPhiKD[Nhóm chi phí],Table_ChiPhiKD_PhanNhom[],Sheet_ChiPhiKD!$H$2,0) = "Chưa phân bổ" )),
(1 -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(1 -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35" s="264"/>
      <c r="R35" s="264"/>
      <c r="S35" s="264"/>
      <c r="T35" s="264"/>
      <c r="U35" s="264"/>
      <c r="V35" s="264"/>
      <c r="W35" s="264"/>
      <c r="X35" s="264"/>
      <c r="Y35" s="264"/>
      <c r="Z35" s="264"/>
      <c r="AA35" s="264"/>
      <c r="AB35" s="264"/>
      <c r="AC35" s="264"/>
      <c r="AD35" s="264"/>
      <c r="AE35" s="264"/>
      <c r="AF35" s="264"/>
      <c r="AG35" s="264"/>
      <c r="AH35" s="264"/>
      <c r="AI35" s="264"/>
      <c r="AJ35" s="264"/>
      <c r="AK35" s="264"/>
      <c r="AL35" s="264"/>
      <c r="AM35" s="264"/>
    </row>
    <row r="36" spans="1:39" s="53" customFormat="1" ht="18" hidden="1" customHeight="1" outlineLevel="3" x14ac:dyDescent="0.3">
      <c r="A36" s="242">
        <f t="shared" si="0"/>
        <v>33</v>
      </c>
      <c r="B36" s="259"/>
      <c r="C36" s="72" t="s">
        <v>349</v>
      </c>
      <c r="D36" s="361"/>
      <c r="E36" s="362" cm="1">
        <f t="array" ref="E36">-IFERROR(
SUM(_xlfn._xlws.FILTER(Table_ChiPhiKD[Giá trị],
(Table_ChiPhiKD[Nhóm chi phí] = Table_BCTC[[#This Row],[Gtri]]) *
(Table_ChiPhiKD[Năm] = BCTC_Nam)
)),0)</f>
        <v>0</v>
      </c>
      <c r="F36" s="362" cm="1">
        <f t="array" ref="F36">-IFERROR(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6" s="358"/>
      <c r="H36" s="259"/>
      <c r="I36" s="72" t="s">
        <v>349</v>
      </c>
      <c r="J36" s="362" cm="1">
        <f t="array" ref="J36"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6" s="362" cm="1">
        <f t="array" ref="K36"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6" s="264"/>
      <c r="M36" s="259"/>
      <c r="N36" s="72" t="s">
        <v>349</v>
      </c>
      <c r="O36" s="362" cm="1">
        <f t="array" ref="O36">-IFERROR(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6" s="362" cm="1">
        <f t="array" ref="P36">-IFERROR(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row>
    <row r="37" spans="1:39" ht="18" hidden="1" customHeight="1" outlineLevel="3" x14ac:dyDescent="0.3">
      <c r="A37" s="242">
        <f t="shared" si="0"/>
        <v>34</v>
      </c>
      <c r="B37" s="365"/>
      <c r="C37" s="72" t="s">
        <v>388</v>
      </c>
      <c r="D37" s="361"/>
      <c r="E37" s="362" cm="1">
        <f t="array" ref="E37">-IFERROR(
SUM(_xlfn._xlws.FILTER(Table_TSCD_KhauHao[Khấu hao quản lý],
(Table_TSCD_KhauHao[Năm] = BCTC_Nam)
)),0)</f>
        <v>0</v>
      </c>
      <c r="F37" s="362" cm="1">
        <f t="array" ref="F37">-IFERROR(
SUM(_xlfn._xlws.FILTER(Table_TSCD_KhauHao[Khấu hao quản lý],
(Table_TSCD_KhauHao[Kỳ] = DATE(BCTC_Nam,BCTC_Thang,1))
)),0)</f>
        <v>0</v>
      </c>
      <c r="G37" s="366"/>
      <c r="H37" s="365"/>
      <c r="I37" s="72" t="s">
        <v>388</v>
      </c>
      <c r="J37" s="362" cm="1">
        <f t="array" ref="J37">-IFERROR(
SUM(_xlfn._xlws.FILTER(Table_TSCD_KhauHao[Khấu hao quản lý],
(Table_TSCD_KhauHao[Năm] = J$1)
)),0)</f>
        <v>0</v>
      </c>
      <c r="K37" s="362" cm="1">
        <f t="array" ref="K37">-IFERROR(
SUM(_xlfn._xlws.FILTER(Table_TSCD_KhauHao[Khấu hao quản lý],
(Table_TSCD_KhauHao[Năm] = K$1)
)),0)</f>
        <v>0</v>
      </c>
      <c r="L37" s="244"/>
      <c r="M37" s="365"/>
      <c r="N37" s="72" t="s">
        <v>388</v>
      </c>
      <c r="O37" s="362" cm="1">
        <f t="array" ref="O37">-IFERROR(
SUM(_xlfn._xlws.FILTER(Table_TSCD_KhauHao[Khấu hao quản lý],
(Table_TSCD_KhauHao[Kỳ] = O$1)
)),0)</f>
        <v>0</v>
      </c>
      <c r="P37" s="362" cm="1">
        <f t="array" ref="P37">-IFERROR(
SUM(_xlfn._xlws.FILTER(Table_TSCD_KhauHao[Khấu hao quản lý],
(Table_TSCD_KhauHao[Kỳ] = P$1)
)),0)</f>
        <v>0</v>
      </c>
      <c r="Q37" s="242"/>
      <c r="R37" s="242"/>
      <c r="S37" s="242"/>
      <c r="T37" s="242"/>
      <c r="U37" s="242"/>
      <c r="V37" s="242"/>
      <c r="W37" s="242"/>
      <c r="X37" s="242"/>
      <c r="Y37" s="242"/>
      <c r="Z37" s="242"/>
      <c r="AA37" s="242"/>
      <c r="AB37" s="242"/>
      <c r="AC37" s="242"/>
      <c r="AD37" s="242"/>
      <c r="AE37" s="242"/>
      <c r="AF37" s="242"/>
      <c r="AG37" s="242"/>
      <c r="AH37" s="242"/>
      <c r="AI37" s="242"/>
      <c r="AJ37" s="242"/>
      <c r="AK37" s="242"/>
      <c r="AL37" s="242"/>
      <c r="AM37" s="242"/>
    </row>
    <row r="38" spans="1:39" s="41" customFormat="1" ht="18" hidden="1" customHeight="1" outlineLevel="3" x14ac:dyDescent="0.3">
      <c r="A38" s="242">
        <f t="shared" si="0"/>
        <v>35</v>
      </c>
      <c r="B38" s="259"/>
      <c r="C38" s="72" t="s">
        <v>300</v>
      </c>
      <c r="D38" s="361"/>
      <c r="E38" s="362" cm="1">
        <f t="array" ref="E38">-IFERROR(
SUM(_xlfn._xlws.FILTER(Table_ChiPhiKD[Giá trị],
(Table_ChiPhiKD[Nhóm chi phí] = Table_BCTC[[#This Row],[Gtri]]) *
(Table_ChiPhiKD[Năm] = BCTC_Nam)
)),0)</f>
        <v>0</v>
      </c>
      <c r="F38" s="362" cm="1">
        <f t="array" ref="F3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8" s="362"/>
      <c r="H38" s="259"/>
      <c r="I38" s="72" t="s">
        <v>300</v>
      </c>
      <c r="J38" s="362" cm="1">
        <f t="array" ref="J3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8" s="362" cm="1">
        <f t="array" ref="K3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8" s="266"/>
      <c r="M38" s="259"/>
      <c r="N38" s="72" t="s">
        <v>300</v>
      </c>
      <c r="O38" s="362" cm="1">
        <f t="array" ref="O3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8" s="362" cm="1">
        <f t="array" ref="P3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8" s="266"/>
      <c r="R38" s="266"/>
      <c r="S38" s="266"/>
      <c r="T38" s="266"/>
      <c r="U38" s="266"/>
      <c r="V38" s="266"/>
      <c r="W38" s="266"/>
      <c r="X38" s="266"/>
      <c r="Y38" s="266"/>
      <c r="Z38" s="266"/>
      <c r="AA38" s="266"/>
      <c r="AB38" s="266"/>
      <c r="AC38" s="266"/>
      <c r="AD38" s="266"/>
      <c r="AE38" s="266"/>
      <c r="AF38" s="266"/>
      <c r="AG38" s="266"/>
      <c r="AH38" s="266"/>
      <c r="AI38" s="266"/>
      <c r="AJ38" s="266"/>
      <c r="AK38" s="266"/>
      <c r="AL38" s="266"/>
      <c r="AM38" s="266"/>
    </row>
    <row r="39" spans="1:39" s="53" customFormat="1" ht="18" hidden="1" customHeight="1" outlineLevel="3" x14ac:dyDescent="0.3">
      <c r="A39" s="242">
        <f t="shared" si="0"/>
        <v>36</v>
      </c>
      <c r="B39" s="365"/>
      <c r="C39" s="72" t="s">
        <v>389</v>
      </c>
      <c r="D39" s="361"/>
      <c r="E39" s="362" cm="1">
        <f t="array" ref="E39">-IFERROR(
SUM(_xlfn._xlws.FILTER(Table_ChiPhiKD[Giá trị],
(Table_ChiPhiKD[Nhóm chi phí] = Table_BCTC[[#This Row],[Gtri]]) *
(Table_ChiPhiKD[Năm] = BCTC_Nam)
)),0)</f>
        <v>0</v>
      </c>
      <c r="F39" s="362" cm="1">
        <f t="array" ref="F3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9" s="362"/>
      <c r="H39" s="365"/>
      <c r="I39" s="72" t="s">
        <v>389</v>
      </c>
      <c r="J39" s="362" cm="1">
        <f t="array" ref="J3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9" s="362" cm="1">
        <f t="array" ref="K3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9" s="264"/>
      <c r="M39" s="365"/>
      <c r="N39" s="72" t="s">
        <v>389</v>
      </c>
      <c r="O39" s="362" cm="1">
        <f t="array" ref="O3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9" s="362" cm="1">
        <f t="array" ref="P3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9" s="264"/>
      <c r="R39" s="264"/>
      <c r="S39" s="264"/>
      <c r="T39" s="264"/>
      <c r="U39" s="264"/>
      <c r="V39" s="264"/>
      <c r="W39" s="264"/>
      <c r="X39" s="264"/>
      <c r="Y39" s="264"/>
      <c r="Z39" s="264"/>
      <c r="AA39" s="264"/>
      <c r="AB39" s="264"/>
      <c r="AC39" s="264"/>
      <c r="AD39" s="264"/>
      <c r="AE39" s="264"/>
      <c r="AF39" s="264"/>
      <c r="AG39" s="264"/>
      <c r="AH39" s="264"/>
      <c r="AI39" s="264"/>
      <c r="AJ39" s="264"/>
      <c r="AK39" s="264"/>
      <c r="AL39" s="264"/>
      <c r="AM39" s="264"/>
    </row>
    <row r="40" spans="1:39" s="53" customFormat="1" ht="18" hidden="1" customHeight="1" outlineLevel="1" x14ac:dyDescent="0.3">
      <c r="A40" s="242">
        <f t="shared" si="0"/>
        <v>37</v>
      </c>
      <c r="B40" s="356" t="s">
        <v>390</v>
      </c>
      <c r="C40" s="74" t="s">
        <v>97</v>
      </c>
      <c r="D40" s="367"/>
      <c r="E40" s="366">
        <f>+E20+E21+E32</f>
        <v>0</v>
      </c>
      <c r="F40" s="366">
        <f>+F20+F21+F32</f>
        <v>0</v>
      </c>
      <c r="G40" s="362"/>
      <c r="H40" s="356" t="s">
        <v>390</v>
      </c>
      <c r="I40" s="74" t="s">
        <v>97</v>
      </c>
      <c r="J40" s="366">
        <f>+J20+J21+J32</f>
        <v>0</v>
      </c>
      <c r="K40" s="366">
        <f>+K20+K21+K32</f>
        <v>0</v>
      </c>
      <c r="L40" s="264"/>
      <c r="M40" s="356" t="s">
        <v>390</v>
      </c>
      <c r="N40" s="74" t="s">
        <v>97</v>
      </c>
      <c r="O40" s="366">
        <f>+O20+O21+O32</f>
        <v>0</v>
      </c>
      <c r="P40" s="366">
        <f>+P20+P21+P32</f>
        <v>0</v>
      </c>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s="53" customFormat="1" ht="18" hidden="1" customHeight="1" outlineLevel="2" x14ac:dyDescent="0.3">
      <c r="A41" s="242">
        <f t="shared" si="0"/>
        <v>38</v>
      </c>
      <c r="B41" s="359" t="s">
        <v>391</v>
      </c>
      <c r="C41" s="73" t="s">
        <v>392</v>
      </c>
      <c r="D41" s="364"/>
      <c r="E41" s="358">
        <f>+SUM(E42:E47)</f>
        <v>0</v>
      </c>
      <c r="F41" s="358">
        <f>+SUM(F42:F47)</f>
        <v>0</v>
      </c>
      <c r="G41" s="362"/>
      <c r="H41" s="359" t="s">
        <v>391</v>
      </c>
      <c r="I41" s="73" t="s">
        <v>392</v>
      </c>
      <c r="J41" s="358">
        <f>+SUM(J42:J47)</f>
        <v>0</v>
      </c>
      <c r="K41" s="358">
        <f>+SUM(K42:K47)</f>
        <v>0</v>
      </c>
      <c r="L41" s="264"/>
      <c r="M41" s="359" t="s">
        <v>391</v>
      </c>
      <c r="N41" s="73" t="s">
        <v>392</v>
      </c>
      <c r="O41" s="358">
        <f>+SUM(O42:O47)</f>
        <v>0</v>
      </c>
      <c r="P41" s="358">
        <f>+SUM(P42:P47)</f>
        <v>0</v>
      </c>
      <c r="Q41" s="264"/>
      <c r="R41" s="264"/>
      <c r="S41" s="264"/>
      <c r="T41" s="264"/>
      <c r="U41" s="264"/>
      <c r="V41" s="264"/>
      <c r="W41" s="264"/>
      <c r="X41" s="264"/>
      <c r="Y41" s="264"/>
      <c r="Z41" s="264"/>
      <c r="AA41" s="264"/>
      <c r="AB41" s="264"/>
      <c r="AC41" s="264"/>
      <c r="AD41" s="264"/>
      <c r="AE41" s="264"/>
      <c r="AF41" s="264"/>
      <c r="AG41" s="264"/>
      <c r="AH41" s="264"/>
      <c r="AI41" s="264"/>
      <c r="AJ41" s="264"/>
      <c r="AK41" s="264"/>
      <c r="AL41" s="264"/>
      <c r="AM41" s="264"/>
    </row>
    <row r="42" spans="1:39" s="53" customFormat="1" ht="18" hidden="1" customHeight="1" outlineLevel="3" x14ac:dyDescent="0.3">
      <c r="A42" s="242">
        <f t="shared" si="0"/>
        <v>39</v>
      </c>
      <c r="B42" s="365" t="s">
        <v>393</v>
      </c>
      <c r="C42" s="72" t="s">
        <v>298</v>
      </c>
      <c r="D42" s="361"/>
      <c r="E42" s="362" cm="1">
        <f t="array" ref="E42">-
IFERROR(
SUM(_xlfn._xlws.FILTER(Table_VayNo_LichTra[Lãi vay],
(Table_VayNo_LichTra[Năm] = BCTC_Nam)
)),0)</f>
        <v>0</v>
      </c>
      <c r="F42" s="362" cm="1">
        <f t="array" ref="F42">-IFERROR(
SUM(_xlfn._xlws.FILTER(Table_VayNo_LichTra[Lãi vay],
(Table_VayNo_LichTra[Kỳ] = DATE(BCTC_Nam,BCTC_Thang,1))*
(NOT(ISBLANK(Table_VayNo_LichTra[Tháng])))
)),0)
-IFERROR(
SUM(_xlfn._xlws.FILTER(Table_VayNo_LichTra[Lãi vay],
(YEAR(VLOOKUP(Table_VayNo_LichTra[Khoản vay], Table_VayNo[[Mã khoản vay]:[Ngày vay]],Sheet_VayNo!$I$3,0)) &lt;&gt; BCTC_Nam) *
(YEAR(VLOOKUP(Table_VayNo_LichTra[Khoản vay], Table_VayNo[[Mã khoản vay]:[Kết thúc trả gốc]],Sheet_VayNo!$K$3,0)) &lt;&gt; BCTC_Nam) *
(Table_VayNo_LichTra[Năm] = BCTC_Nam) *
(ISBLANK(Table_VayNo_LichTra[Tháng]))
))/12,0)
-IFERROR(SUMPRODUCT(
_xlfn._xlws.FILTER(Table_VayNo_LichTra[Lãi vay],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
_xlfn._xlws.FILTER(1/ ( 12 - MONTH(VLOOKUP(Table_VayNo_LichTra[Khoản vay], Table_VayNo[[Mã khoản vay]:[Ngày vay]],Sheet_VayNo!$I$3,0)) +1 ),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)),0)
-IFERROR(SUMPRODUCT(
_xlfn._xlws.FILTER(Table_VayNo_LichTra[Lãi vay],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
_xlfn._xlws.FILTER(1/ MONTH(VLOOKUP(Table_VayNo_LichTra[Khoản vay], Table_VayNo[[Mã khoản vay]:[Kết thúc trả gốc]],Sheet_VayNo!$K$3,0)),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)),0)
-IFERROR(SUMPRODUCT(
_xlfn._xlws.FILTER(Table_VayNo_LichTra[Lãi vay],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)),0)</f>
        <v>0</v>
      </c>
      <c r="G42" s="358"/>
      <c r="H42" s="365" t="s">
        <v>393</v>
      </c>
      <c r="I42" s="72" t="s">
        <v>298</v>
      </c>
      <c r="J42" s="362" cm="1">
        <f t="array" ref="J42">-
IFERROR(
SUM(_xlfn._xlws.FILTER(Table_VayNo_LichTra[Lãi vay],
(Table_VayNo_LichTra[Năm] = J$1)
)),0)</f>
        <v>0</v>
      </c>
      <c r="K42" s="362" cm="1">
        <f t="array" ref="K42">-
IFERROR(
SUM(_xlfn._xlws.FILTER(Table_VayNo_LichTra[Lãi vay],
(Table_VayNo_LichTra[Năm] = K$1)
)),0)</f>
        <v>0</v>
      </c>
      <c r="L42" s="264"/>
      <c r="M42" s="365" t="s">
        <v>393</v>
      </c>
      <c r="N42" s="72" t="s">
        <v>298</v>
      </c>
      <c r="O42" s="362" cm="1">
        <f t="array" ref="O42" xml:space="preserve">
-IFERROR(
SUM(
_xlfn._xlws.FILTER(Table_VayNo_LichTra[Lãi vay],
(Table_VayNo_LichTra[Kỳ] = O$1)*
(NOT(ISBLANK(Table_VayNo_LichTra[Tháng])))
)),
0)
-IFERROR(
SUM(
_xlfn._xlws.FILTER(Table_VayNo_LichTra[Lãi vay],
(YEAR(
VLOOKUP(
Table_VayNo_LichTra[Khoản vay],
Table_VayNo[],
COUNTA(Table_VayNo[[#Headers],[Mã khoản vay]:[Ngày vay]]),
0)
) &lt;&gt; YEAR(O$1)) *
(YEAR(
VLOOKUP(
Table_VayNo_LichTra[Khoản vay],
Table_VayNo[],
COUNTA(Table_VayNo[[#Headers],[Mã khoản vay]:[Kết thúc trả gốc]]),
0)
) &lt;&gt; YEAR(O$1)) *
(Table_VayNo_LichTra[Năm] = YEAR(O$1)) *
(ISBLANK(Table_VayNo_LichTra[Tháng]))
))/12,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
0)
-IFERROR(
SUMPRODUCT(
_xlfn._xlws.FILTER(Table_VayNo_LichTra[Lãi vay],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
0)</f>
        <v>0</v>
      </c>
      <c r="P42" s="362" cm="1">
        <f t="array" ref="P42" xml:space="preserve">
-IFERROR(
SUM(
_xlfn._xlws.FILTER(Table_VayNo_LichTra[Lãi vay],
(Table_VayNo_LichTra[Kỳ] = P$1)*
(NOT(ISBLANK(Table_VayNo_LichTra[Tháng])))
)),
0)
-IFERROR(
SUM(
_xlfn._xlws.FILTER(Table_VayNo_LichTra[Lãi vay],
(YEAR(
VLOOKUP(
Table_VayNo_LichTra[Khoản vay],
Table_VayNo[],
COUNTA(Table_VayNo[[#Headers],[Mã khoản vay]:[Ngày vay]]),
0)
) &lt;&gt; YEAR(P$1)) *
(YEAR(
VLOOKUP(
Table_VayNo_LichTra[Khoản vay],
Table_VayNo[],
COUNTA(Table_VayNo[[#Headers],[Mã khoản vay]:[Kết thúc trả gốc]]),
0)
) &lt;&gt; YEAR(P$1)) *
(Table_VayNo_LichTra[Năm] = YEAR(P$1)) *
(ISBLANK(Table_VayNo_LichTra[Tháng]))
))/12,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
0)
-IFERROR(
SUMPRODUCT(
_xlfn._xlws.FILTER(Table_VayNo_LichTra[Lãi vay],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
0)</f>
        <v>0</v>
      </c>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8" hidden="1" customHeight="1" outlineLevel="3" x14ac:dyDescent="0.3">
      <c r="A43" s="242">
        <f t="shared" si="0"/>
        <v>40</v>
      </c>
      <c r="B43" s="365"/>
      <c r="C43" s="72" t="s">
        <v>394</v>
      </c>
      <c r="D43" s="361"/>
      <c r="E43" s="362" cm="1">
        <f t="array" ref="E43" xml:space="preserve">
+IFERROR(
SUM(_xlfn._xlws.FILTER(Table_DauTu_LichThu[Nhận lãi],
(Table_DauTu_LichThu[Năm] = BCTC_Nam)
)),0)
+IFERROR(
SUM(_xlfn._xlws.FILTER(Table_LaiKhac[Giá trị]-Table_LaiKhac[Giá trị VAT],
(Table_LaiKhac[Phân loại] = Table_BCTC[[#This Row],[Gtri]]) *
(Table_LaiKhac[Năm] = BCTC_Nam)
)),0)</f>
        <v>0</v>
      </c>
      <c r="F43" s="362" cm="1">
        <f t="array" ref="F43" xml:space="preserve">
+IFERROR(
SUM(_xlfn._xlws.FILTER(Table_DauTu_LichThu[Nhận lãi],
(NOT(ISBLANK(Table_DauTu_LichThu[Tháng])))*
(Table_DauTu_LichThu[Kỳ] = DATE(BCTC_Nam,BCTC_Thang,1))
)),0)
+IFERROR(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3" s="366"/>
      <c r="H43" s="365"/>
      <c r="I43" s="72" t="s">
        <v>394</v>
      </c>
      <c r="J43" s="362" cm="1">
        <f t="array" ref="J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
Table_LaiKhac[Phân bổ đến],
Table_LaiKhac[Phân bổ đến],
DATE(J$1+1,1,1)-1
)
-IF(
DATE(J$1,1,1) &gt;
Table_LaiKhac[Phân bổ từ],
DATE(J$1,1,1),
Table_LaiKhac[Phân bổ từ]
)
) /(365.25/12),
0),
(ISBLANK(Table_LaiKhac[Tháng]))*
(Table_LaiKhac[Phân loại] = Table_BCTC_Nam[[#This Row],[Gtri]]) *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3" s="362" cm="1">
        <f t="array" ref="K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
Table_LaiKhac[Phân bổ đến],
Table_LaiKhac[Phân bổ đến],
DATE(K$1+1,1,1)-1
)
-IF(
DATE(K$1,1,1) &gt;
Table_LaiKhac[Phân bổ từ],
DATE(K$1,1,1),
Table_LaiKhac[Phân bổ từ]
)
) /(365.25/12),
0),
(ISBLANK(Table_LaiKhac[Tháng]))*
(Table_LaiKhac[Phân loại] = Table_BCTC_Nam[[#This Row],[Gtri]]) *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3" s="244"/>
      <c r="M43" s="365"/>
      <c r="N43" s="72" t="s">
        <v>394</v>
      </c>
      <c r="O43" s="362" cm="1">
        <f t="array" ref="O43">IFERROR(
SUM(
_xlfn._xlws.FILTER(Table_DauTu_LichThu[Nhận lãi],
(NOT(ISBLANK(Table_DauTu_LichThu[Tháng])))*
(Table_DauTu_LichThu[Kỳ] = O$1)
)),
0)
+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3" s="362" cm="1">
        <f t="array" ref="P43">IFERROR(
SUM(
_xlfn._xlws.FILTER(Table_DauTu_LichThu[Nhận lãi],
(NOT(ISBLANK(Table_DauTu_LichThu[Tháng])))*
(Table_DauTu_LichThu[Kỳ] = P$1)
)),
0)
+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3" s="242"/>
      <c r="R43" s="242"/>
      <c r="S43" s="242"/>
      <c r="T43" s="242"/>
      <c r="U43" s="242"/>
      <c r="V43" s="242"/>
      <c r="W43" s="242"/>
      <c r="X43" s="242"/>
      <c r="Y43" s="242"/>
      <c r="Z43" s="242"/>
      <c r="AA43" s="242"/>
      <c r="AB43" s="242"/>
      <c r="AC43" s="242"/>
      <c r="AD43" s="242"/>
      <c r="AE43" s="242"/>
      <c r="AF43" s="242"/>
      <c r="AG43" s="242"/>
      <c r="AH43" s="242"/>
      <c r="AI43" s="242"/>
      <c r="AJ43" s="242"/>
      <c r="AK43" s="242"/>
      <c r="AL43" s="242"/>
      <c r="AM43" s="242"/>
    </row>
    <row r="44" spans="1:39" s="41" customFormat="1" ht="18" hidden="1" customHeight="1" outlineLevel="3" x14ac:dyDescent="0.3">
      <c r="A44" s="242">
        <f t="shared" si="0"/>
        <v>41</v>
      </c>
      <c r="B44" s="259"/>
      <c r="C44" s="72" t="s">
        <v>395</v>
      </c>
      <c r="D44" s="361"/>
      <c r="E44" s="362" cm="1">
        <f t="array" ref="E44" xml:space="preserve">
IFERROR(
SUM(
_xlfn._xlws.FILTER(Table_LaiKhac[Giá trị]-Table_LaiKhac[Giá trị VAT],
(Table_LaiKhac[Phân loại] = Table_BCTC[[#This Row],[Gtri]]) *
(NOT(ISBLANK(Table_LaiKhac[Tháng])))*
(Table_LaiKhac[Năm] = BCTC_Nam)
)),
0)
+ IFERROR(
SUMPRODUCT(
_xlfn._xlws.FILTER(Table_LaiKhac[Giá trị]-Table_LaiKhac[Giá trị VAT],
(ISBLANK(Table_LaiKhac[Tháng]))*
(Table_LaiKhac[Phân loại] = Table_BCTC[[#This Row],[Gtri]]) *
(Table_LaiKhac[Phân bổ từ] &lt; DATE(BCTC_Nam+1,1,1))*
(Table_LaiKhac[Phân bổ đến] &gt; DATE(BCTC_Nam,1,1))
),
_xlfn._xlws.FILTER(
ROUND(
(
IF(
DATE(BCTC_Nam+1,1,1)-1 &gt;Table_LaiKhac[Phân bổ đến],
Table_LaiKhac[Phân bổ đến],
DATE(BCTC_Nam+1,1,1)-1
)
-IF(
DATE(BCTC_Nam,1,1) &gt;Table_LaiKhac[Phân bổ từ],
DATE(BCTC_Nam,1,1),
Table_LaiKhac[Phân bổ từ]
)
)
/(365.25/12),
0),
(ISBLANK(Table_LaiKhac[Tháng]))*
(Table_LaiKhac[Phân loại] = Table_BCTC[[#This Row],[Gtri]])*
(Table_LaiKhac[Phân bổ từ] &lt; DATE(BCTC_Nam+1,1,1))*
(Table_LaiKhac[Phân bổ đến] &gt; DATE(BCTC_Nam,1,1))
),
1/_xlfn._xlws.FILTER(
ROUND(
(Table_LaiKhac[Phân bổ đến]-Table_LaiKhac[Phân bổ từ])
/(365.25/12),
0),
(ISBLANK(Table_LaiKhac[Tháng]))*
(Table_LaiKhac[Phân loại] = Table_BCTC[[#This Row],[Gtri]]) *
(Table_LaiKhac[Phân bổ từ] &lt; DATE(BCTC_Nam+1,1,1))*
(Table_LaiKhac[Phân bổ đến] &gt; DATE(BCTC_Nam,1,1))
)
),
0)</f>
        <v>0</v>
      </c>
      <c r="F44" s="362" cm="1">
        <f t="array" ref="F44" xml:space="preserve">
IFERROR(
SUM(
_xlfn._xlws.FILTER(Table_LaiKhac[Giá trị]-Table_LaiKhac[Giá trị VAT],
(Table_LaiKhac[Phân loại] = Table_BCTC[[#This Row],[Gtri]]) *
(NOT(ISBLANK(Table_LaiKhac[Tháng])))*
(Table_LaiKhac[Kỳ] = DATE(BCTC_Nam,BCTC_Thang,1))
)),
0)
+ IFERROR(
SUMPRODUCT(
_xlfn._xlws.FILTER(Table_LaiKhac[Giá trị]-Table_LaiKhac[Giá trị VAT],
(ISBLANK(Table_LaiKhac[Tháng]))*
(Table_LaiKhac[Phân loại] = Table_BCTC[[#This Row],[Gtri]]) *
(Table_LaiKhac[Phân bổ từ] &lt; DATE(BCTC_Nam,BCTC_Thang+1,1))*
(Table_LaiKhac[Phân bổ đến] &gt; DATE(BCTC_Nam,BCTC_Thang,1))
),
1/_xlfn._xlws.FILTER(
ROUND(
(Table_LaiKhac[Phân bổ đến]-Table_LaiKhac[Phân bổ từ])
/(365.25/12),
0),
(ISBLANK(Table_LaiKhac[Tháng]))*
(Table_LaiKhac[Phân loại] = Table_BCTC[[#This Row],[Gtri]]) *
(Table_LaiKhac[Phân bổ từ] &lt; DATE(BCTC_Nam,BCTC_Thang+1,1))*
(Table_LaiKhac[Phân bổ đến] &gt; DATE(BCTC_Nam,BCTC_Thang,1))
)
),
0)</f>
        <v>0</v>
      </c>
      <c r="G44" s="358"/>
      <c r="H44" s="259"/>
      <c r="I44" s="72" t="s">
        <v>395</v>
      </c>
      <c r="J44" s="362" cm="1">
        <f t="array" ref="J44"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4" s="362" cm="1">
        <f t="array" ref="K44"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4" s="266"/>
      <c r="M44" s="259"/>
      <c r="N44" s="72" t="s">
        <v>395</v>
      </c>
      <c r="O44" s="362" cm="1">
        <f t="array" ref="O44"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4" s="362" cm="1">
        <f t="array" ref="P44"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4" s="266"/>
      <c r="R44" s="266"/>
      <c r="S44" s="266"/>
      <c r="T44" s="266"/>
      <c r="U44" s="266"/>
      <c r="V44" s="266"/>
      <c r="W44" s="266"/>
      <c r="X44" s="266"/>
      <c r="Y44" s="266"/>
      <c r="Z44" s="266"/>
      <c r="AA44" s="266"/>
      <c r="AB44" s="266"/>
      <c r="AC44" s="266"/>
      <c r="AD44" s="266"/>
      <c r="AE44" s="266"/>
      <c r="AF44" s="266"/>
      <c r="AG44" s="266"/>
      <c r="AH44" s="266"/>
      <c r="AI44" s="266"/>
      <c r="AJ44" s="266"/>
      <c r="AK44" s="266"/>
      <c r="AL44" s="266"/>
      <c r="AM44" s="266"/>
    </row>
    <row r="45" spans="1:39" ht="18" hidden="1" customHeight="1" outlineLevel="3" x14ac:dyDescent="0.3">
      <c r="A45" s="242">
        <f t="shared" si="0"/>
        <v>42</v>
      </c>
      <c r="B45" s="259"/>
      <c r="C45" s="72" t="s">
        <v>396</v>
      </c>
      <c r="D45" s="361"/>
      <c r="E45" s="362" cm="1">
        <f t="array" ref="E45">IFERROR(
SUM(_xlfn._xlws.FILTER(Table_LaiKhac[Giá trị]-Table_LaiKhac[Giá trị VAT],
(Table_LaiKhac[Phân loại] = Table_BCTC[[#This Row],[Gtri]]) *
(Table_LaiKhac[Năm] = BCTC_Nam)
)),0)</f>
        <v>0</v>
      </c>
      <c r="F45" s="362" cm="1">
        <f t="array" ref="F45">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5" s="366"/>
      <c r="H45" s="259"/>
      <c r="I45" s="72" t="s">
        <v>396</v>
      </c>
      <c r="J45" s="362" cm="1">
        <f t="array" ref="J45"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5" s="362" cm="1">
        <f t="array" ref="K45"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5" s="244"/>
      <c r="M45" s="259"/>
      <c r="N45" s="72" t="s">
        <v>396</v>
      </c>
      <c r="O45" s="362" cm="1">
        <f t="array" ref="O45"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5" s="362" cm="1">
        <f t="array" ref="P45"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5" s="242"/>
      <c r="R45" s="242"/>
      <c r="S45" s="242"/>
      <c r="T45" s="242"/>
      <c r="U45" s="242"/>
      <c r="V45" s="242"/>
      <c r="W45" s="242"/>
      <c r="X45" s="242"/>
      <c r="Y45" s="242"/>
      <c r="Z45" s="242"/>
      <c r="AA45" s="242"/>
      <c r="AB45" s="242"/>
      <c r="AC45" s="242"/>
      <c r="AD45" s="242"/>
      <c r="AE45" s="242"/>
      <c r="AF45" s="242"/>
      <c r="AG45" s="242"/>
      <c r="AH45" s="242"/>
      <c r="AI45" s="242"/>
      <c r="AJ45" s="242"/>
      <c r="AK45" s="242"/>
      <c r="AL45" s="242"/>
      <c r="AM45" s="242"/>
    </row>
    <row r="46" spans="1:39" s="41" customFormat="1" ht="18" hidden="1" customHeight="1" outlineLevel="3" x14ac:dyDescent="0.3">
      <c r="A46" s="242">
        <f t="shared" si="0"/>
        <v>43</v>
      </c>
      <c r="B46" s="365"/>
      <c r="C46" s="72" t="s">
        <v>397</v>
      </c>
      <c r="D46" s="361"/>
      <c r="E46" s="362" cm="1">
        <f t="array" ref="E46">IFERROR(
SUM(_xlfn._xlws.FILTER(Table_LaiKhac[Giá trị]-Table_LaiKhac[Giá trị VAT],
(Table_LaiKhac[Phân loại] = Table_BCTC[[#This Row],[Gtri]]) *
(Table_LaiKhac[Năm] = BCTC_Nam)
)),0)</f>
        <v>0</v>
      </c>
      <c r="F46" s="362" cm="1">
        <f t="array" ref="F46">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6" s="244"/>
      <c r="H46" s="365"/>
      <c r="I46" s="72" t="s">
        <v>397</v>
      </c>
      <c r="J46" s="362" cm="1">
        <f t="array" ref="J46"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6" s="362" cm="1">
        <f t="array" ref="K46"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6" s="266"/>
      <c r="M46" s="365"/>
      <c r="N46" s="72" t="s">
        <v>397</v>
      </c>
      <c r="O46" s="362" cm="1">
        <f t="array" ref="O46"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6" s="362" cm="1">
        <f t="array" ref="P46"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6" s="266"/>
      <c r="R46" s="266"/>
      <c r="S46" s="266"/>
      <c r="T46" s="266"/>
      <c r="U46" s="266"/>
      <c r="V46" s="266"/>
      <c r="W46" s="266"/>
      <c r="X46" s="266"/>
      <c r="Y46" s="266"/>
      <c r="Z46" s="266"/>
      <c r="AA46" s="266"/>
      <c r="AB46" s="266"/>
      <c r="AC46" s="266"/>
      <c r="AD46" s="266"/>
      <c r="AE46" s="266"/>
      <c r="AF46" s="266"/>
      <c r="AG46" s="266"/>
      <c r="AH46" s="266"/>
      <c r="AI46" s="266"/>
      <c r="AJ46" s="266"/>
      <c r="AK46" s="266"/>
      <c r="AL46" s="266"/>
      <c r="AM46" s="266"/>
    </row>
    <row r="47" spans="1:39" ht="18" hidden="1" customHeight="1" outlineLevel="3" x14ac:dyDescent="0.3">
      <c r="A47" s="242">
        <f t="shared" si="0"/>
        <v>44</v>
      </c>
      <c r="B47" s="365"/>
      <c r="C47" s="72" t="s">
        <v>398</v>
      </c>
      <c r="D47" s="361"/>
      <c r="E47" s="362" cm="1">
        <f t="array" ref="E47">IFERROR(
SUM(_xlfn._xlws.FILTER(Table_LaiKhac[Giá trị]-Table_LaiKhac[Giá trị VAT],
(Table_LaiKhac[Phân loại] = Table_BCTC[[#This Row],[Gtri]]) *
(Table_LaiKhac[Năm] = BCTC_Nam)
)),0)</f>
        <v>0</v>
      </c>
      <c r="F47" s="362" cm="1">
        <f t="array" ref="F47">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7" s="244"/>
      <c r="H47" s="365"/>
      <c r="I47" s="72" t="s">
        <v>398</v>
      </c>
      <c r="J47" s="362" cm="1">
        <f t="array" ref="J47"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7" s="362" cm="1">
        <f t="array" ref="K47"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7" s="244"/>
      <c r="M47" s="365"/>
      <c r="N47" s="72" t="s">
        <v>398</v>
      </c>
      <c r="O47" s="362" cm="1">
        <f t="array" ref="O47"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7" s="362" cm="1">
        <f t="array" ref="P47"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7" s="242"/>
      <c r="R47" s="242"/>
      <c r="S47" s="242"/>
      <c r="T47" s="242"/>
      <c r="U47" s="242"/>
      <c r="V47" s="242"/>
      <c r="W47" s="242"/>
      <c r="X47" s="242"/>
      <c r="Y47" s="242"/>
      <c r="Z47" s="242"/>
      <c r="AA47" s="242"/>
      <c r="AB47" s="242"/>
      <c r="AC47" s="242"/>
      <c r="AD47" s="242"/>
      <c r="AE47" s="242"/>
      <c r="AF47" s="242"/>
      <c r="AG47" s="242"/>
      <c r="AH47" s="242"/>
      <c r="AI47" s="242"/>
      <c r="AJ47" s="242"/>
      <c r="AK47" s="242"/>
      <c r="AL47" s="242"/>
      <c r="AM47" s="242"/>
    </row>
    <row r="48" spans="1:39" ht="18" hidden="1" customHeight="1" outlineLevel="1" x14ac:dyDescent="0.3">
      <c r="A48" s="242">
        <f t="shared" si="0"/>
        <v>45</v>
      </c>
      <c r="B48" s="356" t="s">
        <v>399</v>
      </c>
      <c r="C48" s="74" t="s">
        <v>400</v>
      </c>
      <c r="D48" s="367"/>
      <c r="E48" s="366">
        <f>+E40+E41</f>
        <v>0</v>
      </c>
      <c r="F48" s="366">
        <f>+F40+F41</f>
        <v>0</v>
      </c>
      <c r="G48" s="244"/>
      <c r="H48" s="356" t="s">
        <v>399</v>
      </c>
      <c r="I48" s="74" t="s">
        <v>400</v>
      </c>
      <c r="J48" s="366">
        <f>+J40+J41</f>
        <v>0</v>
      </c>
      <c r="K48" s="366">
        <f>+K40+K41</f>
        <v>0</v>
      </c>
      <c r="L48" s="244"/>
      <c r="M48" s="356" t="s">
        <v>399</v>
      </c>
      <c r="N48" s="74" t="s">
        <v>400</v>
      </c>
      <c r="O48" s="366">
        <f>+O40+O41</f>
        <v>0</v>
      </c>
      <c r="P48" s="366">
        <f>+P40+P41</f>
        <v>0</v>
      </c>
      <c r="Q48" s="242"/>
      <c r="R48" s="242"/>
      <c r="S48" s="242"/>
      <c r="T48" s="242"/>
      <c r="U48" s="242"/>
      <c r="V48" s="242"/>
      <c r="W48" s="242"/>
      <c r="X48" s="242"/>
      <c r="Y48" s="242"/>
      <c r="Z48" s="242"/>
      <c r="AA48" s="242"/>
      <c r="AB48" s="242"/>
      <c r="AC48" s="242"/>
      <c r="AD48" s="242"/>
      <c r="AE48" s="242"/>
      <c r="AF48" s="242"/>
      <c r="AG48" s="242"/>
      <c r="AH48" s="242"/>
      <c r="AI48" s="242"/>
      <c r="AJ48" s="242"/>
      <c r="AK48" s="242"/>
      <c r="AL48" s="242"/>
      <c r="AM48" s="242"/>
    </row>
    <row r="49" spans="1:39" ht="18" hidden="1" customHeight="1" outlineLevel="2" x14ac:dyDescent="0.3">
      <c r="A49" s="242">
        <f t="shared" si="0"/>
        <v>46</v>
      </c>
      <c r="B49" s="359" t="s">
        <v>401</v>
      </c>
      <c r="C49" s="73" t="s">
        <v>402</v>
      </c>
      <c r="D49" s="364"/>
      <c r="E49" s="312" cm="1">
        <f t="array" ref="E49">-MAX(0,IFERROR(
SUM(_xlfn._xlws.FILTER(Table_NopNS[Giá trị phải nộp],
(Table_NopNS[Ngân sách] = "Thuế TNDN")*
(Table_NopNS[Kỳ]&gt;=DATE(BCTC_Nam,1,1))*
(Table_NopNS[Kỳ]&lt;DATE(BCTC_Nam+1,1,1))
)),0))</f>
        <v>0</v>
      </c>
      <c r="F49" s="358" cm="1">
        <f t="array" ref="F49">-MAX(0,IFERROR(
SUM(_xlfn._xlws.FILTER(Table_NopNS[Giá trị phải nộp],
(Table_NopNS[Ngân sách] = "Thuế TNDN")*
(Table_NopNS[Kỳ]&gt;=DATE(BCTC_Nam,BCTC_Thang,1))*
(Table_NopNS[Kỳ]&lt;DATE(BCTC_Nam,BCTC_Thang+1,1))
)),0))</f>
        <v>0</v>
      </c>
      <c r="G49" s="244"/>
      <c r="H49" s="359" t="s">
        <v>401</v>
      </c>
      <c r="I49" s="73" t="s">
        <v>402</v>
      </c>
      <c r="J49" s="312" cm="1">
        <f t="array" ref="J49">-MAX(0,IFERROR(
SUM(_xlfn._xlws.FILTER(Table_NopNS[Giá trị phải nộp],
(Table_NopNS[Ngân sách] = "Thuế TNDN")*
(Table_NopNS[Kỳ]&gt;=DATE(J$1,1,1))*
(Table_NopNS[Kỳ]&lt;DATE(J$1+1,1,1))
)),0))</f>
        <v>0</v>
      </c>
      <c r="K49" s="312" cm="1">
        <f t="array" ref="K49">-MAX(0,IFERROR(
SUM(_xlfn._xlws.FILTER(Table_NopNS[Giá trị phải nộp],
(Table_NopNS[Ngân sách] = "Thuế TNDN")*
(Table_NopNS[Kỳ]&gt;=DATE(K$1,1,1))*
(Table_NopNS[Kỳ]&lt;DATE(K$1+1,1,1))
)),0))</f>
        <v>0</v>
      </c>
      <c r="L49" s="244"/>
      <c r="M49" s="359" t="s">
        <v>401</v>
      </c>
      <c r="N49" s="73" t="s">
        <v>402</v>
      </c>
      <c r="O49" s="358" cm="1">
        <f t="array" ref="O49">-MAX(0,IFERROR(
SUM(_xlfn._xlws.FILTER(Table_NopNS[Giá trị phải nộp],
(Table_NopNS[Ngân sách] = "Thuế TNDN")*
(Table_NopNS[Kỳ]&gt;=O$1)*
(Table_NopNS[Kỳ]&lt;DATE(YEAR(O$1),MONTH(O$1)+1,1))
)),0))</f>
        <v>0</v>
      </c>
      <c r="P49" s="358" cm="1">
        <f t="array" ref="P49">-MAX(0,IFERROR(
SUM(_xlfn._xlws.FILTER(Table_NopNS[Giá trị phải nộp],
(Table_NopNS[Ngân sách] = "Thuế TNDN")*
(Table_NopNS[Kỳ]&gt;=P$1)*
(Table_NopNS[Kỳ]&lt;DATE(YEAR(P$1),MONTH(P$1)+1,1))
)),0))</f>
        <v>0</v>
      </c>
      <c r="Q49" s="242"/>
      <c r="R49" s="242"/>
      <c r="S49" s="242"/>
      <c r="T49" s="242"/>
      <c r="U49" s="242"/>
      <c r="V49" s="242"/>
      <c r="W49" s="242"/>
      <c r="X49" s="242"/>
      <c r="Y49" s="242"/>
      <c r="Z49" s="242"/>
      <c r="AA49" s="242"/>
      <c r="AB49" s="242"/>
      <c r="AC49" s="242"/>
      <c r="AD49" s="242"/>
      <c r="AE49" s="242"/>
      <c r="AF49" s="242"/>
      <c r="AG49" s="242"/>
      <c r="AH49" s="242"/>
      <c r="AI49" s="242"/>
      <c r="AJ49" s="242"/>
      <c r="AK49" s="242"/>
      <c r="AL49" s="242"/>
      <c r="AM49" s="242"/>
    </row>
    <row r="50" spans="1:39" ht="18" hidden="1" customHeight="1" outlineLevel="1" x14ac:dyDescent="0.15">
      <c r="A50" s="242">
        <f t="shared" si="0"/>
        <v>47</v>
      </c>
      <c r="B50" s="356" t="s">
        <v>403</v>
      </c>
      <c r="C50" s="74" t="s">
        <v>404</v>
      </c>
      <c r="D50" s="367"/>
      <c r="E50" s="366">
        <f>SUM(E48:E49)</f>
        <v>0</v>
      </c>
      <c r="F50" s="366">
        <f>SUM(F48:F49)</f>
        <v>0</v>
      </c>
      <c r="G50" s="242"/>
      <c r="H50" s="356" t="s">
        <v>403</v>
      </c>
      <c r="I50" s="74" t="s">
        <v>404</v>
      </c>
      <c r="J50" s="366">
        <f>SUM(J48:J49)</f>
        <v>0</v>
      </c>
      <c r="K50" s="366">
        <f>SUM(K48:K49)</f>
        <v>0</v>
      </c>
      <c r="L50" s="242"/>
      <c r="M50" s="356" t="s">
        <v>403</v>
      </c>
      <c r="N50" s="74" t="s">
        <v>404</v>
      </c>
      <c r="O50" s="366">
        <f>SUM(O48:O49)</f>
        <v>0</v>
      </c>
      <c r="P50" s="366">
        <f>SUM(P48:P49)</f>
        <v>0</v>
      </c>
      <c r="Q50" s="265"/>
      <c r="R50" s="265"/>
      <c r="S50" s="265"/>
      <c r="T50" s="265"/>
      <c r="U50" s="265"/>
      <c r="V50" s="265"/>
      <c r="W50" s="265"/>
      <c r="X50" s="265"/>
      <c r="Y50" s="265"/>
      <c r="Z50" s="265"/>
      <c r="AA50" s="265"/>
      <c r="AB50" s="265"/>
      <c r="AC50" s="265"/>
      <c r="AD50" s="265"/>
      <c r="AE50" s="265"/>
      <c r="AF50" s="265"/>
      <c r="AG50" s="265"/>
      <c r="AH50" s="265"/>
      <c r="AI50" s="265"/>
      <c r="AJ50" s="265"/>
      <c r="AK50" s="265"/>
      <c r="AL50" s="265"/>
      <c r="AM50" s="244"/>
    </row>
    <row r="51" spans="1:39" ht="18" customHeight="1" x14ac:dyDescent="0.15">
      <c r="A51" s="242">
        <f t="shared" si="0"/>
        <v>48</v>
      </c>
      <c r="B51" s="359"/>
      <c r="C51" s="368"/>
      <c r="D51" s="367"/>
      <c r="E51" s="358"/>
      <c r="F51" s="358"/>
      <c r="G51" s="242"/>
      <c r="H51" s="359"/>
      <c r="I51" s="368"/>
      <c r="J51" s="358"/>
      <c r="K51" s="358"/>
      <c r="L51" s="242"/>
      <c r="M51" s="369"/>
      <c r="N51" s="361"/>
      <c r="O51" s="358"/>
      <c r="P51" s="358"/>
      <c r="Q51" s="265"/>
      <c r="R51" s="265"/>
      <c r="S51" s="265"/>
      <c r="T51" s="265"/>
      <c r="U51" s="265"/>
      <c r="V51" s="265"/>
      <c r="W51" s="265"/>
      <c r="X51" s="265"/>
      <c r="Y51" s="265"/>
      <c r="Z51" s="265"/>
      <c r="AA51" s="265"/>
      <c r="AB51" s="265"/>
      <c r="AC51" s="265"/>
      <c r="AD51" s="265"/>
      <c r="AE51" s="265"/>
      <c r="AF51" s="265"/>
      <c r="AG51" s="265"/>
      <c r="AH51" s="265"/>
      <c r="AI51" s="265"/>
      <c r="AJ51" s="265"/>
      <c r="AK51" s="265"/>
      <c r="AL51" s="265"/>
      <c r="AM51" s="244"/>
    </row>
    <row r="52" spans="1:39" ht="18" customHeight="1" collapsed="1" x14ac:dyDescent="0.15">
      <c r="A52" s="242">
        <f t="shared" si="0"/>
        <v>49</v>
      </c>
      <c r="B52" s="359"/>
      <c r="C52" s="74" t="s">
        <v>405</v>
      </c>
      <c r="D52" s="265"/>
      <c r="E52" s="358"/>
      <c r="F52" s="358"/>
      <c r="G52" s="242"/>
      <c r="H52" s="359"/>
      <c r="I52" s="74" t="s">
        <v>405</v>
      </c>
      <c r="J52" s="358"/>
      <c r="K52" s="358"/>
      <c r="L52" s="242"/>
      <c r="M52" s="359"/>
      <c r="N52" s="74" t="s">
        <v>405</v>
      </c>
      <c r="O52" s="358"/>
      <c r="P52" s="358"/>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44"/>
    </row>
    <row r="53" spans="1:39" ht="18" hidden="1" customHeight="1" outlineLevel="1" x14ac:dyDescent="0.15">
      <c r="A53" s="242">
        <f t="shared" si="0"/>
        <v>50</v>
      </c>
      <c r="B53" s="353" t="s">
        <v>374</v>
      </c>
      <c r="C53" s="41" t="s">
        <v>406</v>
      </c>
      <c r="D53" s="266"/>
      <c r="E53" s="366">
        <f>SUM(E61:E63)+E54+E55</f>
        <v>0</v>
      </c>
      <c r="F53" s="366">
        <f>SUM(F61:F63)+F54+F55</f>
        <v>0</v>
      </c>
      <c r="G53" s="242"/>
      <c r="H53" s="353" t="s">
        <v>374</v>
      </c>
      <c r="I53" s="41" t="s">
        <v>406</v>
      </c>
      <c r="J53" s="366">
        <f>SUM(J61:J63)+J54+J55</f>
        <v>0</v>
      </c>
      <c r="K53" s="366">
        <f>SUM(K61:K63)+K54+K55</f>
        <v>0</v>
      </c>
      <c r="L53" s="242"/>
      <c r="M53" s="353" t="s">
        <v>374</v>
      </c>
      <c r="N53" s="41" t="s">
        <v>406</v>
      </c>
      <c r="O53" s="366">
        <f>SUM(O61:O63)+O54+O55</f>
        <v>0</v>
      </c>
      <c r="P53" s="366">
        <f>SUM(P61:P63)+P54+P55</f>
        <v>0</v>
      </c>
      <c r="Q53" s="265"/>
      <c r="R53" s="265"/>
      <c r="S53" s="265"/>
      <c r="T53" s="265"/>
      <c r="U53" s="265"/>
      <c r="V53" s="265"/>
      <c r="W53" s="265"/>
      <c r="X53" s="265"/>
      <c r="Y53" s="265"/>
      <c r="Z53" s="265"/>
      <c r="AA53" s="265"/>
      <c r="AB53" s="265"/>
      <c r="AC53" s="265"/>
      <c r="AD53" s="265"/>
      <c r="AE53" s="265"/>
      <c r="AF53" s="265"/>
      <c r="AG53" s="265"/>
      <c r="AH53" s="265"/>
      <c r="AI53" s="265"/>
      <c r="AJ53" s="265"/>
      <c r="AK53" s="265"/>
      <c r="AL53" s="265"/>
      <c r="AM53" s="244"/>
    </row>
    <row r="54" spans="1:39" ht="18" hidden="1" customHeight="1" outlineLevel="2" x14ac:dyDescent="0.15">
      <c r="A54" s="242">
        <f t="shared" si="0"/>
        <v>51</v>
      </c>
      <c r="B54" s="259" t="s">
        <v>363</v>
      </c>
      <c r="C54" s="73" t="s">
        <v>407</v>
      </c>
      <c r="D54" s="364"/>
      <c r="E54" s="312" cm="1">
        <f t="array" ref="E54">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4" s="312" cm="1">
        <f t="array" ref="F54">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4" s="242"/>
      <c r="H54" s="259" t="s">
        <v>363</v>
      </c>
      <c r="I54" s="73" t="s">
        <v>407</v>
      </c>
      <c r="J54" s="312" cm="1">
        <f t="array" ref="J54">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4" s="312" cm="1">
        <f t="array" ref="K54">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4" s="242"/>
      <c r="M54" s="259" t="s">
        <v>363</v>
      </c>
      <c r="N54" s="73" t="s">
        <v>407</v>
      </c>
      <c r="O54" s="312" cm="1">
        <f t="array" ref="O54">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4" s="312" cm="1">
        <f t="array" ref="P54">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4" s="265"/>
      <c r="R54" s="265"/>
      <c r="S54" s="265"/>
      <c r="T54" s="265"/>
      <c r="U54" s="265"/>
      <c r="V54" s="265"/>
      <c r="W54" s="265"/>
      <c r="X54" s="265"/>
      <c r="Y54" s="265"/>
      <c r="Z54" s="265"/>
      <c r="AA54" s="265"/>
      <c r="AB54" s="265"/>
      <c r="AC54" s="265"/>
      <c r="AD54" s="265"/>
      <c r="AE54" s="265"/>
      <c r="AF54" s="265"/>
      <c r="AG54" s="265"/>
      <c r="AH54" s="265"/>
      <c r="AI54" s="265"/>
      <c r="AJ54" s="265"/>
      <c r="AK54" s="265"/>
      <c r="AL54" s="265"/>
      <c r="AM54" s="244"/>
    </row>
    <row r="55" spans="1:39" ht="18" hidden="1" customHeight="1" outlineLevel="2" x14ac:dyDescent="0.15">
      <c r="A55" s="242">
        <f t="shared" si="0"/>
        <v>52</v>
      </c>
      <c r="B55" s="259" t="s">
        <v>365</v>
      </c>
      <c r="C55" s="73" t="s">
        <v>408</v>
      </c>
      <c r="D55" s="364"/>
      <c r="E55" s="312">
        <f>SUM(E56:E60)</f>
        <v>0</v>
      </c>
      <c r="F55" s="312">
        <f>SUM(F56:F60)</f>
        <v>0</v>
      </c>
      <c r="G55" s="242"/>
      <c r="H55" s="259" t="s">
        <v>365</v>
      </c>
      <c r="I55" s="73" t="s">
        <v>408</v>
      </c>
      <c r="J55" s="312">
        <f>SUM(J56:J60)</f>
        <v>0</v>
      </c>
      <c r="K55" s="312">
        <f>SUM(K56:K60)</f>
        <v>0</v>
      </c>
      <c r="L55" s="242"/>
      <c r="M55" s="259" t="s">
        <v>365</v>
      </c>
      <c r="N55" s="73" t="s">
        <v>408</v>
      </c>
      <c r="O55" s="312">
        <f>SUM(O56:O60)</f>
        <v>0</v>
      </c>
      <c r="P55" s="312">
        <f>SUM(P56:P60)</f>
        <v>0</v>
      </c>
      <c r="Q55" s="265"/>
      <c r="R55" s="265"/>
      <c r="S55" s="265"/>
      <c r="T55" s="265"/>
      <c r="U55" s="265"/>
      <c r="V55" s="265"/>
      <c r="W55" s="265"/>
      <c r="X55" s="265"/>
      <c r="Y55" s="265"/>
      <c r="Z55" s="265"/>
      <c r="AA55" s="265"/>
      <c r="AB55" s="265"/>
      <c r="AC55" s="265"/>
      <c r="AD55" s="265"/>
      <c r="AE55" s="265"/>
      <c r="AF55" s="265"/>
      <c r="AG55" s="265"/>
      <c r="AH55" s="265"/>
      <c r="AI55" s="265"/>
      <c r="AJ55" s="265"/>
      <c r="AK55" s="265"/>
      <c r="AL55" s="265"/>
      <c r="AM55" s="244"/>
    </row>
    <row r="56" spans="1:39" s="53" customFormat="1" ht="18" hidden="1" customHeight="1" outlineLevel="3" x14ac:dyDescent="0.15">
      <c r="A56" s="264">
        <f t="shared" si="0"/>
        <v>53</v>
      </c>
      <c r="B56" s="365"/>
      <c r="C56" s="72" t="s">
        <v>409</v>
      </c>
      <c r="D56" s="361"/>
      <c r="E56" s="362" cm="1">
        <f t="array" ref="E56">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6" s="362" cm="1">
        <f t="array" ref="F56">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6" s="264"/>
      <c r="H56" s="365"/>
      <c r="I56" s="72" t="s">
        <v>409</v>
      </c>
      <c r="J56" s="362" cm="1">
        <f t="array" ref="J56">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6" s="362" cm="1">
        <f t="array" ref="K56">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6" s="264"/>
      <c r="M56" s="365"/>
      <c r="N56" s="72" t="s">
        <v>409</v>
      </c>
      <c r="O56" s="362" cm="1">
        <f t="array" ref="O56">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6" s="362" cm="1">
        <f t="array" ref="P56">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6" s="370"/>
      <c r="R56" s="370"/>
      <c r="S56" s="370"/>
      <c r="T56" s="370"/>
      <c r="U56" s="370"/>
      <c r="V56" s="370"/>
      <c r="W56" s="370"/>
      <c r="X56" s="370"/>
      <c r="Y56" s="370"/>
      <c r="Z56" s="370"/>
      <c r="AA56" s="370"/>
      <c r="AB56" s="370"/>
      <c r="AC56" s="370"/>
      <c r="AD56" s="370"/>
      <c r="AE56" s="370"/>
      <c r="AF56" s="370"/>
      <c r="AG56" s="370"/>
      <c r="AH56" s="370"/>
      <c r="AI56" s="370"/>
      <c r="AJ56" s="370"/>
      <c r="AK56" s="370"/>
      <c r="AL56" s="370"/>
      <c r="AM56" s="371"/>
    </row>
    <row r="57" spans="1:39" s="53" customFormat="1" ht="18" hidden="1" customHeight="1" outlineLevel="3" x14ac:dyDescent="0.15">
      <c r="A57" s="264">
        <f t="shared" si="0"/>
        <v>54</v>
      </c>
      <c r="B57" s="365"/>
      <c r="C57" s="72" t="s">
        <v>410</v>
      </c>
      <c r="D57" s="361"/>
      <c r="E57" s="362" cm="1">
        <f t="array" ref="E57">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7" s="362" cm="1">
        <f t="array" ref="F57">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7" s="264"/>
      <c r="H57" s="365"/>
      <c r="I57" s="72" t="s">
        <v>410</v>
      </c>
      <c r="J57" s="362" cm="1">
        <f t="array" ref="J57">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7" s="362" cm="1">
        <f t="array" ref="K57">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7" s="264"/>
      <c r="M57" s="365"/>
      <c r="N57" s="72" t="s">
        <v>410</v>
      </c>
      <c r="O57" s="362" cm="1">
        <f t="array" ref="O57">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7" s="362" cm="1">
        <f t="array" ref="P57">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1"/>
    </row>
    <row r="58" spans="1:39" s="53" customFormat="1" ht="18" hidden="1" customHeight="1" outlineLevel="3" x14ac:dyDescent="0.15">
      <c r="A58" s="264">
        <f t="shared" si="0"/>
        <v>55</v>
      </c>
      <c r="B58" s="365"/>
      <c r="C58" s="72" t="s">
        <v>411</v>
      </c>
      <c r="D58" s="361"/>
      <c r="E58" s="362" cm="1">
        <f t="array" ref="E58">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8" s="362" cm="1">
        <f t="array" ref="F58">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8" s="264"/>
      <c r="H58" s="365"/>
      <c r="I58" s="72" t="s">
        <v>411</v>
      </c>
      <c r="J58" s="362" cm="1">
        <f t="array" ref="J58">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8" s="362" cm="1">
        <f t="array" ref="K58">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8" s="264"/>
      <c r="M58" s="365"/>
      <c r="N58" s="72" t="s">
        <v>411</v>
      </c>
      <c r="O58" s="362" cm="1">
        <f t="array" ref="O58">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8" s="362" cm="1">
        <f t="array" ref="P58">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8" s="370"/>
      <c r="R58" s="370"/>
      <c r="S58" s="370"/>
      <c r="T58" s="370"/>
      <c r="U58" s="370"/>
      <c r="V58" s="370"/>
      <c r="W58" s="370"/>
      <c r="X58" s="370"/>
      <c r="Y58" s="370"/>
      <c r="Z58" s="370"/>
      <c r="AA58" s="370"/>
      <c r="AB58" s="370"/>
      <c r="AC58" s="370"/>
      <c r="AD58" s="370"/>
      <c r="AE58" s="370"/>
      <c r="AF58" s="370"/>
      <c r="AG58" s="370"/>
      <c r="AH58" s="370"/>
      <c r="AI58" s="370"/>
      <c r="AJ58" s="370"/>
      <c r="AK58" s="370"/>
      <c r="AL58" s="370"/>
      <c r="AM58" s="371"/>
    </row>
    <row r="59" spans="1:39" s="53" customFormat="1" ht="18" hidden="1" customHeight="1" outlineLevel="3" x14ac:dyDescent="0.15">
      <c r="A59" s="264">
        <f t="shared" si="0"/>
        <v>56</v>
      </c>
      <c r="B59" s="365"/>
      <c r="C59" s="72" t="s">
        <v>412</v>
      </c>
      <c r="D59" s="361"/>
      <c r="E59" s="362" cm="1">
        <f t="array" ref="E59">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9" s="362" cm="1">
        <f t="array" ref="F59">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9" s="264"/>
      <c r="H59" s="365"/>
      <c r="I59" s="72" t="s">
        <v>412</v>
      </c>
      <c r="J59" s="362" cm="1">
        <f t="array" ref="J59">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9" s="362" cm="1">
        <f t="array" ref="K59">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9" s="264"/>
      <c r="M59" s="365"/>
      <c r="N59" s="72" t="s">
        <v>412</v>
      </c>
      <c r="O59" s="362" cm="1">
        <f t="array" ref="O59">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9" s="362" cm="1">
        <f t="array" ref="P59">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9" s="370"/>
      <c r="R59" s="370"/>
      <c r="S59" s="370"/>
      <c r="T59" s="370"/>
      <c r="U59" s="370"/>
      <c r="V59" s="370"/>
      <c r="W59" s="370"/>
      <c r="X59" s="370"/>
      <c r="Y59" s="370"/>
      <c r="Z59" s="370"/>
      <c r="AA59" s="370"/>
      <c r="AB59" s="370"/>
      <c r="AC59" s="370"/>
      <c r="AD59" s="370"/>
      <c r="AE59" s="370"/>
      <c r="AF59" s="370"/>
      <c r="AG59" s="370"/>
      <c r="AH59" s="370"/>
      <c r="AI59" s="370"/>
      <c r="AJ59" s="370"/>
      <c r="AK59" s="370"/>
      <c r="AL59" s="370"/>
      <c r="AM59" s="371"/>
    </row>
    <row r="60" spans="1:39" s="53" customFormat="1" ht="18" hidden="1" customHeight="1" outlineLevel="3" x14ac:dyDescent="0.15">
      <c r="A60" s="264">
        <f t="shared" si="0"/>
        <v>57</v>
      </c>
      <c r="B60" s="365"/>
      <c r="C60" s="72" t="s">
        <v>413</v>
      </c>
      <c r="D60" s="361"/>
      <c r="E60" s="362" cm="1">
        <f t="array" ref="E60">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0" s="362" cm="1">
        <f t="array" ref="F60">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0" s="264"/>
      <c r="H60" s="365"/>
      <c r="I60" s="72" t="s">
        <v>413</v>
      </c>
      <c r="J60" s="362" cm="1">
        <f t="array" ref="J60">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0" s="362" cm="1">
        <f t="array" ref="K60">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0" s="264"/>
      <c r="M60" s="365"/>
      <c r="N60" s="72" t="s">
        <v>413</v>
      </c>
      <c r="O60" s="362" cm="1">
        <f t="array" ref="O60">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0" s="362" cm="1">
        <f t="array" ref="P60">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0" s="370"/>
      <c r="R60" s="370"/>
      <c r="S60" s="370"/>
      <c r="T60" s="370"/>
      <c r="U60" s="370"/>
      <c r="V60" s="370"/>
      <c r="W60" s="370"/>
      <c r="X60" s="370"/>
      <c r="Y60" s="370"/>
      <c r="Z60" s="370"/>
      <c r="AA60" s="370"/>
      <c r="AB60" s="370"/>
      <c r="AC60" s="370"/>
      <c r="AD60" s="370"/>
      <c r="AE60" s="370"/>
      <c r="AF60" s="370"/>
      <c r="AG60" s="370"/>
      <c r="AH60" s="370"/>
      <c r="AI60" s="370"/>
      <c r="AJ60" s="370"/>
      <c r="AK60" s="370"/>
      <c r="AL60" s="370"/>
      <c r="AM60" s="371"/>
    </row>
    <row r="61" spans="1:39" ht="18" hidden="1" customHeight="1" outlineLevel="2" x14ac:dyDescent="0.15">
      <c r="A61" s="242">
        <f t="shared" si="0"/>
        <v>58</v>
      </c>
      <c r="B61" s="259" t="s">
        <v>414</v>
      </c>
      <c r="C61" s="73" t="s">
        <v>308</v>
      </c>
      <c r="D61" s="364"/>
      <c r="E61" s="312" cm="1">
        <f t="array" ref="E61">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1" s="312" cm="1">
        <f t="array" ref="F61">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1" s="242"/>
      <c r="H61" s="259" t="s">
        <v>414</v>
      </c>
      <c r="I61" s="73" t="s">
        <v>308</v>
      </c>
      <c r="J61" s="312" cm="1">
        <f t="array" ref="J61">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1" s="312" cm="1">
        <f t="array" ref="K61">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1" s="242"/>
      <c r="M61" s="259" t="s">
        <v>414</v>
      </c>
      <c r="N61" s="73" t="s">
        <v>308</v>
      </c>
      <c r="O61" s="312" cm="1">
        <f t="array" ref="O61">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1" s="312" cm="1">
        <f t="array" ref="P61">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1" s="265"/>
      <c r="R61" s="265"/>
      <c r="S61" s="265"/>
      <c r="T61" s="265"/>
      <c r="U61" s="265"/>
      <c r="V61" s="265"/>
      <c r="W61" s="265"/>
      <c r="X61" s="265"/>
      <c r="Y61" s="265"/>
      <c r="Z61" s="265"/>
      <c r="AA61" s="265"/>
      <c r="AB61" s="265"/>
      <c r="AC61" s="265"/>
      <c r="AD61" s="265"/>
      <c r="AE61" s="265"/>
      <c r="AF61" s="265"/>
      <c r="AG61" s="265"/>
      <c r="AH61" s="265"/>
      <c r="AI61" s="265"/>
      <c r="AJ61" s="265"/>
      <c r="AK61" s="265"/>
      <c r="AL61" s="265"/>
      <c r="AM61" s="244"/>
    </row>
    <row r="62" spans="1:39" ht="18" hidden="1" customHeight="1" outlineLevel="2" x14ac:dyDescent="0.15">
      <c r="A62" s="242">
        <f t="shared" si="0"/>
        <v>59</v>
      </c>
      <c r="B62" s="259" t="s">
        <v>415</v>
      </c>
      <c r="C62" s="73" t="s">
        <v>416</v>
      </c>
      <c r="D62" s="364"/>
      <c r="E62" s="312" cm="1">
        <f t="array" ref="E62">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2" s="312" cm="1">
        <f t="array" ref="F62">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2" s="242"/>
      <c r="H62" s="259" t="s">
        <v>415</v>
      </c>
      <c r="I62" s="73" t="s">
        <v>416</v>
      </c>
      <c r="J62" s="312" cm="1">
        <f t="array" ref="J62">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2" s="312" cm="1">
        <f t="array" ref="K62">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2" s="242"/>
      <c r="M62" s="259" t="s">
        <v>415</v>
      </c>
      <c r="N62" s="73" t="s">
        <v>416</v>
      </c>
      <c r="O62" s="312" cm="1">
        <f t="array" ref="O62">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2" s="312" cm="1">
        <f t="array" ref="P62">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2" s="265"/>
      <c r="R62" s="265"/>
      <c r="S62" s="265"/>
      <c r="T62" s="265"/>
      <c r="U62" s="265"/>
      <c r="V62" s="265"/>
      <c r="W62" s="265"/>
      <c r="X62" s="265"/>
      <c r="Y62" s="265"/>
      <c r="Z62" s="265"/>
      <c r="AA62" s="265"/>
      <c r="AB62" s="265"/>
      <c r="AC62" s="265"/>
      <c r="AD62" s="265"/>
      <c r="AE62" s="265"/>
      <c r="AF62" s="265"/>
      <c r="AG62" s="265"/>
      <c r="AH62" s="265"/>
      <c r="AI62" s="265"/>
      <c r="AJ62" s="265"/>
      <c r="AK62" s="265"/>
      <c r="AL62" s="265"/>
      <c r="AM62" s="244"/>
    </row>
    <row r="63" spans="1:39" ht="18" hidden="1" customHeight="1" outlineLevel="2" x14ac:dyDescent="0.15">
      <c r="A63" s="242">
        <f t="shared" si="0"/>
        <v>60</v>
      </c>
      <c r="B63" s="259" t="s">
        <v>417</v>
      </c>
      <c r="C63" s="73" t="s">
        <v>418</v>
      </c>
      <c r="D63" s="364"/>
      <c r="E63" s="358" cm="1">
        <f t="array" ref="E6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3" s="358" cm="1">
        <f t="array" ref="F6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3" s="242"/>
      <c r="H63" s="259" t="s">
        <v>417</v>
      </c>
      <c r="I63" s="73" t="s">
        <v>418</v>
      </c>
      <c r="J63" s="358" cm="1">
        <f t="array" ref="J6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3" s="358" cm="1">
        <f t="array" ref="K6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3" s="242"/>
      <c r="M63" s="259" t="s">
        <v>417</v>
      </c>
      <c r="N63" s="73" t="s">
        <v>418</v>
      </c>
      <c r="O63" s="358" cm="1">
        <f t="array" ref="O6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3" s="358" cm="1">
        <f t="array" ref="P6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3" s="265"/>
      <c r="R63" s="265"/>
      <c r="S63" s="265"/>
      <c r="T63" s="265"/>
      <c r="U63" s="265"/>
      <c r="V63" s="265"/>
      <c r="W63" s="265"/>
      <c r="X63" s="265"/>
      <c r="Y63" s="265"/>
      <c r="Z63" s="265"/>
      <c r="AA63" s="265"/>
      <c r="AB63" s="265"/>
      <c r="AC63" s="265"/>
      <c r="AD63" s="265"/>
      <c r="AE63" s="265"/>
      <c r="AF63" s="265"/>
      <c r="AG63" s="265"/>
      <c r="AH63" s="265"/>
      <c r="AI63" s="265"/>
      <c r="AJ63" s="265"/>
      <c r="AK63" s="265"/>
      <c r="AL63" s="265"/>
      <c r="AM63" s="244"/>
    </row>
    <row r="64" spans="1:39" ht="18" hidden="1" customHeight="1" outlineLevel="1" x14ac:dyDescent="0.15">
      <c r="A64" s="242">
        <f t="shared" si="0"/>
        <v>61</v>
      </c>
      <c r="B64" s="353" t="s">
        <v>390</v>
      </c>
      <c r="C64" s="41" t="s">
        <v>419</v>
      </c>
      <c r="D64" s="266"/>
      <c r="E64" s="366">
        <f>SUM(E65:E68)</f>
        <v>0</v>
      </c>
      <c r="F64" s="366">
        <f>SUM(F65:F68)</f>
        <v>0</v>
      </c>
      <c r="G64" s="242"/>
      <c r="H64" s="353" t="s">
        <v>390</v>
      </c>
      <c r="I64" s="41" t="s">
        <v>419</v>
      </c>
      <c r="J64" s="366">
        <f>SUM(J65:J68)</f>
        <v>0</v>
      </c>
      <c r="K64" s="366">
        <f>SUM(K65:K68)</f>
        <v>0</v>
      </c>
      <c r="L64" s="242"/>
      <c r="M64" s="353" t="s">
        <v>390</v>
      </c>
      <c r="N64" s="41" t="s">
        <v>419</v>
      </c>
      <c r="O64" s="366">
        <f>SUM(O65:O68)</f>
        <v>0</v>
      </c>
      <c r="P64" s="366">
        <f>SUM(P65:P68)</f>
        <v>0</v>
      </c>
      <c r="Q64" s="265"/>
      <c r="R64" s="265"/>
      <c r="S64" s="265"/>
      <c r="T64" s="265"/>
      <c r="U64" s="265"/>
      <c r="V64" s="265"/>
      <c r="W64" s="265"/>
      <c r="X64" s="265"/>
      <c r="Y64" s="265"/>
      <c r="Z64" s="265"/>
      <c r="AA64" s="265"/>
      <c r="AB64" s="265"/>
      <c r="AC64" s="265"/>
      <c r="AD64" s="265"/>
      <c r="AE64" s="265"/>
      <c r="AF64" s="265"/>
      <c r="AG64" s="265"/>
      <c r="AH64" s="265"/>
      <c r="AI64" s="265"/>
      <c r="AJ64" s="265"/>
      <c r="AK64" s="265"/>
      <c r="AL64" s="265"/>
      <c r="AM64" s="244"/>
    </row>
    <row r="65" spans="1:39" ht="18" hidden="1" customHeight="1" outlineLevel="2" x14ac:dyDescent="0.15">
      <c r="A65" s="242">
        <f t="shared" si="0"/>
        <v>62</v>
      </c>
      <c r="B65" s="359" t="s">
        <v>420</v>
      </c>
      <c r="C65" s="73" t="s">
        <v>421</v>
      </c>
      <c r="D65" s="364"/>
      <c r="E65" s="358" cm="1">
        <f t="array" ref="E65">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5" s="358" cm="1">
        <f t="array" ref="F65">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5" s="242"/>
      <c r="H65" s="359" t="s">
        <v>420</v>
      </c>
      <c r="I65" s="73" t="s">
        <v>421</v>
      </c>
      <c r="J65" s="358" cm="1">
        <f t="array" ref="J65">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5" s="358" cm="1">
        <f t="array" ref="K65">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5" s="242"/>
      <c r="M65" s="359" t="s">
        <v>420</v>
      </c>
      <c r="N65" s="73" t="s">
        <v>421</v>
      </c>
      <c r="O65" s="358" cm="1">
        <f t="array" ref="O65">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5" s="358" cm="1">
        <f t="array" ref="P65">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5" s="265"/>
      <c r="R65" s="265"/>
      <c r="S65" s="265"/>
      <c r="T65" s="265"/>
      <c r="U65" s="265"/>
      <c r="V65" s="265"/>
      <c r="W65" s="265"/>
      <c r="X65" s="265"/>
      <c r="Y65" s="265"/>
      <c r="Z65" s="265"/>
      <c r="AA65" s="265"/>
      <c r="AB65" s="265"/>
      <c r="AC65" s="265"/>
      <c r="AD65" s="265"/>
      <c r="AE65" s="265"/>
      <c r="AF65" s="265"/>
      <c r="AG65" s="265"/>
      <c r="AH65" s="265"/>
      <c r="AI65" s="265"/>
      <c r="AJ65" s="265"/>
      <c r="AK65" s="265"/>
      <c r="AL65" s="265"/>
      <c r="AM65" s="244"/>
    </row>
    <row r="66" spans="1:39" ht="18" hidden="1" customHeight="1" outlineLevel="2" x14ac:dyDescent="0.15">
      <c r="A66" s="242">
        <f t="shared" si="0"/>
        <v>63</v>
      </c>
      <c r="B66" s="359" t="s">
        <v>393</v>
      </c>
      <c r="C66" s="73" t="s">
        <v>422</v>
      </c>
      <c r="D66" s="364"/>
      <c r="E66" s="358" cm="1">
        <f t="array" ref="E66">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6" s="358" cm="1">
        <f t="array" ref="F66">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6" s="242"/>
      <c r="H66" s="359" t="s">
        <v>393</v>
      </c>
      <c r="I66" s="73" t="s">
        <v>422</v>
      </c>
      <c r="J66" s="358" cm="1">
        <f t="array" ref="J66">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6" s="358" cm="1">
        <f t="array" ref="K66">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6" s="242"/>
      <c r="M66" s="359" t="s">
        <v>393</v>
      </c>
      <c r="N66" s="73" t="s">
        <v>422</v>
      </c>
      <c r="O66" s="358" cm="1">
        <f t="array" ref="O66">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6" s="358" cm="1">
        <f t="array" ref="P66">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6" s="265"/>
      <c r="R66" s="265"/>
      <c r="S66" s="265"/>
      <c r="T66" s="265"/>
      <c r="U66" s="265"/>
      <c r="V66" s="265"/>
      <c r="W66" s="265"/>
      <c r="X66" s="265"/>
      <c r="Y66" s="265"/>
      <c r="Z66" s="265"/>
      <c r="AA66" s="265"/>
      <c r="AB66" s="265"/>
      <c r="AC66" s="265"/>
      <c r="AD66" s="265"/>
      <c r="AE66" s="265"/>
      <c r="AF66" s="265"/>
      <c r="AG66" s="265"/>
      <c r="AH66" s="265"/>
      <c r="AI66" s="265"/>
      <c r="AJ66" s="265"/>
      <c r="AK66" s="265"/>
      <c r="AL66" s="265"/>
      <c r="AM66" s="244"/>
    </row>
    <row r="67" spans="1:39" ht="18" hidden="1" customHeight="1" outlineLevel="2" x14ac:dyDescent="0.15">
      <c r="A67" s="242">
        <f t="shared" si="0"/>
        <v>64</v>
      </c>
      <c r="B67" s="359" t="s">
        <v>376</v>
      </c>
      <c r="C67" s="73" t="s">
        <v>423</v>
      </c>
      <c r="D67" s="364"/>
      <c r="E67" s="358" cm="1">
        <f t="array" ref="E67">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7" s="358" cm="1">
        <f t="array" ref="F67">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7" s="242"/>
      <c r="H67" s="359" t="s">
        <v>376</v>
      </c>
      <c r="I67" s="73" t="s">
        <v>423</v>
      </c>
      <c r="J67" s="358" cm="1">
        <f t="array" ref="J67">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7" s="358" cm="1">
        <f t="array" ref="K67">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7" s="242"/>
      <c r="M67" s="359" t="s">
        <v>376</v>
      </c>
      <c r="N67" s="73" t="s">
        <v>423</v>
      </c>
      <c r="O67" s="358" cm="1">
        <f t="array" ref="O67">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7" s="358" cm="1">
        <f t="array" ref="P67">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7" s="265"/>
      <c r="R67" s="265"/>
      <c r="S67" s="265"/>
      <c r="T67" s="265"/>
      <c r="U67" s="265"/>
      <c r="V67" s="265"/>
      <c r="W67" s="265"/>
      <c r="X67" s="265"/>
      <c r="Y67" s="265"/>
      <c r="Z67" s="265"/>
      <c r="AA67" s="265"/>
      <c r="AB67" s="265"/>
      <c r="AC67" s="265"/>
      <c r="AD67" s="265"/>
      <c r="AE67" s="265"/>
      <c r="AF67" s="265"/>
      <c r="AG67" s="265"/>
      <c r="AH67" s="265"/>
      <c r="AI67" s="265"/>
      <c r="AJ67" s="265"/>
      <c r="AK67" s="265"/>
      <c r="AL67" s="265"/>
      <c r="AM67" s="244"/>
    </row>
    <row r="68" spans="1:39" ht="18" hidden="1" customHeight="1" outlineLevel="2" x14ac:dyDescent="0.15">
      <c r="A68" s="242">
        <f t="shared" si="0"/>
        <v>65</v>
      </c>
      <c r="B68" s="359" t="s">
        <v>424</v>
      </c>
      <c r="C68" s="73" t="s">
        <v>425</v>
      </c>
      <c r="D68" s="364"/>
      <c r="E68" s="358" cm="1">
        <f t="array" ref="E68">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8" s="358" cm="1">
        <f t="array" ref="F68">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8" s="242"/>
      <c r="H68" s="359" t="s">
        <v>424</v>
      </c>
      <c r="I68" s="73" t="s">
        <v>425</v>
      </c>
      <c r="J68" s="358" cm="1">
        <f t="array" ref="J68">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8" s="358" cm="1">
        <f t="array" ref="K68">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8" s="242"/>
      <c r="M68" s="359" t="s">
        <v>424</v>
      </c>
      <c r="N68" s="73" t="s">
        <v>425</v>
      </c>
      <c r="O68" s="358" cm="1">
        <f t="array" ref="O68">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8" s="358" cm="1">
        <f t="array" ref="P68">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8" s="265"/>
      <c r="R68" s="265"/>
      <c r="S68" s="265"/>
      <c r="T68" s="265"/>
      <c r="U68" s="265"/>
      <c r="V68" s="265"/>
      <c r="W68" s="265"/>
      <c r="X68" s="265"/>
      <c r="Y68" s="265"/>
      <c r="Z68" s="265"/>
      <c r="AA68" s="265"/>
      <c r="AB68" s="265"/>
      <c r="AC68" s="265"/>
      <c r="AD68" s="265"/>
      <c r="AE68" s="265"/>
      <c r="AF68" s="265"/>
      <c r="AG68" s="265"/>
      <c r="AH68" s="265"/>
      <c r="AI68" s="265"/>
      <c r="AJ68" s="265"/>
      <c r="AK68" s="265"/>
      <c r="AL68" s="265"/>
      <c r="AM68" s="244"/>
    </row>
    <row r="69" spans="1:39" ht="18" hidden="1" customHeight="1" outlineLevel="1" x14ac:dyDescent="0.15">
      <c r="A69" s="242">
        <f t="shared" ref="A69:A132" si="1">+A68+1</f>
        <v>66</v>
      </c>
      <c r="B69" s="353" t="s">
        <v>391</v>
      </c>
      <c r="C69" s="41" t="s">
        <v>426</v>
      </c>
      <c r="D69" s="266"/>
      <c r="E69" s="366">
        <f>SUM(E70:E73)</f>
        <v>0</v>
      </c>
      <c r="F69" s="366">
        <f>SUM(F70:F73)</f>
        <v>0</v>
      </c>
      <c r="G69" s="242"/>
      <c r="H69" s="353" t="s">
        <v>391</v>
      </c>
      <c r="I69" s="41" t="s">
        <v>426</v>
      </c>
      <c r="J69" s="366">
        <f>SUM(J70:J73)</f>
        <v>0</v>
      </c>
      <c r="K69" s="366">
        <f>SUM(K70:K73)</f>
        <v>0</v>
      </c>
      <c r="L69" s="242"/>
      <c r="M69" s="353" t="s">
        <v>391</v>
      </c>
      <c r="N69" s="41" t="s">
        <v>426</v>
      </c>
      <c r="O69" s="366">
        <f>SUM(O70:O73)</f>
        <v>0</v>
      </c>
      <c r="P69" s="366">
        <f>SUM(P70:P73)</f>
        <v>0</v>
      </c>
      <c r="Q69" s="265"/>
      <c r="R69" s="265"/>
      <c r="S69" s="265"/>
      <c r="T69" s="265"/>
      <c r="U69" s="265"/>
      <c r="V69" s="265"/>
      <c r="W69" s="265"/>
      <c r="X69" s="265"/>
      <c r="Y69" s="265"/>
      <c r="Z69" s="265"/>
      <c r="AA69" s="265"/>
      <c r="AB69" s="265"/>
      <c r="AC69" s="265"/>
      <c r="AD69" s="265"/>
      <c r="AE69" s="265"/>
      <c r="AF69" s="265"/>
      <c r="AG69" s="265"/>
      <c r="AH69" s="265"/>
      <c r="AI69" s="265"/>
      <c r="AJ69" s="265"/>
      <c r="AK69" s="265"/>
      <c r="AL69" s="265"/>
      <c r="AM69" s="244"/>
    </row>
    <row r="70" spans="1:39" ht="18" hidden="1" customHeight="1" outlineLevel="2" x14ac:dyDescent="0.15">
      <c r="A70" s="242">
        <f t="shared" si="1"/>
        <v>67</v>
      </c>
      <c r="B70" s="259" t="s">
        <v>427</v>
      </c>
      <c r="C70" s="73" t="s">
        <v>428</v>
      </c>
      <c r="D70" s="364"/>
      <c r="E70" s="358" cm="1">
        <f t="array" ref="E70">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0" s="358" cm="1">
        <f t="array" ref="F70">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0" s="242"/>
      <c r="H70" s="259" t="s">
        <v>427</v>
      </c>
      <c r="I70" s="73" t="s">
        <v>428</v>
      </c>
      <c r="J70" s="358" cm="1">
        <f t="array" ref="J70">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0" s="358" cm="1">
        <f t="array" ref="K70">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0" s="242"/>
      <c r="M70" s="259" t="s">
        <v>427</v>
      </c>
      <c r="N70" s="73" t="s">
        <v>428</v>
      </c>
      <c r="O70" s="358" cm="1">
        <f t="array" ref="O70">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0" s="358" cm="1">
        <f t="array" ref="P70">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0" s="265"/>
      <c r="R70" s="265"/>
      <c r="S70" s="265"/>
      <c r="T70" s="265"/>
      <c r="U70" s="265"/>
      <c r="V70" s="265"/>
      <c r="W70" s="265"/>
      <c r="X70" s="265"/>
      <c r="Y70" s="265"/>
      <c r="Z70" s="265"/>
      <c r="AA70" s="265"/>
      <c r="AB70" s="265"/>
      <c r="AC70" s="265"/>
      <c r="AD70" s="265"/>
      <c r="AE70" s="265"/>
      <c r="AF70" s="265"/>
      <c r="AG70" s="265"/>
      <c r="AH70" s="265"/>
      <c r="AI70" s="265"/>
      <c r="AJ70" s="265"/>
      <c r="AK70" s="265"/>
      <c r="AL70" s="265"/>
      <c r="AM70" s="244"/>
    </row>
    <row r="71" spans="1:39" ht="18" hidden="1" customHeight="1" outlineLevel="2" x14ac:dyDescent="0.15">
      <c r="A71" s="242">
        <f t="shared" si="1"/>
        <v>68</v>
      </c>
      <c r="B71" s="259" t="s">
        <v>429</v>
      </c>
      <c r="C71" s="73" t="s">
        <v>430</v>
      </c>
      <c r="D71" s="364"/>
      <c r="E71" s="358" cm="1">
        <f t="array" ref="E71">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1" s="358" cm="1">
        <f t="array" ref="F71">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1" s="242"/>
      <c r="H71" s="259" t="s">
        <v>429</v>
      </c>
      <c r="I71" s="73" t="s">
        <v>430</v>
      </c>
      <c r="J71" s="358" cm="1">
        <f t="array" ref="J71">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1" s="358" cm="1">
        <f t="array" ref="K71">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1" s="242"/>
      <c r="M71" s="259" t="s">
        <v>429</v>
      </c>
      <c r="N71" s="73" t="s">
        <v>430</v>
      </c>
      <c r="O71" s="358" cm="1">
        <f t="array" ref="O71">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1" s="358" cm="1">
        <f t="array" ref="P71">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1" s="265"/>
      <c r="R71" s="265"/>
      <c r="S71" s="265"/>
      <c r="T71" s="265"/>
      <c r="U71" s="265"/>
      <c r="V71" s="265"/>
      <c r="W71" s="265"/>
      <c r="X71" s="265"/>
      <c r="Y71" s="265"/>
      <c r="Z71" s="265"/>
      <c r="AA71" s="265"/>
      <c r="AB71" s="265"/>
      <c r="AC71" s="265"/>
      <c r="AD71" s="265"/>
      <c r="AE71" s="265"/>
      <c r="AF71" s="265"/>
      <c r="AG71" s="265"/>
      <c r="AH71" s="265"/>
      <c r="AI71" s="265"/>
      <c r="AJ71" s="265"/>
      <c r="AK71" s="265"/>
      <c r="AL71" s="265"/>
      <c r="AM71" s="244"/>
    </row>
    <row r="72" spans="1:39" ht="18" hidden="1" customHeight="1" outlineLevel="2" x14ac:dyDescent="0.15">
      <c r="A72" s="242">
        <f t="shared" si="1"/>
        <v>69</v>
      </c>
      <c r="B72" s="259" t="s">
        <v>431</v>
      </c>
      <c r="C72" s="73" t="s">
        <v>432</v>
      </c>
      <c r="D72" s="364"/>
      <c r="E72" s="358" cm="1">
        <f t="array" ref="E72">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2" s="358" cm="1">
        <f t="array" ref="F72">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2" s="242"/>
      <c r="H72" s="259" t="s">
        <v>431</v>
      </c>
      <c r="I72" s="73" t="s">
        <v>432</v>
      </c>
      <c r="J72" s="358" cm="1">
        <f t="array" ref="J72">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2" s="358" cm="1">
        <f t="array" ref="K72">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2" s="242"/>
      <c r="M72" s="259" t="s">
        <v>431</v>
      </c>
      <c r="N72" s="73" t="s">
        <v>432</v>
      </c>
      <c r="O72" s="358" cm="1">
        <f t="array" ref="O72">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2" s="358" cm="1">
        <f t="array" ref="P72">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2" s="265"/>
      <c r="R72" s="265"/>
      <c r="S72" s="265"/>
      <c r="T72" s="265"/>
      <c r="U72" s="265"/>
      <c r="V72" s="265"/>
      <c r="W72" s="265"/>
      <c r="X72" s="265"/>
      <c r="Y72" s="265"/>
      <c r="Z72" s="265"/>
      <c r="AA72" s="265"/>
      <c r="AB72" s="265"/>
      <c r="AC72" s="265"/>
      <c r="AD72" s="265"/>
      <c r="AE72" s="265"/>
      <c r="AF72" s="265"/>
      <c r="AG72" s="265"/>
      <c r="AH72" s="265"/>
      <c r="AI72" s="265"/>
      <c r="AJ72" s="265"/>
      <c r="AK72" s="265"/>
      <c r="AL72" s="265"/>
      <c r="AM72" s="244"/>
    </row>
    <row r="73" spans="1:39" ht="18" hidden="1" customHeight="1" outlineLevel="2" x14ac:dyDescent="0.15">
      <c r="A73" s="242">
        <f t="shared" si="1"/>
        <v>70</v>
      </c>
      <c r="B73" s="259" t="s">
        <v>433</v>
      </c>
      <c r="C73" s="73" t="s">
        <v>434</v>
      </c>
      <c r="D73" s="364"/>
      <c r="E73" s="358" cm="1">
        <f t="array" ref="E7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3" s="358" cm="1">
        <f t="array" ref="F7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3" s="242"/>
      <c r="H73" s="259" t="s">
        <v>433</v>
      </c>
      <c r="I73" s="73" t="s">
        <v>434</v>
      </c>
      <c r="J73" s="358" cm="1">
        <f t="array" ref="J7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3" s="358" cm="1">
        <f t="array" ref="K7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3" s="242"/>
      <c r="M73" s="259" t="s">
        <v>433</v>
      </c>
      <c r="N73" s="73" t="s">
        <v>434</v>
      </c>
      <c r="O73" s="358" cm="1">
        <f t="array" ref="O7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3" s="358" cm="1">
        <f t="array" ref="P7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3" s="265"/>
      <c r="R73" s="265"/>
      <c r="S73" s="265"/>
      <c r="T73" s="265"/>
      <c r="U73" s="265"/>
      <c r="V73" s="265"/>
      <c r="W73" s="265"/>
      <c r="X73" s="265"/>
      <c r="Y73" s="265"/>
      <c r="Z73" s="265"/>
      <c r="AA73" s="265"/>
      <c r="AB73" s="265"/>
      <c r="AC73" s="265"/>
      <c r="AD73" s="265"/>
      <c r="AE73" s="265"/>
      <c r="AF73" s="265"/>
      <c r="AG73" s="265"/>
      <c r="AH73" s="265"/>
      <c r="AI73" s="265"/>
      <c r="AJ73" s="265"/>
      <c r="AK73" s="265"/>
      <c r="AL73" s="265"/>
      <c r="AM73" s="244"/>
    </row>
    <row r="74" spans="1:39" ht="18" hidden="1" customHeight="1" outlineLevel="1" x14ac:dyDescent="0.15">
      <c r="A74" s="242">
        <f t="shared" si="1"/>
        <v>71</v>
      </c>
      <c r="B74" s="353" t="s">
        <v>399</v>
      </c>
      <c r="C74" s="41" t="s">
        <v>435</v>
      </c>
      <c r="D74" s="266"/>
      <c r="E74" s="366">
        <f>+E53+E64+E69</f>
        <v>0</v>
      </c>
      <c r="F74" s="366">
        <f>+F53+F64+F69</f>
        <v>0</v>
      </c>
      <c r="G74" s="242"/>
      <c r="H74" s="353" t="s">
        <v>399</v>
      </c>
      <c r="I74" s="41" t="s">
        <v>435</v>
      </c>
      <c r="J74" s="366">
        <f>+J53+J64+J69</f>
        <v>0</v>
      </c>
      <c r="K74" s="366">
        <f>+K53+K64+K69</f>
        <v>0</v>
      </c>
      <c r="L74" s="242"/>
      <c r="M74" s="353" t="s">
        <v>399</v>
      </c>
      <c r="N74" s="41" t="s">
        <v>435</v>
      </c>
      <c r="O74" s="366">
        <f>+O53+O64+O69</f>
        <v>0</v>
      </c>
      <c r="P74" s="366">
        <f>+P53+P64+P69</f>
        <v>0</v>
      </c>
      <c r="Q74" s="265"/>
      <c r="R74" s="265"/>
      <c r="S74" s="265"/>
      <c r="T74" s="265"/>
      <c r="U74" s="265"/>
      <c r="V74" s="265"/>
      <c r="W74" s="265"/>
      <c r="X74" s="265"/>
      <c r="Y74" s="265"/>
      <c r="Z74" s="265"/>
      <c r="AA74" s="265"/>
      <c r="AB74" s="265"/>
      <c r="AC74" s="265"/>
      <c r="AD74" s="265"/>
      <c r="AE74" s="265"/>
      <c r="AF74" s="265"/>
      <c r="AG74" s="265"/>
      <c r="AH74" s="265"/>
      <c r="AI74" s="265"/>
      <c r="AJ74" s="265"/>
      <c r="AK74" s="265"/>
      <c r="AL74" s="265"/>
      <c r="AM74" s="244"/>
    </row>
    <row r="75" spans="1:39" ht="18" customHeight="1" x14ac:dyDescent="0.15">
      <c r="A75" s="242">
        <f t="shared" si="1"/>
        <v>72</v>
      </c>
      <c r="B75" s="259"/>
      <c r="C75" s="368"/>
      <c r="D75" s="242"/>
      <c r="E75" s="358"/>
      <c r="F75" s="358"/>
      <c r="G75" s="242"/>
      <c r="H75" s="359"/>
      <c r="I75" s="368"/>
      <c r="J75" s="358"/>
      <c r="K75" s="358"/>
      <c r="L75" s="242"/>
      <c r="M75" s="365"/>
      <c r="N75" s="361"/>
      <c r="O75" s="358"/>
      <c r="P75" s="358"/>
      <c r="Q75" s="265"/>
      <c r="R75" s="265"/>
      <c r="S75" s="265"/>
      <c r="T75" s="265"/>
      <c r="U75" s="265"/>
      <c r="V75" s="265"/>
      <c r="W75" s="265"/>
      <c r="X75" s="265"/>
      <c r="Y75" s="265"/>
      <c r="Z75" s="265"/>
      <c r="AA75" s="265"/>
      <c r="AB75" s="265"/>
      <c r="AC75" s="265"/>
      <c r="AD75" s="265"/>
      <c r="AE75" s="265"/>
      <c r="AF75" s="265"/>
      <c r="AG75" s="265"/>
      <c r="AH75" s="265"/>
      <c r="AI75" s="265"/>
      <c r="AJ75" s="265"/>
      <c r="AK75" s="265"/>
      <c r="AL75" s="265"/>
      <c r="AM75" s="244"/>
    </row>
    <row r="76" spans="1:39" ht="18" customHeight="1" x14ac:dyDescent="0.15">
      <c r="A76" s="242">
        <f t="shared" si="1"/>
        <v>73</v>
      </c>
      <c r="B76" s="359"/>
      <c r="C76" s="74" t="s">
        <v>436</v>
      </c>
      <c r="D76" s="265"/>
      <c r="E76" s="358"/>
      <c r="F76" s="358"/>
      <c r="G76" s="242"/>
      <c r="H76" s="359"/>
      <c r="I76" s="74" t="s">
        <v>436</v>
      </c>
      <c r="J76" s="358"/>
      <c r="K76" s="358"/>
      <c r="L76" s="242"/>
      <c r="M76" s="359"/>
      <c r="N76" s="74" t="s">
        <v>436</v>
      </c>
      <c r="O76" s="358"/>
      <c r="P76" s="358"/>
      <c r="Q76" s="265"/>
      <c r="R76" s="265"/>
      <c r="S76" s="265"/>
      <c r="T76" s="265"/>
      <c r="U76" s="265"/>
      <c r="V76" s="265"/>
      <c r="W76" s="265"/>
      <c r="X76" s="265"/>
      <c r="Y76" s="265"/>
      <c r="Z76" s="265"/>
      <c r="AA76" s="265"/>
      <c r="AB76" s="265"/>
      <c r="AC76" s="265"/>
      <c r="AD76" s="265"/>
      <c r="AE76" s="265"/>
      <c r="AF76" s="265"/>
      <c r="AG76" s="265"/>
      <c r="AH76" s="265"/>
      <c r="AI76" s="265"/>
      <c r="AJ76" s="265"/>
      <c r="AK76" s="265"/>
      <c r="AL76" s="265"/>
      <c r="AM76" s="244"/>
    </row>
    <row r="77" spans="1:39" ht="18" customHeight="1" outlineLevel="1" x14ac:dyDescent="0.15">
      <c r="A77" s="242">
        <f t="shared" si="1"/>
        <v>74</v>
      </c>
      <c r="B77" s="372">
        <v>100</v>
      </c>
      <c r="C77" s="77" t="s">
        <v>437</v>
      </c>
      <c r="D77" s="373">
        <f>+D89+D86+D80+D79+D78</f>
        <v>0</v>
      </c>
      <c r="E77" s="373">
        <f>+E89+E86+E80+E79+E78</f>
        <v>0</v>
      </c>
      <c r="F77" s="373">
        <f>+F89+F86+F80+F79+F78</f>
        <v>0</v>
      </c>
      <c r="G77" s="242"/>
      <c r="H77" s="372">
        <v>100</v>
      </c>
      <c r="I77" s="77" t="s">
        <v>437</v>
      </c>
      <c r="J77" s="373">
        <f>+J89+J86+J80+J79+J78</f>
        <v>53607353.321573563</v>
      </c>
      <c r="K77" s="373">
        <f>+K89+K86+K80+K79+K78</f>
        <v>53607353.321573563</v>
      </c>
      <c r="L77" s="242"/>
      <c r="M77" s="372">
        <v>100</v>
      </c>
      <c r="N77" s="77" t="s">
        <v>437</v>
      </c>
      <c r="O77" s="373">
        <f ca="1">+O89+O86+O80+O79+O78</f>
        <v>0</v>
      </c>
      <c r="P77" s="373">
        <f ca="1">+P89+P86+P80+P79+P78</f>
        <v>0</v>
      </c>
      <c r="Q77" s="265"/>
      <c r="R77" s="265"/>
      <c r="S77" s="265"/>
      <c r="T77" s="265"/>
      <c r="U77" s="265"/>
      <c r="V77" s="265"/>
      <c r="W77" s="265"/>
      <c r="X77" s="265"/>
      <c r="Y77" s="265"/>
      <c r="Z77" s="265"/>
      <c r="AA77" s="265"/>
      <c r="AB77" s="265"/>
      <c r="AC77" s="265"/>
      <c r="AD77" s="265"/>
      <c r="AE77" s="265"/>
      <c r="AF77" s="265"/>
      <c r="AG77" s="265"/>
      <c r="AH77" s="265"/>
      <c r="AI77" s="265"/>
      <c r="AJ77" s="265"/>
      <c r="AK77" s="265"/>
      <c r="AL77" s="265"/>
      <c r="AM77" s="244"/>
    </row>
    <row r="78" spans="1:39" ht="18" customHeight="1" outlineLevel="2" x14ac:dyDescent="0.15">
      <c r="A78" s="242">
        <f t="shared" si="1"/>
        <v>75</v>
      </c>
      <c r="B78" s="259">
        <v>110</v>
      </c>
      <c r="C78" s="73" t="s">
        <v>438</v>
      </c>
      <c r="D78" s="244">
        <f>SUM(Table_TaiKhoan[Số dư ban đầu])</f>
        <v>0</v>
      </c>
      <c r="E78" s="312" cm="1">
        <f t="array" ref="E78">Table_BCTC[[#This Row],[Đầu kỳ]]
+ IFERROR(SUM(_xlfn._xlws.FILTER( Table_ThuChiKD[Giá trị sau phí],
(Table_ThuChiKD[Loại GD] = "THU") *
(Table_ThuChiKD[Ngày GD] &lt; DATE(BCTC_Nam,BCTC_Thang,1 ))
)),0)
- IFERROR(SUM(_xlfn._xlws.FILTER( Table_ThuChiKD[Giá trị sau phí],
(Table_ThuChiKD[Loại GD] = "CHI") *
(Table_ThuChiKD[Ngày GD] &lt; DATE(BCTC_Nam,BCTC_Thang,1 ))
)),0)
+ IFERROR(SUM(_xlfn._xlws.FILTER( Table_ThuChiTC[Giá trị GD],
(Table_ThuChiTC[Loại GD]= "THU") *
(Table_ThuChiTC[Ngày GD] &lt; DATE(BCTC_Nam,BCTC_Thang,1 ))
)),0)
- IFERROR(SUM(_xlfn._xlws.FILTER( Table_ThuChiTC[Giá trị GD],
(Table_ThuChiTC[Loại GD]= "CHI") *
(Table_ThuChiTC[Ngày GD] &lt; DATE(BCTC_Nam,BCTC_Thang,1 ))
)),0)</f>
        <v>0</v>
      </c>
      <c r="F78" s="244" cm="1">
        <f t="array" ref="F78">Table_BCTC[[#This Row],[Đầu kỳ]]
+ IFERROR(SUM(_xlfn._xlws.FILTER( Table_ThuChiKD[Giá trị sau phí],
(Table_ThuChiKD[Loại GD] = "THU") *
(Table_ThuChiKD[Ngày GD] &lt; DATE(BCTC_Nam,BCTC_Thang+1,1 ))
)),0)
- IFERROR(SUM(_xlfn._xlws.FILTER( Table_ThuChiKD[Giá trị sau phí],
(Table_ThuChiKD[Loại GD] = "CHI") *
(Table_ThuChiKD[Ngày GD] &lt; DATE(BCTC_Nam,BCTC_Thang+1,1 ))
)),0)
+ IFERROR(SUM(_xlfn._xlws.FILTER( Table_ThuChiTC[Giá trị GD],
(Table_ThuChiTC[Loại GD]= "THU") *
(Table_ThuChiTC[Ngày GD] &lt; DATE(BCTC_Nam,BCTC_Thang+1,1 ))
)),0)
- IFERROR(SUM(_xlfn._xlws.FILTER( Table_ThuChiTC[Giá trị GD],
(Table_ThuChiTC[Loại GD]= "CHI") *
(Table_ThuChiTC[Ngày GD] &lt; DATE(BCTC_Nam,BCTC_Thang+1,1 ))
)),0)</f>
        <v>0</v>
      </c>
      <c r="G78" s="242"/>
      <c r="H78" s="259">
        <v>110</v>
      </c>
      <c r="I78" s="73" t="s">
        <v>438</v>
      </c>
      <c r="J78" s="312" cm="1">
        <f t="array" ref="J78">Table_BCTC[[#This Row],[Đầu kỳ]]
+ IFERROR(SUM(_xlfn._xlws.FILTER( Table_ThuChiKD[Giá trị sau phí],
(Table_ThuChiKD[Loại GD] = "THU") *
(Table_ThuChiKD[Ngày GD] &lt; DATE(J$1+1,1,1 ))
)),0)
- IFERROR(SUM(_xlfn._xlws.FILTER( Table_ThuChiKD[Giá trị sau phí],
(Table_ThuChiKD[Loại GD] = "CHI") *
(Table_ThuChiKD[Ngày GD] &lt; DATE(J$1+1,1,1 ))
)),0)
+ IFERROR(SUM(_xlfn._xlws.FILTER( Table_ThuChiTC[Giá trị GD],
(Table_ThuChiTC[Loại GD]= "THU") *
(Table_ThuChiTC[Ngày GD] &lt; DATE(J$1+1,1,1 ))
)),0)
- IFERROR(SUM(_xlfn._xlws.FILTER( Table_ThuChiTC[Giá trị GD],
(Table_ThuChiTC[Loại GD]= "CHI") *
(Table_ThuChiTC[Ngày GD] &lt; DATE(J$1+1,1,1 ))
)),0)</f>
        <v>0</v>
      </c>
      <c r="K78" s="312" cm="1">
        <f t="array" ref="K78">Table_BCTC[[#This Row],[Đầu kỳ]]
+ IFERROR(SUM(_xlfn._xlws.FILTER( Table_ThuChiKD[Giá trị sau phí],
(Table_ThuChiKD[Loại GD] = "THU") *
(Table_ThuChiKD[Ngày GD] &lt; DATE(K$1+1,1,1 ))
)),0)
- IFERROR(SUM(_xlfn._xlws.FILTER( Table_ThuChiKD[Giá trị sau phí],
(Table_ThuChiKD[Loại GD] = "CHI") *
(Table_ThuChiKD[Ngày GD] &lt; DATE(K$1+1,1,1 ))
)),0)
+ IFERROR(SUM(_xlfn._xlws.FILTER( Table_ThuChiTC[Giá trị GD],
(Table_ThuChiTC[Loại GD]= "THU") *
(Table_ThuChiTC[Ngày GD] &lt; DATE(K$1+1,1,1 ))
)),0)
- IFERROR(SUM(_xlfn._xlws.FILTER( Table_ThuChiTC[Giá trị GD],
(Table_ThuChiTC[Loại GD]= "CHI") *
(Table_ThuChiTC[Ngày GD] &lt; DATE(K$1+1,1,1 ))
)),0)</f>
        <v>0</v>
      </c>
      <c r="L78" s="242"/>
      <c r="M78" s="259">
        <v>110</v>
      </c>
      <c r="N78" s="73" t="s">
        <v>438</v>
      </c>
      <c r="O78" s="244" cm="1">
        <f t="array" ref="O78">Table_BCTC[[#This Row],[Đầu kỳ]]
+ IFERROR(SUM(_xlfn._xlws.FILTER( Table_ThuChiKD[Giá trị sau phí],
(Table_ThuChiKD[Loại GD] = "THU") *
(Table_ThuChiKD[Ngày GD] &lt; DATE(YEAR(O$1),MONTH(O$1)+1,1 ))
)),0)
- IFERROR(SUM(_xlfn._xlws.FILTER( Table_ThuChiKD[Giá trị sau phí],
(Table_ThuChiKD[Loại GD] = "CHI") *
(Table_ThuChiKD[Ngày GD] &lt; DATE(YEAR(O$1),MONTH(O$1)+1,1 ))
)),0)
+ IFERROR(SUM(_xlfn._xlws.FILTER( Table_ThuChiTC[Giá trị GD],
(Table_ThuChiTC[Loại GD]= "THU") *
(Table_ThuChiTC[Ngày GD] &lt; DATE(YEAR(O$1),MONTH(O$1)+1,1 ))
)),0)
- IFERROR(SUM(_xlfn._xlws.FILTER( Table_ThuChiTC[Giá trị GD],
(Table_ThuChiTC[Loại GD]= "CHI") *
(Table_ThuChiTC[Ngày GD] &lt; DATE(YEAR(O$1),MONTH(O$1)+1,1 ))
)),0)</f>
        <v>0</v>
      </c>
      <c r="P78" s="244" cm="1">
        <f t="array" ref="P78">Table_BCTC[[#This Row],[Đầu kỳ]]
+ IFERROR(SUM(_xlfn._xlws.FILTER( Table_ThuChiKD[Giá trị sau phí],
(Table_ThuChiKD[Loại GD] = "THU") *
(Table_ThuChiKD[Ngày GD] &lt; DATE(YEAR(P$1),MONTH(P$1)+1,1 ))
)),0)
- IFERROR(SUM(_xlfn._xlws.FILTER( Table_ThuChiKD[Giá trị sau phí],
(Table_ThuChiKD[Loại GD] = "CHI") *
(Table_ThuChiKD[Ngày GD] &lt; DATE(YEAR(P$1),MONTH(P$1)+1,1 ))
)),0)
+ IFERROR(SUM(_xlfn._xlws.FILTER( Table_ThuChiTC[Giá trị GD],
(Table_ThuChiTC[Loại GD]= "THU") *
(Table_ThuChiTC[Ngày GD] &lt; DATE(YEAR(P$1),MONTH(P$1)+1,1 ))
)),0)
- IFERROR(SUM(_xlfn._xlws.FILTER( Table_ThuChiTC[Giá trị GD],
(Table_ThuChiTC[Loại GD]= "CHI") *
(Table_ThuChiTC[Ngày GD] &lt; DATE(YEAR(P$1),MONTH(P$1)+1,1 ))
)),0)</f>
        <v>0</v>
      </c>
      <c r="Q78" s="265"/>
      <c r="R78" s="265"/>
      <c r="S78" s="265"/>
      <c r="T78" s="265"/>
      <c r="U78" s="265"/>
      <c r="V78" s="265"/>
      <c r="W78" s="265"/>
      <c r="X78" s="265"/>
      <c r="Y78" s="265"/>
      <c r="Z78" s="265"/>
      <c r="AA78" s="265"/>
      <c r="AB78" s="265"/>
      <c r="AC78" s="265"/>
      <c r="AD78" s="265"/>
      <c r="AE78" s="265"/>
      <c r="AF78" s="265"/>
      <c r="AG78" s="265"/>
      <c r="AH78" s="265"/>
      <c r="AI78" s="265"/>
      <c r="AJ78" s="265"/>
      <c r="AK78" s="265"/>
      <c r="AL78" s="265"/>
      <c r="AM78" s="244"/>
    </row>
    <row r="79" spans="1:39" ht="18" customHeight="1" outlineLevel="2" x14ac:dyDescent="0.15">
      <c r="A79" s="242">
        <f t="shared" si="1"/>
        <v>76</v>
      </c>
      <c r="B79" s="259">
        <v>120</v>
      </c>
      <c r="C79" s="73" t="s">
        <v>439</v>
      </c>
      <c r="D79" s="244" cm="1">
        <f t="array" ref="D79">IFERROR(
SUM(_xlfn._xlws.FILTER(Table_DauTu[Giá trị đầu tư],
(NOT(ISBLANK(Table_DauTu[Thời hạn (tháng)])))*
(Table_DauTu[Kỳ đầu tư] &lt; BCTC_BatDau) *
(Table_DauTu[Kỳ đáo hạn] &lt;= DATE(YEAR(BCTC_BatDau) + 1, MONTH(BCTC_BatDau), DAY(BCTC_BatDau)))
)),0)</f>
        <v>0</v>
      </c>
      <c r="E79" s="312" cm="1">
        <f t="array" ref="E79">IFERROR(
SUM(_xlfn._xlws.FILTER(Table_DauTu[Giá trị đầu tư],
(NOT(ISBLANK(Table_DauTu[Kỳ đáo hạn])))*
(Table_DauTu[Kỳ đầu tư] &lt; DATE(BCTC_Nam, BCTC_Thang, 1)) *
(Table_DauTu[Kỳ đáo hạn] &lt;=  DATE(BCTC_Nam+1, BCTC_Thang, 1))
)),0)</f>
        <v>0</v>
      </c>
      <c r="F79" s="244" cm="1">
        <f t="array" ref="F79">IFERROR(
SUM(_xlfn._xlws.FILTER(Table_DauTu[Giá trị đầu tư],
(NOT(ISBLANK(Table_DauTu[Kỳ đáo hạn])))*
(Table_DauTu[Kỳ đầu tư] &lt; DATE(BCTC_Nam, BCTC_Thang+1, 1)) *
(Table_DauTu[Kỳ đáo hạn] &lt;=  DATE(BCTC_Nam+1, BCTC_Thang+1, 1))
)),0)</f>
        <v>0</v>
      </c>
      <c r="G79" s="242"/>
      <c r="H79" s="259">
        <v>120</v>
      </c>
      <c r="I79" s="73" t="s">
        <v>439</v>
      </c>
      <c r="J79" s="312" cm="1">
        <f t="array" ref="J79">IFERROR(
SUM(_xlfn._xlws.FILTER(Table_DauTu[Giá trị đầu tư],
(NOT(ISBLANK(Table_DauTu[Kỳ đáo hạn])))*
(Table_DauTu[Kỳ đầu tư] &lt; DATE(J$1+1, 1, 1)) *
(Table_DauTu[Kỳ đáo hạn] &lt;=  DATE(J$1+2, 1, 1))
)),0)</f>
        <v>0</v>
      </c>
      <c r="K79" s="312" cm="1">
        <f t="array" ref="K79">IFERROR(
SUM(_xlfn._xlws.FILTER(Table_DauTu[Giá trị đầu tư],
(NOT(ISBLANK(Table_DauTu[Kỳ đáo hạn])))*
(Table_DauTu[Kỳ đầu tư] &lt; DATE(K$1+1, 1, 1)) *
(Table_DauTu[Kỳ đáo hạn] &lt;=  DATE(K$1+2, 1, 1))
)),0)</f>
        <v>0</v>
      </c>
      <c r="L79" s="242"/>
      <c r="M79" s="259">
        <v>120</v>
      </c>
      <c r="N79" s="73" t="s">
        <v>439</v>
      </c>
      <c r="O79" s="244" cm="1">
        <f t="array" ref="O79">IFERROR(
SUM(_xlfn._xlws.FILTER(Table_DauTu[Giá trị đầu tư],
(NOT(ISBLANK(Table_DauTu[Kỳ đáo hạn])))*
(Table_DauTu[Kỳ đầu tư] &lt; DATE(YEAR(O$1), MONTH(O$1)+1, 1)) *
(Table_DauTu[Kỳ đáo hạn] &lt;=  DATE(YEAR(O$1)+1, MONTH(O$1)+1, 1))
)),0)</f>
        <v>0</v>
      </c>
      <c r="P79" s="244" cm="1">
        <f t="array" ref="P79">IFERROR(
SUM(_xlfn._xlws.FILTER(Table_DauTu[Giá trị đầu tư],
(NOT(ISBLANK(Table_DauTu[Kỳ đáo hạn])))*
(Table_DauTu[Kỳ đầu tư] &lt; DATE(YEAR(P$1), MONTH(P$1)+1, 1)) *
(Table_DauTu[Kỳ đáo hạn] &lt;=  DATE(YEAR(P$1)+1, MONTH(P$1)+1, 1))
)),0)</f>
        <v>0</v>
      </c>
      <c r="Q79" s="265"/>
      <c r="R79" s="265"/>
      <c r="S79" s="265"/>
      <c r="T79" s="265"/>
      <c r="U79" s="265"/>
      <c r="V79" s="265"/>
      <c r="W79" s="265"/>
      <c r="X79" s="265"/>
      <c r="Y79" s="265"/>
      <c r="Z79" s="265"/>
      <c r="AA79" s="265"/>
      <c r="AB79" s="265"/>
      <c r="AC79" s="265"/>
      <c r="AD79" s="265"/>
      <c r="AE79" s="265"/>
      <c r="AF79" s="265"/>
      <c r="AG79" s="265"/>
      <c r="AH79" s="265"/>
      <c r="AI79" s="265"/>
      <c r="AJ79" s="265"/>
      <c r="AK79" s="265"/>
      <c r="AL79" s="265"/>
      <c r="AM79" s="244"/>
    </row>
    <row r="80" spans="1:39" ht="18" customHeight="1" outlineLevel="2" x14ac:dyDescent="0.15">
      <c r="A80" s="242">
        <f t="shared" si="1"/>
        <v>77</v>
      </c>
      <c r="B80" s="259">
        <v>130</v>
      </c>
      <c r="C80" s="73" t="s">
        <v>440</v>
      </c>
      <c r="D80" s="244">
        <f>+SUM(D81:D84)</f>
        <v>0</v>
      </c>
      <c r="E80" s="244">
        <f>+SUM(E81:E85)</f>
        <v>0</v>
      </c>
      <c r="F80" s="244">
        <f>+SUM(F81:F85)</f>
        <v>0</v>
      </c>
      <c r="G80" s="242"/>
      <c r="H80" s="259">
        <v>130</v>
      </c>
      <c r="I80" s="73" t="s">
        <v>440</v>
      </c>
      <c r="J80" s="244">
        <f>+SUM(J81:J85)</f>
        <v>1629803</v>
      </c>
      <c r="K80" s="244">
        <f>+SUM(K81:K85)</f>
        <v>1629803</v>
      </c>
      <c r="L80" s="242"/>
      <c r="M80" s="259">
        <v>130</v>
      </c>
      <c r="N80" s="73" t="s">
        <v>440</v>
      </c>
      <c r="O80" s="244">
        <f ca="1">+SUM(O81:O85)</f>
        <v>0</v>
      </c>
      <c r="P80" s="244">
        <f ca="1">+SUM(P81:P85)</f>
        <v>0</v>
      </c>
      <c r="Q80" s="265"/>
      <c r="R80" s="265"/>
      <c r="S80" s="265"/>
      <c r="T80" s="265"/>
      <c r="U80" s="265"/>
      <c r="V80" s="265"/>
      <c r="W80" s="265"/>
      <c r="X80" s="265"/>
      <c r="Y80" s="265"/>
      <c r="Z80" s="265"/>
      <c r="AA80" s="265"/>
      <c r="AB80" s="265"/>
      <c r="AC80" s="265"/>
      <c r="AD80" s="265"/>
      <c r="AE80" s="265"/>
      <c r="AF80" s="265"/>
      <c r="AG80" s="265"/>
      <c r="AH80" s="265"/>
      <c r="AI80" s="265"/>
      <c r="AJ80" s="265"/>
      <c r="AK80" s="265"/>
      <c r="AL80" s="265"/>
      <c r="AM80" s="244"/>
    </row>
    <row r="81" spans="1:39" ht="18" customHeight="1" outlineLevel="3" x14ac:dyDescent="0.15">
      <c r="A81" s="242">
        <f t="shared" si="1"/>
        <v>78</v>
      </c>
      <c r="B81" s="365">
        <v>131</v>
      </c>
      <c r="C81" s="72" t="s">
        <v>441</v>
      </c>
      <c r="D81" s="362">
        <f>Sheet_PhaiThu!D2-D92</f>
        <v>0</v>
      </c>
      <c r="E81" s="362">
        <f>IFERROR(
IF(BCTC_Thang = 1,
HLOOKUP(
DATE(BCTC_Nam-1,12,1),Sheet_PhaiThu!$C$1:$XFD$5,Sheet_PhaiThu!$B$2,0
),
HLOOKUP(
DATE(BCTC_Nam,BCTC_Thang-1,1),Sheet_PhaiThu!$C$1:$XFD$5,Sheet_PhaiThu!$B$2,0
)),0)
-E92</f>
        <v>0</v>
      </c>
      <c r="F81" s="371">
        <f>IFERROR(
HLOOKUP(
DATE(BCTC_Nam,BCTC_Thang,1),Sheet_PhaiThu!$C$1:$XFD$5,Sheet_PhaiThu!$B$2,0
),0)
-F92</f>
        <v>0</v>
      </c>
      <c r="G81" s="242"/>
      <c r="H81" s="365">
        <v>131</v>
      </c>
      <c r="I81" s="72" t="s">
        <v>441</v>
      </c>
      <c r="J81" s="362">
        <f>IFERROR(
HLOOKUP(
DATE(J$1,12,1),
Sheet_PhaiThu!$C$1:$XFD$5,Sheet_PhaiThu!$B$2,0
),
IFERROR(
HLOOKUP(
MAX(Sheet_PhaiThu!$D$1:$XFD$1),
Sheet_PhaiThu!$C$1:$XFD$5,Sheet_PhaiThu!$B$2,0
),
0))
-J92</f>
        <v>700000</v>
      </c>
      <c r="K81" s="362">
        <f>IFERROR(
HLOOKUP(
DATE(K$1,12,1),
Sheet_PhaiThu!$C$1:$XFD$5,Sheet_PhaiThu!$B$2,0
),
IFERROR(
HLOOKUP(
MAX(Sheet_PhaiThu!$D$1:$XFD$1),
Sheet_PhaiThu!$C$1:$XFD$5,Sheet_PhaiThu!$B$2,0
),
0))
-K92</f>
        <v>700000</v>
      </c>
      <c r="L81" s="242"/>
      <c r="M81" s="365">
        <v>131</v>
      </c>
      <c r="N81" s="72" t="s">
        <v>441</v>
      </c>
      <c r="O81" s="371">
        <f>IFERROR(
HLOOKUP(
O$1,Sheet_PhaiThu!$C$1:$XFD$5,Sheet_PhaiThu!$B$2,0
),0)
-O92</f>
        <v>0</v>
      </c>
      <c r="P81" s="371">
        <f>IFERROR(
HLOOKUP(
P$1,Sheet_PhaiThu!$C$1:$XFD$5,Sheet_PhaiThu!$B$2,0
),0)
-P92</f>
        <v>0</v>
      </c>
      <c r="Q81" s="265"/>
      <c r="R81" s="265"/>
      <c r="S81" s="265"/>
      <c r="T81" s="265"/>
      <c r="U81" s="265"/>
      <c r="V81" s="265"/>
      <c r="W81" s="265"/>
      <c r="X81" s="265"/>
      <c r="Y81" s="265"/>
      <c r="Z81" s="265"/>
      <c r="AA81" s="265"/>
      <c r="AB81" s="265"/>
      <c r="AC81" s="265"/>
      <c r="AD81" s="265"/>
      <c r="AE81" s="265"/>
      <c r="AF81" s="265"/>
      <c r="AG81" s="265"/>
      <c r="AH81" s="265"/>
      <c r="AI81" s="265"/>
      <c r="AJ81" s="265"/>
      <c r="AK81" s="265"/>
      <c r="AL81" s="265"/>
      <c r="AM81" s="244"/>
    </row>
    <row r="82" spans="1:39" ht="18" customHeight="1" outlineLevel="3" x14ac:dyDescent="0.15">
      <c r="A82" s="242">
        <f t="shared" si="1"/>
        <v>79</v>
      </c>
      <c r="B82" s="365">
        <v>132</v>
      </c>
      <c r="C82" s="72" t="s">
        <v>442</v>
      </c>
      <c r="D82" s="362">
        <f>Sheet_PhaiTra!D4-D93</f>
        <v>0</v>
      </c>
      <c r="E82" s="362">
        <f xml:space="preserve">
IFERROR(
IF(BCTC_Thang = 1,
HLOOKUP(
DATE(BCTC_Nam-1,12,1),Sheet_PhaiTra!$B$1:$XFD$9,Sheet_PhaiTra!$A$4,0
),
HLOOKUP(
DATE(BCTC_Nam,BCTC_Thang-1,1),Sheet_PhaiTra!$B$1:$XFD$9,Sheet_PhaiTra!$A$4,0
)),0)
-E93</f>
        <v>0</v>
      </c>
      <c r="F82" s="371">
        <f xml:space="preserve">
IFERROR(
HLOOKUP(
DATE(BCTC_Nam,BCTC_Thang,1),Sheet_PhaiTra!$B$1:$XFD$9,Sheet_PhaiTra!$A$4,0
),0)
-F93</f>
        <v>0</v>
      </c>
      <c r="G82" s="242"/>
      <c r="H82" s="365">
        <v>132</v>
      </c>
      <c r="I82" s="72" t="s">
        <v>442</v>
      </c>
      <c r="J82" s="362">
        <f>IFERROR(
HLOOKUP(
DATE(J$1,12,1),
Sheet_PhaiTra!$B$1:$XFD$9,Sheet_PhaiTra!$A$4,0
),
IFERROR(
HLOOKUP(
MAX(Sheet_PhaiTra!$D$1:$XFD$1),
Sheet_PhaiTra!$B$1:$XFD$9,Sheet_PhaiTra!$A$4,0
),
0))
-J93</f>
        <v>629803</v>
      </c>
      <c r="K82" s="362">
        <f>IFERROR(
HLOOKUP(
DATE(K$1,12,1),
Sheet_PhaiTra!$B$1:$XFD$9,Sheet_PhaiTra!$A$4,0
),
IFERROR(
HLOOKUP(
MAX(Sheet_PhaiTra!$D$1:$XFD$1),
Sheet_PhaiTra!$B$1:$XFD$9,Sheet_PhaiTra!$A$4,0
),
0))
-K93</f>
        <v>629803</v>
      </c>
      <c r="L82" s="242"/>
      <c r="M82" s="365">
        <v>132</v>
      </c>
      <c r="N82" s="72" t="s">
        <v>442</v>
      </c>
      <c r="O82" s="371">
        <f xml:space="preserve">
IFERROR(
HLOOKUP(
O$1,Sheet_PhaiTra!$B$1:$XFD$9,Sheet_PhaiTra!$A$4,0
),0)
-O93</f>
        <v>0</v>
      </c>
      <c r="P82" s="371">
        <f xml:space="preserve">
IFERROR(
HLOOKUP(
P$1,Sheet_PhaiTra!$B$1:$XFD$9,Sheet_PhaiTra!$A$4,0
),0)
-P93</f>
        <v>0</v>
      </c>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44"/>
    </row>
    <row r="83" spans="1:39" ht="18" customHeight="1" outlineLevel="3" x14ac:dyDescent="0.15">
      <c r="A83" s="242">
        <f t="shared" si="1"/>
        <v>80</v>
      </c>
      <c r="B83" s="365">
        <v>133</v>
      </c>
      <c r="C83" s="72" t="s">
        <v>443</v>
      </c>
      <c r="D83" s="362">
        <f>Sheet_PhaiTra!D8-D94</f>
        <v>0</v>
      </c>
      <c r="E83" s="362">
        <f>IFERROR(
IF(BCTC_Thang = 1,
HLOOKUP(
DATE(BCTC_Nam-1,12,1),Sheet_PhaiTra!$B$1:$XFD$9,Sheet_PhaiTra!$A$8,0
),
HLOOKUP(
DATE(BCTC_Nam,BCTC_Thang-1,1),Sheet_PhaiTra!$B$1:$XFD$9,Sheet_PhaiTra!$A$8,0
)),0)
-E94</f>
        <v>0</v>
      </c>
      <c r="F83" s="371">
        <f>IFERROR(
HLOOKUP(
DATE(BCTC_Nam,BCTC_Thang,1),Sheet_PhaiTra!$B$1:$XFD$9,Sheet_PhaiTra!$A$8,0
),0)
-F94</f>
        <v>0</v>
      </c>
      <c r="G83" s="242"/>
      <c r="H83" s="365">
        <v>133</v>
      </c>
      <c r="I83" s="72" t="s">
        <v>443</v>
      </c>
      <c r="J83" s="362">
        <f>IFERROR(
HLOOKUP(
DATE(J$1,12,1),
Sheet_PhaiTra!$B$1:$XFD$9,Sheet_PhaiTra!$A$8,0
),
IFERROR(
HLOOKUP(
MAX(Sheet_PhaiTra!$D$1:$XFD$1),
Sheet_PhaiTra!$B$1:$XFD$9,Sheet_PhaiTra!$A$8,0
),
0))
-J94</f>
        <v>0</v>
      </c>
      <c r="K83" s="362">
        <f>IFERROR(
HLOOKUP(
DATE(K$1,12,1),
Sheet_PhaiTra!$B$1:$XFD$9,Sheet_PhaiTra!$A$8,0
),
IFERROR(
HLOOKUP(
MAX(Sheet_PhaiTra!$D$1:$XFD$1),
Sheet_PhaiTra!$B$1:$XFD$9,Sheet_PhaiTra!$A$8,0
),
0))
-K94</f>
        <v>0</v>
      </c>
      <c r="L83" s="242"/>
      <c r="M83" s="365">
        <v>133</v>
      </c>
      <c r="N83" s="72" t="s">
        <v>443</v>
      </c>
      <c r="O83" s="371">
        <f xml:space="preserve">
IFERROR(
HLOOKUP(
O$1,Sheet_PhaiTra!$B$1:$XFD$9,Sheet_PhaiTra!$A$8,0
),0)
-O94</f>
        <v>0</v>
      </c>
      <c r="P83" s="371">
        <f xml:space="preserve">
IFERROR(
HLOOKUP(
P$1,Sheet_PhaiTra!$B$1:$XFD$9,Sheet_PhaiTra!$A$8,0
),0)
-P94</f>
        <v>0</v>
      </c>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44"/>
    </row>
    <row r="84" spans="1:39" ht="18" customHeight="1" outlineLevel="3" x14ac:dyDescent="0.15">
      <c r="A84" s="242">
        <f t="shared" si="1"/>
        <v>81</v>
      </c>
      <c r="B84" s="365">
        <v>135</v>
      </c>
      <c r="C84" s="72" t="s">
        <v>444</v>
      </c>
      <c r="D84" s="362">
        <v>0</v>
      </c>
      <c r="E84" s="362" cm="1">
        <f t="array" ref="E84">Table_BCTC[[#This Row],[Đầu kỳ]]+
+IFERROR(
SUM(_xlfn._xlws.FILTER(Table_DauTu_LichThu[Nhận lãi],
(Table_DauTu_LichThu[Kỳ] &lt; DATE(BCTC_Nam, BCTC_Thang,1))
)),0)
+IFERROR(
SUM(_xlfn._xlws.FILTER(Table_LaiKhac[Giá trị],
(NOT(ISBLANK(Table_LaiKhac[Tháng])))*
(Table_LaiKhac[Kỳ]&lt;DATE(BCTC_Nam,BCTC_Thang,1))*
(Table_LaiKhac[Phân loại]="Lãi lỗ đầu tư, cho vay")
)),0)
+IFERROR(
SUMPRODUCT(
_xlfn._xlws.FILTER(Table_LaiKhac[Giá trị],
(Table_LaiKhac[Phân loại] ="Lãi lỗ đầu tư, cho vay")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="Lãi lỗ đầu tư, cho vay") *
(Table_LaiKhac[Phân bổ từ] &lt; DATE(BCTC_Nam,BCTC_Thang,1))*
(Table_LaiKhac[Phân bổ đến] &gt; DATE(BCTC_Nam,BCTC_Thang-1,1))
),
1/_xlfn._xlws.FILTER(ROUND((Table_LaiKhac[Phân bổ đến]-Table_LaiKhac[Phân bổ từ])/(365.25/12),0),
(ISBLANK(Table_LaiKhac[Tháng]))*
(Table_LaiKhac[Phân loại] ="Lãi lỗ đầu tư, cho vay") *
(Table_LaiKhac[Phân bổ từ] &lt; DATE(BCTC_Nam,BCTC_Thang,1))*
(Table_LaiKhac[Phân bổ đến] &gt; DATE(BCTC_Nam,BCTC_Thang-1,1))
)),0)
-IFERROR(
SUM(_xlfn._xlws.FILTER(Table_ThuChiTC[Giá trị GD],
(Table_ThuChiTC[Loại GD] = "THU") *
(Table_ThuChiTC[Nội dung GD] = Sheet_ThuChiTC!$F$7) *
(NOT(ISBLANK(Table_ThuChiTC[Ngày đáo hạn]))) *
(Table_ThuChiTC[Ngày đáo hạn]&lt;&gt;0)*
(Table_ThuChiTC[Ngày GD] &lt; DATE(BCTC_Nam, BCTC_Thang,1))
)),0)
+IFERROR(
SUM(_xlfn._xlws.FILTER(Table_ThuChiTC[Giá trị GD],
(Table_ThuChiTC[Loại GD] = "CHI") *
(Table_ThuChiTC[Nội dung GD] = Sheet_ThuChiTC!$F$7) *
(NOT(ISBLANK(Table_ThuChiTC[Ngày đáo hạn]))) *
(Table_ThuChiTC[Ngày đáo hạn]&lt;&gt;0)*
(Table_ThuChiTC[Ngày GD] &lt; DATE(BCTC_Nam, BCTC_Thang,1))
)),0)</f>
        <v>0</v>
      </c>
      <c r="F84" s="371" cm="1">
        <f t="array" ref="F84">Table_BCTC[[#This Row],[Đầu kỳ]]+
+IFERROR(
SUM(_xlfn._xlws.FILTER(Table_DauTu_LichThu[Nhận lãi],
(Table_DauTu_LichThu[Kỳ] &lt; DATE(BCTC_Nam, BCTC_Thang+1,1))
)),0)
+IFERROR(
SUM(_xlfn._xlws.FILTER(Table_LaiKhac[Giá trị],
(NOT(ISBLANK(Table_LaiKhac[Tháng])))*
(Table_LaiKhac[Kỳ]&lt;DATE(BCTC_Nam,BCTC_Thang+1,1))*
(Table_LaiKhac[Phân loại]="Lãi lỗ đầu tư, cho vay")
)),0)
+IFERROR(
SUMPRODUCT(
_xlfn._xlws.FILTER(Table_LaiKhac[Giá trị],
(Table_LaiKhac[Phân loại] ="Lãi lỗ đầu tư, cho vay") *
(ISBLANK(Table_LaiKhac[Tháng]))*
(Table_LaiKhac[Phân bổ từ] &lt; DATE(BCTC_Nam,BCTC_Thang+1,1))*
(Table_LaiKhac[Phân bổ đến] &gt; DATE(BCTC_Nam,BCTC_Thang,1))
),
_xlfn._xlws.FILTER(ROUND((DATE(BCTC_Nam,BCTC_Thang+1,1)-1-Table_LaiKhac[Phân bổ từ])/(365.25/12),0),
(ISBLANK(Table_LaiKhac[Tháng]))*
(Table_LaiKhac[Phân loại] ="Lãi lỗ đầu tư, cho vay") *
(Table_LaiKhac[Phân bổ từ] &lt; DATE(BCTC_Nam,BCTC_Thang+1,1))*
(Table_LaiKhac[Phân bổ đến] &gt; DATE(BCTC_Nam,BCTC_Thang,1))
),
1/_xlfn._xlws.FILTER(ROUND((Table_LaiKhac[Phân bổ đến]-Table_LaiKhac[Phân bổ từ])/(365.25/12),0),
(ISBLANK(Table_LaiKhac[Tháng]))*
(Table_LaiKhac[Phân loại] ="Lãi lỗ đầu tư, cho vay") *
(Table_LaiKhac[Phân bổ từ] &lt; DATE(BCTC_Nam,BCTC_Thang+1,1))*
(Table_LaiKhac[Phân bổ đến] &gt; DATE(BCTC_Nam,BCTC_Thang,1))
)),0)
-IFERROR(
SUM(_xlfn._xlws.FILTER(Table_ThuChiTC[Giá trị GD],
(Table_ThuChiTC[Loại GD] = "THU") *
(Table_ThuChiTC[Nội dung GD] = Sheet_ThuChiTC!$F$7) *
(NOT(ISBLANK(Table_ThuChiTC[Ngày đáo hạn]))) *
(Table_ThuChiTC[Ngày đáo hạn]&lt;&gt;0)*
(Table_ThuChiTC[Ngày GD] &lt; DATE(BCTC_Nam, BCTC_Thang+1,1))
)),0)
+IFERROR(
SUM(_xlfn._xlws.FILTER(Table_ThuChiTC[Giá trị GD],
(Table_ThuChiTC[Loại GD] = "CHI") *
(Table_ThuChiTC[Nội dung GD] = Sheet_ThuChiTC!$F$7) *
(NOT(ISBLANK(Table_ThuChiTC[Ngày đáo hạn]))) *
(Table_ThuChiTC[Ngày đáo hạn]&lt;&gt;0)*
(Table_ThuChiTC[Ngày GD] &lt; DATE(BCTC_Nam, BCTC_Thang+1,1))
)),0)</f>
        <v>0</v>
      </c>
      <c r="G84" s="242"/>
      <c r="H84" s="365">
        <v>135</v>
      </c>
      <c r="I84" s="72" t="s">
        <v>444</v>
      </c>
      <c r="J84" s="362" cm="1">
        <f t="array" ref="J84" xml:space="preserve">
Table_BCTC[[#This Row],[Đầu kỳ]]
+IFERROR(
SUM(
_xlfn._xlws.FILTER(Table_DauTu_LichThu[Nhận lãi],
(Table_DauTu_LichThu[Năm] &lt;= J$1)
)),
0)
+IFERROR(
SUM(
_xlfn._xlws.FILTER(Table_LaiKhac[Giá trị],
(NOT(ISBLANK(Table_LaiKhac[Tháng])))*
(Table_LaiKhac[Kỳ]&lt;DATE(J$1+1, 1,1))*
(Table_LaiKhac[Phân loại]="Lãi lỗ đầu tư, cho vay")
)),
0)
+IFERROR(
SUMPRODUCT(
_xlfn._xlws.FILTER(Table_LaiKhac[Giá trị],
(Table_LaiKhac[Phân loại] ="Lãi lỗ đầu tư, cho vay") *
(ISBLANK(Table_LaiKhac[Tháng]))*
(Table_LaiKhac[Phân bổ từ] &lt; DATE(J$1+1, 1,1))*
(Table_LaiKhac[Phân bổ đến] &gt; DATE(J$1, 1,1))
),
_xlfn._xlws.FILTER(
ROUND(
(
IF(
DATE(J$1+1,1,1)-1 &gt;
Table_LaiKhac[Phân bổ đến],
Table_LaiKhac[Phân bổ đến],
DATE(J$1+1,1,1)-1
)
-IF(
DATE(J$1,1,1) &gt;
Table_LaiKhac[Phân bổ từ],
DATE(J$1,1,1),
Table_LaiKhac[Phân bổ từ]
)
) /(365.25/12),
0),
(ISBLANK(Table_LaiKhac[Tháng]))*
(Table_LaiKhac[Phân loại] ="Lãi lỗ đầu tư, cho vay") *
(Table_LaiKhac[Phân bổ từ] &lt; DATE(J$1+1, 1,1))*
(Table_LaiKhac[Phân bổ đến] &gt; DATE(J$1, 1,1))
),
1/_xlfn._xlws.FILTER(
ROUND(
(Table_LaiKhac[Phân bổ đến]-Table_LaiKhac[Phân bổ từ])
/(365.25/12),0),
(ISBLANK(Table_LaiKhac[Tháng]))*
(Table_LaiKhac[Phân loại] ="Lãi lỗ đầu tư, cho vay") *
(Table_LaiKhac[Phân bổ từ] &lt; DATE(J$1+1, 1,1))*
(Table_LaiKhac[Phân bổ đến] &gt; DATE(J$1,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DATE(J$1+1,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DATE(J$1+1, 1,1))
)),
0)</f>
        <v>0</v>
      </c>
      <c r="K84" s="362" cm="1">
        <f t="array" ref="K84" xml:space="preserve">
Table_BCTC[[#This Row],[Đầu kỳ]]
+IFERROR(
SUM(
_xlfn._xlws.FILTER(Table_DauTu_LichThu[Nhận lãi],
(Table_DauTu_LichThu[Năm] &lt;= K$1)
)),
0)
+IFERROR(
SUM(
_xlfn._xlws.FILTER(Table_LaiKhac[Giá trị],
(NOT(ISBLANK(Table_LaiKhac[Tháng])))*
(Table_LaiKhac[Kỳ]&lt;DATE(K$1+1, 1,1))*
(Table_LaiKhac[Phân loại]="Lãi lỗ đầu tư, cho vay")
)),
0)
+IFERROR(
SUMPRODUCT(
_xlfn._xlws.FILTER(Table_LaiKhac[Giá trị],
(Table_LaiKhac[Phân loại] ="Lãi lỗ đầu tư, cho vay") *
(ISBLANK(Table_LaiKhac[Tháng]))*
(Table_LaiKhac[Phân bổ từ] &lt; DATE(K$1+1, 1,1))*
(Table_LaiKhac[Phân bổ đến] &gt; DATE(K$1, 1,1))
),
_xlfn._xlws.FILTER(
ROUND(
(
IF(
DATE(K$1+1,1,1)-1 &gt;
Table_LaiKhac[Phân bổ đến],
Table_LaiKhac[Phân bổ đến],
DATE(K$1+1,1,1)-1
)
-IF(
DATE(K$1,1,1) &gt;
Table_LaiKhac[Phân bổ từ],
DATE(K$1,1,1),
Table_LaiKhac[Phân bổ từ]
)
) /(365.25/12),
0),
(ISBLANK(Table_LaiKhac[Tháng]))*
(Table_LaiKhac[Phân loại] ="Lãi lỗ đầu tư, cho vay") *
(Table_LaiKhac[Phân bổ từ] &lt; DATE(K$1+1, 1,1))*
(Table_LaiKhac[Phân bổ đến] &gt; DATE(K$1, 1,1))
),
1/_xlfn._xlws.FILTER(
ROUND(
(Table_LaiKhac[Phân bổ đến]-Table_LaiKhac[Phân bổ từ])
/(365.25/12),0),
(ISBLANK(Table_LaiKhac[Tháng]))*
(Table_LaiKhac[Phân loại] ="Lãi lỗ đầu tư, cho vay") *
(Table_LaiKhac[Phân bổ từ] &lt; DATE(K$1+1, 1,1))*
(Table_LaiKhac[Phân bổ đến] &gt; DATE(K$1,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DATE(K$1+1,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DATE(K$1+1, 1,1))
)),
0)</f>
        <v>0</v>
      </c>
      <c r="L84" s="242"/>
      <c r="M84" s="365">
        <v>135</v>
      </c>
      <c r="N84" s="72" t="s">
        <v>444</v>
      </c>
      <c r="O84" s="374" cm="1">
        <f t="array" aca="1" ref="O84" ca="1">Table_BCTC[[#This Row],[Đầu kỳ]]
+IFERROR(
SUM(
_xlfn._xlws.FILTER(Table_DauTu_LichThu[Nhận lãi],
(Table_DauTu_LichThu[Kỳ] &lt; DATE(YEAR(O$1), MONTH(O$1)+1,1))
)),
0)
+IFERROR(
SUM(
_xlfn._xlws.FILTER(Table_LaiKhac[Giá trị],
(NOT(ISBLANK(Table_LaiKhac[Tháng])))*
(Table_LaiKhac[Kỳ]&lt;DATE(YEAR(O$1), MONTH(O$1)+1,1))*
(Table_LaiKhac[Phân loại]="Lãi lỗ đầu tư, cho vay")
)),
0)
+IFERROR(
SUMPRODUCT(
_xlfn._xlws.FILTER(Table_LaiKhac[Giá trị],
(Table_LaiKhac[Phân loại] ="Lãi lỗ đầu tư, cho vay") *
(ISBLANK(Table_LaiKhac[Tháng]))*
(Table_LaiKhac[Phân bổ từ] &lt; DATE(YEAR(O$1), MONTH(O$1)+1,1))*
(Table_LaiKhac[Phân bổ đến] &gt; O$1)
),
_xlfn._xlws.FILTER(
ROUND(
(DATE(YEAR(O$1), MONTH(O$1)+1,1)-1-Table_LaiKhac[Phân bổ từ])
/(365.25/12),
0),
(ISBLANK(Table_LaiKhac[Tháng]))*
(Table_LaiKhac[Phân loại] ="Lãi lỗ đầu tư, cho vay") *
(Table_LaiKhac[Phân bổ từ] &lt; DATE(YEAR(O$1), MONTH(O$1)+1,1))*
(Table_LaiKhac[Phân bổ đến] &gt; O$1)
),
1/_xlfn._xlws.FILTER(
ROUND(
(Table_LaiKhac[Phân bổ đến]-Table_LaiKhac[Phân bổ từ])
/(365.25/12),0),
(ISBLANK(Table_LaiKhac[Tháng]))*
(Table_LaiKhac[Phân loại] ="Lãi lỗ đầu tư, cho vay") *
(Table_LaiKhac[Phân bổ từ] &lt; DATE(YEAR(O$1), MONTH(O$1)+1,1))*
(Table_LaiKhac[Phân bổ đến] &gt; O$1)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DATE(BYEAR(O$1), MONTH(O$1)+1,1))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DATE(YEAR(O$1), MONTH(O$1)+1,1))
)),
0)</f>
        <v>0</v>
      </c>
      <c r="P84" s="374" cm="1">
        <f t="array" aca="1" ref="P84" ca="1">Table_BCTC[[#This Row],[Đầu kỳ]]
+IFERROR(
SUM(
_xlfn._xlws.FILTER(Table_DauTu_LichThu[Nhận lãi],
(Table_DauTu_LichThu[Kỳ] &lt; DATE(YEAR(P$1), MONTH(P$1)+1,1))
)),
0)
+IFERROR(
SUM(
_xlfn._xlws.FILTER(Table_LaiKhac[Giá trị],
(NOT(ISBLANK(Table_LaiKhac[Tháng])))*
(Table_LaiKhac[Kỳ]&lt;DATE(YEAR(P$1), MONTH(P$1)+1,1))*
(Table_LaiKhac[Phân loại]="Lãi lỗ đầu tư, cho vay")
)),
0)
+IFERROR(
SUMPRODUCT(
_xlfn._xlws.FILTER(Table_LaiKhac[Giá trị],
(Table_LaiKhac[Phân loại] ="Lãi lỗ đầu tư, cho vay") *
(ISBLANK(Table_LaiKhac[Tháng]))*
(Table_LaiKhac[Phân bổ từ] &lt; DATE(YEAR(P$1), MONTH(P$1)+1,1))*
(Table_LaiKhac[Phân bổ đến] &gt; P$1)
),
_xlfn._xlws.FILTER(
ROUND(
(DATE(YEAR(P$1), MONTH(P$1)+1,1)-1-Table_LaiKhac[Phân bổ từ])
/(365.25/12),
0),
(ISBLANK(Table_LaiKhac[Tháng]))*
(Table_LaiKhac[Phân loại] ="Lãi lỗ đầu tư, cho vay") *
(Table_LaiKhac[Phân bổ từ] &lt; DATE(YEAR(P$1), MONTH(P$1)+1,1))*
(Table_LaiKhac[Phân bổ đến] &gt; P$1)
),
1/_xlfn._xlws.FILTER(
ROUND(
(Table_LaiKhac[Phân bổ đến]-Table_LaiKhac[Phân bổ từ])
/(365.25/12),0),
(ISBLANK(Table_LaiKhac[Tháng]))*
(Table_LaiKhac[Phân loại] ="Lãi lỗ đầu tư, cho vay") *
(Table_LaiKhac[Phân bổ từ] &lt; DATE(YEAR(P$1), MONTH(P$1)+1,1))*
(Table_LaiKhac[Phân bổ đến] &gt; P$1)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DATE(BYEAR(P$1), MONTH(P$1)+1,1))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DATE(YEAR(P$1), MONTH(P$1)+1,1))
)),
0)</f>
        <v>0</v>
      </c>
      <c r="Q84" s="265"/>
      <c r="R84" s="265"/>
      <c r="S84" s="265"/>
      <c r="T84" s="265"/>
      <c r="U84" s="265"/>
      <c r="V84" s="265"/>
      <c r="W84" s="265"/>
      <c r="X84" s="265"/>
      <c r="Y84" s="265"/>
      <c r="Z84" s="265"/>
      <c r="AA84" s="265"/>
      <c r="AB84" s="265"/>
      <c r="AC84" s="265"/>
      <c r="AD84" s="265"/>
      <c r="AE84" s="265"/>
      <c r="AF84" s="265"/>
      <c r="AG84" s="265"/>
      <c r="AH84" s="265"/>
      <c r="AI84" s="265"/>
      <c r="AJ84" s="265"/>
      <c r="AK84" s="265"/>
      <c r="AL84" s="265"/>
      <c r="AM84" s="244"/>
    </row>
    <row r="85" spans="1:39" ht="18" customHeight="1" outlineLevel="3" x14ac:dyDescent="0.15">
      <c r="A85" s="242">
        <f t="shared" si="1"/>
        <v>82</v>
      </c>
      <c r="B85" s="365" t="s">
        <v>445</v>
      </c>
      <c r="C85" s="72" t="s">
        <v>446</v>
      </c>
      <c r="D85" s="362">
        <v>0</v>
      </c>
      <c r="E85" s="362" cm="1">
        <f t="array" ref="E85" xml:space="preserve">
-IF(BCTC_Thang = 1,
IFERROR(
SUM(_xlfn._xlws.FILTER(Table_DuPhong[Dự phòng lũy kế],
(Table_DuPhong[Kỳ]= DATE(BCTC_Nam-1, 12, 1))
)),0),
IFERROR(
SUM(_xlfn._xlws.FILTER(Table_DuPhong[Dự phòng lũy kế],
(Table_DuPhong[Kỳ]= DATE(BCTC_Nam, BCTC_Thang -1, 1))
)),0))</f>
        <v>0</v>
      </c>
      <c r="F85" s="363" cm="1">
        <f t="array" ref="F85" xml:space="preserve">
-IFERROR(
SUM(_xlfn._xlws.FILTER(Table_DuPhong[Dự phòng lũy kế],
(Table_DuPhong[Kỳ]= DATE(BCTC_Nam, BCTC_Thang, 1))
)),0)</f>
        <v>0</v>
      </c>
      <c r="G85" s="242"/>
      <c r="H85" s="365" t="s">
        <v>445</v>
      </c>
      <c r="I85" s="72" t="s">
        <v>446</v>
      </c>
      <c r="J85" s="362" cm="1">
        <f t="array" ref="J85" xml:space="preserve">
IFERROR(
SUM(
_xlfn._xlws.FILTER(Table_DuPhong[Dự phòng lũy kế],
(Table_DuPhong[Kỳ]= DATE(J$1,12,1))
)),
IFERROR(
SUM(
_xlfn._xlws.FILTER(Table_DuPhong[Dự phòng lũy kế],
(Table_DuPhong[Kỳ]= MAX(Table_DuPhong[Kỳ]))
)),
0)
)</f>
        <v>300000</v>
      </c>
      <c r="K85" s="362" cm="1">
        <f t="array" ref="K85" xml:space="preserve">
IFERROR(
SUM(
_xlfn._xlws.FILTER(Table_DuPhong[Dự phòng lũy kế],
(Table_DuPhong[Kỳ]= DATE(K$1,12,1))
)),
IFERROR(
SUM(
_xlfn._xlws.FILTER(Table_DuPhong[Dự phòng lũy kế],
(Table_DuPhong[Kỳ]= MAX(Table_DuPhong[Kỳ]))
)),
0)
)</f>
        <v>300000</v>
      </c>
      <c r="L85" s="242"/>
      <c r="M85" s="365" t="s">
        <v>445</v>
      </c>
      <c r="N85" s="72" t="s">
        <v>446</v>
      </c>
      <c r="O85" s="363" cm="1">
        <f t="array" ref="O85" xml:space="preserve">
-IFERROR(
SUM(_xlfn._xlws.FILTER(Table_DuPhong[Dự phòng lũy kế],
(Table_DuPhong[Kỳ]= O$1)
)),0)</f>
        <v>0</v>
      </c>
      <c r="P85" s="363" cm="1">
        <f t="array" ref="P85" xml:space="preserve">
-IFERROR(
SUM(_xlfn._xlws.FILTER(Table_DuPhong[Dự phòng lũy kế],
(Table_DuPhong[Kỳ]= P$1)
)),0)</f>
        <v>0</v>
      </c>
      <c r="Q85" s="265"/>
      <c r="R85" s="265"/>
      <c r="S85" s="265"/>
      <c r="T85" s="265"/>
      <c r="U85" s="265"/>
      <c r="V85" s="265"/>
      <c r="W85" s="265"/>
      <c r="X85" s="265"/>
      <c r="Y85" s="265"/>
      <c r="Z85" s="265"/>
      <c r="AA85" s="265"/>
      <c r="AB85" s="265"/>
      <c r="AC85" s="265"/>
      <c r="AD85" s="265"/>
      <c r="AE85" s="265"/>
      <c r="AF85" s="265"/>
      <c r="AG85" s="265"/>
      <c r="AH85" s="265"/>
      <c r="AI85" s="265"/>
      <c r="AJ85" s="265"/>
      <c r="AK85" s="265"/>
      <c r="AL85" s="265"/>
      <c r="AM85" s="244"/>
    </row>
    <row r="86" spans="1:39" ht="18" customHeight="1" outlineLevel="2" x14ac:dyDescent="0.15">
      <c r="A86" s="242">
        <f t="shared" si="1"/>
        <v>83</v>
      </c>
      <c r="B86" s="259">
        <v>140</v>
      </c>
      <c r="C86" s="73" t="s">
        <v>447</v>
      </c>
      <c r="D86" s="244">
        <f>+SUM(D87:D88)</f>
        <v>0</v>
      </c>
      <c r="E86" s="244">
        <f>+SUM(E87:E88)</f>
        <v>0</v>
      </c>
      <c r="F86" s="244">
        <f>+SUM(F87:F88)</f>
        <v>0</v>
      </c>
      <c r="G86" s="242"/>
      <c r="H86" s="259">
        <v>140</v>
      </c>
      <c r="I86" s="73" t="s">
        <v>447</v>
      </c>
      <c r="J86" s="244">
        <f>+SUM(J87:J88)</f>
        <v>51977550.321573563</v>
      </c>
      <c r="K86" s="244">
        <f>+SUM(K87:K88)</f>
        <v>51977550.321573563</v>
      </c>
      <c r="L86" s="242"/>
      <c r="M86" s="259">
        <v>140</v>
      </c>
      <c r="N86" s="73" t="s">
        <v>447</v>
      </c>
      <c r="O86" s="244">
        <f>+SUM(O87:O88)</f>
        <v>0</v>
      </c>
      <c r="P86" s="244">
        <f>+SUM(P87:P88)</f>
        <v>0</v>
      </c>
      <c r="Q86" s="265"/>
      <c r="R86" s="265"/>
      <c r="S86" s="265"/>
      <c r="T86" s="265"/>
      <c r="U86" s="265"/>
      <c r="V86" s="265"/>
      <c r="W86" s="265"/>
      <c r="X86" s="265"/>
      <c r="Y86" s="265"/>
      <c r="Z86" s="265"/>
      <c r="AA86" s="265"/>
      <c r="AB86" s="265"/>
      <c r="AC86" s="265"/>
      <c r="AD86" s="265"/>
      <c r="AE86" s="265"/>
      <c r="AF86" s="265"/>
      <c r="AG86" s="265"/>
      <c r="AH86" s="265"/>
      <c r="AI86" s="265"/>
      <c r="AJ86" s="265"/>
      <c r="AK86" s="265"/>
      <c r="AL86" s="265"/>
      <c r="AM86" s="244"/>
    </row>
    <row r="87" spans="1:39" ht="18" customHeight="1" outlineLevel="3" x14ac:dyDescent="0.15">
      <c r="A87" s="242">
        <f t="shared" si="1"/>
        <v>84</v>
      </c>
      <c r="B87" s="365" t="s">
        <v>448</v>
      </c>
      <c r="C87" s="72" t="s">
        <v>449</v>
      </c>
      <c r="D87" s="371" cm="1">
        <f t="array" ref="D87" xml:space="preserve">
IFERROR(
SUM(_xlfn._xlws.FILTER(Table_Main[Giá trị hàng nhập],
(Table_Main[Đơn Mua] = "TONKHODAU")
)), 0)</f>
        <v>0</v>
      </c>
      <c r="E87" s="363" cm="1">
        <f t="array" ref="E87" xml:space="preserve">
IF(BCTC_Thang = 1,
IFERROR(
SUM(_xlfn._xlws.FILTER(Table_TonKho[Giá trị cuối kỳ],
Table_TonKho[Kỳ] = DATE(BCTC_Nam-1,12,1)
)), 0),
IFERROR(
SUM(_xlfn._xlws.FILTER(Table_TonKho[Giá trị cuối kỳ],
Table_TonKho[Kỳ] = DATE(BCTC_Nam,BCTC_Thang-1,1)
)), 0))</f>
        <v>0</v>
      </c>
      <c r="F87" s="363" cm="1">
        <f t="array" ref="F87" xml:space="preserve">
IFERROR(
SUM(_xlfn._xlws.FILTER(Table_TonKho[Giá trị cuối kỳ],
Table_TonKho[Kỳ] = DATE(BCTC_Nam,BCTC_Thang,1)
)), 0)</f>
        <v>0</v>
      </c>
      <c r="G87" s="242"/>
      <c r="H87" s="365" t="s">
        <v>448</v>
      </c>
      <c r="I87" s="72" t="s">
        <v>449</v>
      </c>
      <c r="J87" s="363" cm="1">
        <f t="array" ref="J87">IFERROR(
SUM(
_xlfn._xlws.FILTER(Table_TonKho[Giá trị cuối kỳ],
Table_TonKho[Kỳ] = DATE(J$1,12,1)
)),
IFERROR(
SUM(
_xlfn._xlws.FILTER(Table_TonKho[Giá trị cuối kỳ],
Table_TonKho[Kỳ] = MAX(Table_TonKho[Kỳ])
)),
0)
)</f>
        <v>48256476.901479587</v>
      </c>
      <c r="K87" s="363" cm="1">
        <f t="array" ref="K87">IFERROR(
SUM(
_xlfn._xlws.FILTER(Table_TonKho[Giá trị cuối kỳ],
Table_TonKho[Kỳ] = DATE(K$1,12,1)
)),
IFERROR(
SUM(
_xlfn._xlws.FILTER(Table_TonKho[Giá trị cuối kỳ],
Table_TonKho[Kỳ] = MAX(Table_TonKho[Kỳ])
)),
0)
)</f>
        <v>48256476.901479587</v>
      </c>
      <c r="L87" s="242"/>
      <c r="M87" s="365" t="s">
        <v>448</v>
      </c>
      <c r="N87" s="72" t="s">
        <v>449</v>
      </c>
      <c r="O87" s="363" cm="1">
        <f t="array" ref="O87" xml:space="preserve">
IFERROR(
SUM(_xlfn._xlws.FILTER(Table_TonKho[Giá trị cuối kỳ],
Table_TonKho[Kỳ] = O$1)), 0)</f>
        <v>0</v>
      </c>
      <c r="P87" s="363" cm="1">
        <f t="array" ref="P87" xml:space="preserve">
IFERROR(
SUM(_xlfn._xlws.FILTER(Table_TonKho[Giá trị cuối kỳ],
Table_TonKho[Kỳ] = P$1)), 0)</f>
        <v>0</v>
      </c>
      <c r="Q87" s="265"/>
      <c r="R87" s="265"/>
      <c r="S87" s="265"/>
      <c r="T87" s="265"/>
      <c r="U87" s="265"/>
      <c r="V87" s="265"/>
      <c r="W87" s="265"/>
      <c r="X87" s="265"/>
      <c r="Y87" s="265"/>
      <c r="Z87" s="265"/>
      <c r="AA87" s="265"/>
      <c r="AB87" s="265"/>
      <c r="AC87" s="265"/>
      <c r="AD87" s="265"/>
      <c r="AE87" s="265"/>
      <c r="AF87" s="265"/>
      <c r="AG87" s="265"/>
      <c r="AH87" s="265"/>
      <c r="AI87" s="265"/>
      <c r="AJ87" s="265"/>
      <c r="AK87" s="265"/>
      <c r="AL87" s="265"/>
      <c r="AM87" s="244"/>
    </row>
    <row r="88" spans="1:39" ht="18" customHeight="1" outlineLevel="3" x14ac:dyDescent="0.15">
      <c r="A88" s="242">
        <f t="shared" si="1"/>
        <v>85</v>
      </c>
      <c r="B88" s="365" t="s">
        <v>450</v>
      </c>
      <c r="C88" s="72" t="s">
        <v>451</v>
      </c>
      <c r="D88" s="371">
        <v>0</v>
      </c>
      <c r="E88" s="363" cm="1">
        <f t="array" ref="E88" xml:space="preserve">
-IF(BCTC_Thang = 1,
IFERROR(
SUM(_xlfn._xlws.FILTER(Table_TonKho[Dự phòng lũy kế],
(Table_TonKho[Kỳ]= DATE(BCTC_Nam-1, 12, 1))
)),0),
IFERROR(
SUM(_xlfn._xlws.FILTER(Table_TonKho[Dự phòng lũy kế],
(Table_TonKho[Kỳ]= DATE(BCTC_Nam, BCTC_Thang -1, 1))
)),0))</f>
        <v>0</v>
      </c>
      <c r="F88" s="363" cm="1">
        <f t="array" ref="F88" xml:space="preserve">
-IFERROR(
SUM(_xlfn._xlws.FILTER(Table_TonKho[Dự phòng lũy kế],
(Table_TonKho[Kỳ]= DATE(BCTC_Nam, BCTC_Thang, 1))
)),0)</f>
        <v>0</v>
      </c>
      <c r="G88" s="242"/>
      <c r="H88" s="365" t="s">
        <v>450</v>
      </c>
      <c r="I88" s="72" t="s">
        <v>451</v>
      </c>
      <c r="J88" s="363" cm="1">
        <f t="array" ref="J88">-IFERROR(
SUM(
_xlfn._xlws.FILTER(Table_TonKho[Dự phòng lũy kế],
(Table_TonKho[Kỳ]= DATE(J$1,12,1))
)),
-IFERROR(
SUM(
_xlfn._xlws.FILTER(Table_TonKho[Dự phòng lũy kế],
(Table_TonKho[Kỳ]= MAX(Table_TonKho[Kỳ]))
)),
0)
)</f>
        <v>3721073.420093975</v>
      </c>
      <c r="K88" s="363" cm="1">
        <f t="array" ref="K88">-IFERROR(
SUM(
_xlfn._xlws.FILTER(Table_TonKho[Dự phòng lũy kế],
(Table_TonKho[Kỳ]= DATE(K$1,12,1))
)),
-IFERROR(
SUM(
_xlfn._xlws.FILTER(Table_TonKho[Dự phòng lũy kế],
(Table_TonKho[Kỳ]= MAX(Table_TonKho[Kỳ]))
)),
0)
)</f>
        <v>3721073.420093975</v>
      </c>
      <c r="L88" s="242"/>
      <c r="M88" s="365" t="s">
        <v>450</v>
      </c>
      <c r="N88" s="72" t="s">
        <v>451</v>
      </c>
      <c r="O88" s="363" cm="1">
        <f t="array" ref="O88" xml:space="preserve">
-IFERROR(
SUM(_xlfn._xlws.FILTER(Table_TonKho[Dự phòng lũy kế],
(Table_TonKho[Kỳ]= O$1)
)),0)</f>
        <v>0</v>
      </c>
      <c r="P88" s="363" cm="1">
        <f t="array" ref="P88" xml:space="preserve">
-IFERROR(
SUM(_xlfn._xlws.FILTER(Table_TonKho[Dự phòng lũy kế],
(Table_TonKho[Kỳ]= P$1)
)),0)</f>
        <v>0</v>
      </c>
      <c r="Q88" s="265"/>
      <c r="R88" s="265"/>
      <c r="S88" s="265"/>
      <c r="T88" s="265"/>
      <c r="U88" s="265"/>
      <c r="V88" s="265"/>
      <c r="W88" s="265"/>
      <c r="X88" s="265"/>
      <c r="Y88" s="265"/>
      <c r="Z88" s="265"/>
      <c r="AA88" s="265"/>
      <c r="AB88" s="265"/>
      <c r="AC88" s="265"/>
      <c r="AD88" s="265"/>
      <c r="AE88" s="265"/>
      <c r="AF88" s="265"/>
      <c r="AG88" s="265"/>
      <c r="AH88" s="265"/>
      <c r="AI88" s="265"/>
      <c r="AJ88" s="265"/>
      <c r="AK88" s="265"/>
      <c r="AL88" s="265"/>
      <c r="AM88" s="244"/>
    </row>
    <row r="89" spans="1:39" ht="18" customHeight="1" outlineLevel="2" x14ac:dyDescent="0.15">
      <c r="A89" s="242">
        <f t="shared" si="1"/>
        <v>86</v>
      </c>
      <c r="B89" s="259">
        <v>150</v>
      </c>
      <c r="C89" s="73" t="s">
        <v>452</v>
      </c>
      <c r="D89" s="244">
        <v>0</v>
      </c>
      <c r="E89" s="244"/>
      <c r="F89" s="244"/>
      <c r="G89" s="242"/>
      <c r="H89" s="259">
        <v>150</v>
      </c>
      <c r="I89" s="73" t="s">
        <v>452</v>
      </c>
      <c r="J89" s="244"/>
      <c r="K89" s="244"/>
      <c r="L89" s="242"/>
      <c r="M89" s="259">
        <v>150</v>
      </c>
      <c r="N89" s="73" t="s">
        <v>452</v>
      </c>
      <c r="O89" s="244"/>
      <c r="P89" s="244"/>
      <c r="Q89" s="265"/>
      <c r="R89" s="265"/>
      <c r="S89" s="265"/>
      <c r="T89" s="265"/>
      <c r="U89" s="265"/>
      <c r="V89" s="265"/>
      <c r="W89" s="265"/>
      <c r="X89" s="265"/>
      <c r="Y89" s="265"/>
      <c r="Z89" s="265"/>
      <c r="AA89" s="265"/>
      <c r="AB89" s="265"/>
      <c r="AC89" s="265"/>
      <c r="AD89" s="265"/>
      <c r="AE89" s="265"/>
      <c r="AF89" s="265"/>
      <c r="AG89" s="265"/>
      <c r="AH89" s="265"/>
      <c r="AI89" s="265"/>
      <c r="AJ89" s="265"/>
      <c r="AK89" s="265"/>
      <c r="AL89" s="265"/>
      <c r="AM89" s="244"/>
    </row>
    <row r="90" spans="1:39" ht="18" customHeight="1" outlineLevel="1" x14ac:dyDescent="0.15">
      <c r="A90" s="242">
        <f t="shared" si="1"/>
        <v>87</v>
      </c>
      <c r="B90" s="372">
        <v>200</v>
      </c>
      <c r="C90" s="77" t="s">
        <v>453</v>
      </c>
      <c r="D90" s="373">
        <f>+D100+D99+D98+D95+D91</f>
        <v>8658472222.2222214</v>
      </c>
      <c r="E90" s="373">
        <f>+E100+E99+E98+E95+E91</f>
        <v>0</v>
      </c>
      <c r="F90" s="373">
        <f>+F100+F99+F98+F95+F91</f>
        <v>0</v>
      </c>
      <c r="G90" s="242"/>
      <c r="H90" s="372">
        <v>200</v>
      </c>
      <c r="I90" s="77" t="s">
        <v>453</v>
      </c>
      <c r="J90" s="373">
        <f>+J100+J99+J98+J95+J91</f>
        <v>0</v>
      </c>
      <c r="K90" s="373">
        <f>+K100+K99+K98+K95+K91</f>
        <v>0</v>
      </c>
      <c r="L90" s="242"/>
      <c r="M90" s="372">
        <v>200</v>
      </c>
      <c r="N90" s="77" t="s">
        <v>453</v>
      </c>
      <c r="O90" s="373">
        <f>+O100+O99+O98+O95+O91</f>
        <v>0</v>
      </c>
      <c r="P90" s="373">
        <f>+P100+P99+P98+P95+P91</f>
        <v>0</v>
      </c>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44"/>
    </row>
    <row r="91" spans="1:39" ht="18" customHeight="1" outlineLevel="2" x14ac:dyDescent="0.15">
      <c r="A91" s="242">
        <f t="shared" si="1"/>
        <v>88</v>
      </c>
      <c r="B91" s="259">
        <v>210</v>
      </c>
      <c r="C91" s="73" t="s">
        <v>454</v>
      </c>
      <c r="D91" s="244">
        <f>+SUM(D92:D94)</f>
        <v>0</v>
      </c>
      <c r="E91" s="244">
        <f>+SUM(E92:E94)</f>
        <v>0</v>
      </c>
      <c r="F91" s="244">
        <f>+SUM(F92:F94)</f>
        <v>0</v>
      </c>
      <c r="G91" s="242"/>
      <c r="H91" s="259">
        <v>210</v>
      </c>
      <c r="I91" s="73" t="s">
        <v>454</v>
      </c>
      <c r="J91" s="244">
        <f>+SUM(J92:J94)</f>
        <v>0</v>
      </c>
      <c r="K91" s="244">
        <f>+SUM(K92:K94)</f>
        <v>0</v>
      </c>
      <c r="L91" s="242"/>
      <c r="M91" s="259">
        <v>210</v>
      </c>
      <c r="N91" s="73" t="s">
        <v>454</v>
      </c>
      <c r="O91" s="244">
        <f>+SUM(O92:O94)</f>
        <v>0</v>
      </c>
      <c r="P91" s="244">
        <f>+SUM(P92:P94)</f>
        <v>0</v>
      </c>
      <c r="Q91" s="265"/>
      <c r="R91" s="265"/>
      <c r="S91" s="265"/>
      <c r="T91" s="265"/>
      <c r="U91" s="265"/>
      <c r="V91" s="265"/>
      <c r="W91" s="265"/>
      <c r="X91" s="265"/>
      <c r="Y91" s="265"/>
      <c r="Z91" s="265"/>
      <c r="AA91" s="265"/>
      <c r="AB91" s="265"/>
      <c r="AC91" s="265"/>
      <c r="AD91" s="265"/>
      <c r="AE91" s="265"/>
      <c r="AF91" s="265"/>
      <c r="AG91" s="265"/>
      <c r="AH91" s="265"/>
      <c r="AI91" s="265"/>
      <c r="AJ91" s="265"/>
      <c r="AK91" s="265"/>
      <c r="AL91" s="265"/>
      <c r="AM91" s="244"/>
    </row>
    <row r="92" spans="1:39" ht="18" customHeight="1" outlineLevel="3" x14ac:dyDescent="0.15">
      <c r="A92" s="242">
        <f t="shared" si="1"/>
        <v>89</v>
      </c>
      <c r="B92" s="365">
        <v>211</v>
      </c>
      <c r="C92" s="72" t="s">
        <v>455</v>
      </c>
      <c r="D92" s="362">
        <f>Sheet_PhaiThu!D3</f>
        <v>0</v>
      </c>
      <c r="E92" s="362">
        <f xml:space="preserve">
IFERROR(
IF(BCTC_Thang = 1,
HLOOKUP(
DATE(BCTC_Nam-1,12,1),Sheet_PhaiThu!$C$1:$XFD$5,Sheet_PhaiThu!$B$3,0
),
HLOOKUP(
DATE(BCTC_Nam,BCTC_Thang-1,1),Sheet_PhaiThu!$C$1:$XFD$5,Sheet_PhaiThu!$B$3,0
)),0)</f>
        <v>0</v>
      </c>
      <c r="F92" s="371">
        <f xml:space="preserve">
IFERROR(
HLOOKUP(
DATE(BCTC_Nam,BCTC_Thang,1),Sheet_PhaiThu!$C$1:$XFD$5,Sheet_PhaiThu!$B$3,0
),0)</f>
        <v>0</v>
      </c>
      <c r="G92" s="242"/>
      <c r="H92" s="365">
        <v>211</v>
      </c>
      <c r="I92" s="72" t="s">
        <v>455</v>
      </c>
      <c r="J92" s="362">
        <f>IFERROR(
HLOOKUP(
DATE(J$1,12,1),
Sheet_PhaiThu!$C$1:$XFD$5,Sheet_PhaiThu!$B$3,0
),
IFERROR(
HLOOKUP(
MAX(Sheet_PhaiThu!$D$1:$XFD$1),
Sheet_PhaiThu!$C$1:$XFD$5,Sheet_PhaiThu!$B$3,0
),
0))</f>
        <v>0</v>
      </c>
      <c r="K92" s="362">
        <f>IFERROR(
HLOOKUP(
DATE(K$1,12,1),
Sheet_PhaiThu!$C$1:$XFD$5,Sheet_PhaiThu!$B$3,0
),
IFERROR(
HLOOKUP(
MAX(Sheet_PhaiThu!$D$1:$XFD$1),
Sheet_PhaiThu!$C$1:$XFD$5,Sheet_PhaiThu!$B$3,0
),
0))</f>
        <v>0</v>
      </c>
      <c r="L92" s="242"/>
      <c r="M92" s="365">
        <v>211</v>
      </c>
      <c r="N92" s="72" t="s">
        <v>455</v>
      </c>
      <c r="O92" s="371">
        <f>IFERROR(
HLOOKUP(
O$1,Sheet_PhaiThu!$C$1:$XFD$5,Sheet_PhaiThu!$B$3,0
),0)</f>
        <v>0</v>
      </c>
      <c r="P92" s="371">
        <f>IFERROR(
HLOOKUP(
P$1,Sheet_PhaiThu!$C$1:$XFD$5,Sheet_PhaiThu!$B$3,0
),0)</f>
        <v>0</v>
      </c>
      <c r="Q92" s="265"/>
      <c r="R92" s="265"/>
      <c r="S92" s="265"/>
      <c r="T92" s="265"/>
      <c r="U92" s="265"/>
      <c r="V92" s="265"/>
      <c r="W92" s="265"/>
      <c r="X92" s="265"/>
      <c r="Y92" s="265"/>
      <c r="Z92" s="265"/>
      <c r="AA92" s="265"/>
      <c r="AB92" s="265"/>
      <c r="AC92" s="265"/>
      <c r="AD92" s="265"/>
      <c r="AE92" s="265"/>
      <c r="AF92" s="265"/>
      <c r="AG92" s="265"/>
      <c r="AH92" s="265"/>
      <c r="AI92" s="265"/>
      <c r="AJ92" s="265"/>
      <c r="AK92" s="265"/>
      <c r="AL92" s="265"/>
      <c r="AM92" s="244"/>
    </row>
    <row r="93" spans="1:39" ht="18" customHeight="1" outlineLevel="3" x14ac:dyDescent="0.15">
      <c r="A93" s="242">
        <f t="shared" si="1"/>
        <v>90</v>
      </c>
      <c r="B93" s="365">
        <v>212</v>
      </c>
      <c r="C93" s="72" t="s">
        <v>456</v>
      </c>
      <c r="D93" s="362">
        <f>Sheet_PhaiTra!D5</f>
        <v>0</v>
      </c>
      <c r="E93" s="362">
        <f xml:space="preserve">
IFERROR(
IF(BCTC_Thang = 1,
HLOOKUP(
DATE(BCTC_Nam-1,12,1),Sheet_PhaiTra!$B$1:$XFD$9,Sheet_PhaiTra!$A$5,0
),
HLOOKUP(
DATE(BCTC_Nam,BCTC_Thang-1,1),Sheet_PhaiTra!$B$1:$XFD$9,Sheet_PhaiTra!$A$5,0
)),0)</f>
        <v>0</v>
      </c>
      <c r="F93" s="371">
        <f>IFERROR(
HLOOKUP(
DATE(BCTC_Nam,BCTC_Thang,1),Sheet_PhaiTra!$B$1:$XFD$9,Sheet_PhaiTra!$A$5,0
),0)</f>
        <v>0</v>
      </c>
      <c r="G93" s="242"/>
      <c r="H93" s="365">
        <v>212</v>
      </c>
      <c r="I93" s="72" t="s">
        <v>456</v>
      </c>
      <c r="J93" s="362">
        <f>IFERROR(
HLOOKUP(
DATE(J$1,12,1),
Sheet_PhaiTra!$B$1:$XFD$9,Sheet_PhaiTra!$A$5,0
),
IFERROR(
HLOOKUP(
MAX(Sheet_PhaiTra!$D$1:$XFD$1),
Sheet_PhaiTra!$B$1:$XFD$9,Sheet_PhaiTra!$A$5,0
),
0))</f>
        <v>0</v>
      </c>
      <c r="K93" s="362">
        <f>IFERROR(
HLOOKUP(
DATE(K$1,12,1),
Sheet_PhaiTra!$B$1:$XFD$9,Sheet_PhaiTra!$A$5,0
),
IFERROR(
HLOOKUP(
MAX(Sheet_PhaiTra!$D$1:$XFD$1),
Sheet_PhaiTra!$B$1:$XFD$9,Sheet_PhaiTra!$A$5,0
),
0))</f>
        <v>0</v>
      </c>
      <c r="L93" s="242"/>
      <c r="M93" s="365">
        <v>212</v>
      </c>
      <c r="N93" s="72" t="s">
        <v>456</v>
      </c>
      <c r="O93" s="371">
        <f xml:space="preserve">
IFERROR(
HLOOKUP(
O$1,Sheet_PhaiTra!$B$1:$XFD$9,Sheet_PhaiTra!$A$5,0
),0)</f>
        <v>0</v>
      </c>
      <c r="P93" s="371">
        <f xml:space="preserve">
IFERROR(
HLOOKUP(
P$1,Sheet_PhaiTra!$B$1:$XFD$9,Sheet_PhaiTra!$A$5,0
),0)</f>
        <v>0</v>
      </c>
      <c r="Q93" s="265"/>
      <c r="R93" s="265"/>
      <c r="S93" s="265"/>
      <c r="T93" s="265"/>
      <c r="U93" s="265"/>
      <c r="V93" s="265"/>
      <c r="W93" s="265"/>
      <c r="X93" s="265"/>
      <c r="Y93" s="265"/>
      <c r="Z93" s="265"/>
      <c r="AA93" s="265"/>
      <c r="AB93" s="265"/>
      <c r="AC93" s="265"/>
      <c r="AD93" s="265"/>
      <c r="AE93" s="265"/>
      <c r="AF93" s="265"/>
      <c r="AG93" s="265"/>
      <c r="AH93" s="265"/>
      <c r="AI93" s="265"/>
      <c r="AJ93" s="265"/>
      <c r="AK93" s="265"/>
      <c r="AL93" s="265"/>
      <c r="AM93" s="244"/>
    </row>
    <row r="94" spans="1:39" ht="18" customHeight="1" outlineLevel="3" x14ac:dyDescent="0.15">
      <c r="A94" s="242">
        <f t="shared" si="1"/>
        <v>91</v>
      </c>
      <c r="B94" s="365">
        <v>214</v>
      </c>
      <c r="C94" s="72" t="s">
        <v>457</v>
      </c>
      <c r="D94" s="362">
        <f>Sheet_PhaiTra!D9</f>
        <v>0</v>
      </c>
      <c r="E94" s="362">
        <f xml:space="preserve">
IFERROR(
IF(BCTC_Thang = 1,
HLOOKUP(
DATE(BCTC_Nam-1,12,1),Sheet_PhaiTra!$B$1:$XFD$9,Sheet_PhaiTra!$A$9,0
),
HLOOKUP(
DATE(BCTC_Nam,BCTC_Thang-1,1),Sheet_PhaiTra!$B$1:$XFD$9,Sheet_PhaiTra!$A$9,0
)),0)</f>
        <v>0</v>
      </c>
      <c r="F94" s="371">
        <f>IFERROR(HLOOKUP(
DATE(BCTC_Nam,BCTC_Thang,1),Sheet_PhaiTra!$B$1:$XFD$9,Sheet_PhaiTra!$A$9,0
),0)</f>
        <v>0</v>
      </c>
      <c r="G94" s="242"/>
      <c r="H94" s="365">
        <v>214</v>
      </c>
      <c r="I94" s="72" t="s">
        <v>457</v>
      </c>
      <c r="J94" s="362">
        <f>IFERROR(
HLOOKUP(
DATE(J$1,12,1),
Sheet_PhaiTra!$B$1:$XFD$9,Sheet_PhaiTra!$A$9,0
),
IFERROR(
HLOOKUP(
MAX(Sheet_PhaiTra!$D$1:$XFD$1),
Sheet_PhaiTra!$B$1:$XFD$9,Sheet_PhaiTra!$A$9,0
),
0))</f>
        <v>0</v>
      </c>
      <c r="K94" s="362">
        <f>IFERROR(
HLOOKUP(
DATE(K$1,12,1),
Sheet_PhaiTra!$B$1:$XFD$9,Sheet_PhaiTra!$A$9,0
),
IFERROR(
HLOOKUP(
MAX(Sheet_PhaiTra!$D$1:$XFD$1),
Sheet_PhaiTra!$B$1:$XFD$9,Sheet_PhaiTra!$A$9,0
),
0))</f>
        <v>0</v>
      </c>
      <c r="L94" s="242"/>
      <c r="M94" s="365">
        <v>214</v>
      </c>
      <c r="N94" s="72" t="s">
        <v>457</v>
      </c>
      <c r="O94" s="371">
        <f xml:space="preserve">
IFERROR(
HLOOKUP(
O$1,Sheet_PhaiTra!$B$1:$XFD$9,Sheet_PhaiTra!$A$9,0
),0)</f>
        <v>0</v>
      </c>
      <c r="P94" s="371">
        <f xml:space="preserve">
IFERROR(
HLOOKUP(
P$1,Sheet_PhaiTra!$B$1:$XFD$9,Sheet_PhaiTra!$A$9,0
),0)</f>
        <v>0</v>
      </c>
      <c r="Q94" s="265"/>
      <c r="R94" s="265"/>
      <c r="S94" s="265"/>
      <c r="T94" s="265"/>
      <c r="U94" s="265"/>
      <c r="V94" s="265"/>
      <c r="W94" s="265"/>
      <c r="X94" s="265"/>
      <c r="Y94" s="265"/>
      <c r="Z94" s="265"/>
      <c r="AA94" s="265"/>
      <c r="AB94" s="265"/>
      <c r="AC94" s="265"/>
      <c r="AD94" s="265"/>
      <c r="AE94" s="265"/>
      <c r="AF94" s="265"/>
      <c r="AG94" s="265"/>
      <c r="AH94" s="265"/>
      <c r="AI94" s="265"/>
      <c r="AJ94" s="265"/>
      <c r="AK94" s="265"/>
      <c r="AL94" s="265"/>
      <c r="AM94" s="244"/>
    </row>
    <row r="95" spans="1:39" ht="18" customHeight="1" outlineLevel="2" x14ac:dyDescent="0.15">
      <c r="A95" s="242">
        <f t="shared" si="1"/>
        <v>92</v>
      </c>
      <c r="B95" s="259">
        <v>220</v>
      </c>
      <c r="C95" s="73" t="s">
        <v>458</v>
      </c>
      <c r="D95" s="244">
        <f>+SUM(D96:D97)</f>
        <v>8658472222.2222214</v>
      </c>
      <c r="E95" s="244">
        <f>+SUM(E96:E97)</f>
        <v>0</v>
      </c>
      <c r="F95" s="244">
        <f>+SUM(F96:F97)</f>
        <v>0</v>
      </c>
      <c r="G95" s="242"/>
      <c r="H95" s="259">
        <v>220</v>
      </c>
      <c r="I95" s="73" t="s">
        <v>458</v>
      </c>
      <c r="J95" s="244">
        <f>+SUM(J96:J97)</f>
        <v>0</v>
      </c>
      <c r="K95" s="244">
        <f>+SUM(K96:K97)</f>
        <v>0</v>
      </c>
      <c r="L95" s="242"/>
      <c r="M95" s="259">
        <v>220</v>
      </c>
      <c r="N95" s="73" t="s">
        <v>458</v>
      </c>
      <c r="O95" s="244">
        <f>+SUM(O96:O97)</f>
        <v>0</v>
      </c>
      <c r="P95" s="244">
        <f>+SUM(P96:P97)</f>
        <v>0</v>
      </c>
      <c r="Q95" s="265"/>
      <c r="R95" s="265"/>
      <c r="S95" s="265"/>
      <c r="T95" s="265"/>
      <c r="U95" s="265"/>
      <c r="V95" s="265"/>
      <c r="W95" s="265"/>
      <c r="X95" s="265"/>
      <c r="Y95" s="265"/>
      <c r="Z95" s="265"/>
      <c r="AA95" s="265"/>
      <c r="AB95" s="265"/>
      <c r="AC95" s="265"/>
      <c r="AD95" s="265"/>
      <c r="AE95" s="265"/>
      <c r="AF95" s="265"/>
      <c r="AG95" s="265"/>
      <c r="AH95" s="265"/>
      <c r="AI95" s="265"/>
      <c r="AJ95" s="265"/>
      <c r="AK95" s="265"/>
      <c r="AL95" s="265"/>
      <c r="AM95" s="244"/>
    </row>
    <row r="96" spans="1:39" ht="18" customHeight="1" outlineLevel="3" x14ac:dyDescent="0.15">
      <c r="A96" s="242">
        <f t="shared" si="1"/>
        <v>93</v>
      </c>
      <c r="B96" s="365">
        <v>222</v>
      </c>
      <c r="C96" s="72" t="s">
        <v>900</v>
      </c>
      <c r="D96" s="362" cm="1">
        <f t="array" ref="D96" xml:space="preserve">
IFERROR(
SUM(_xlfn._xlws.FILTER(Table_TSCD[Giá trị sổ sách],
(NOT(ISBLANK(Table_TSCD[Ngày vận hành] )))*
(ISBLANK(Table_TSCD[Ngày thanh lý]))*
(Table_TSCD[Ngày vận hành] &lt; BCTC_BatDau)
)), 0)
+IFERROR(
SUM(_xlfn._xlws.FILTER(Table_TSCD[Giá trị sổ sách],
(NOT(ISBLANK(Table_TSCD[Ngày vận hành] )))*
(NOT(ISBLANK(Table_TSCD[Ngày thanh lý] )))*
(Table_TSCD[Ngày thanh lý] &gt;= BCTC_BatDau)*
(Table_TSCD[Ngày vận hành] &lt; BCTC_BatDau)
)), 0)</f>
        <v>9875000000</v>
      </c>
      <c r="E96" s="362" cm="1">
        <f t="array" ref="E96" xml:space="preserve">
IFERROR(
SUM(_xlfn._xlws.FILTER(Table_TSCD[Giá trị sổ sách],
(NOT(ISBLANK(Table_TSCD[Ngày vận hành] )))*
(ISBLANK(Table_TSCD[Ngày thanh lý]))*
(Table_TSCD[Ngày vận hành] &lt; DATE(BCTC_Nam,BCTC_Thang,1 ))
)), 0)
+IFERROR(
SUM(_xlfn._xlws.FILTER(Table_TSCD[Giá trị sổ sách],
(NOT(ISBLANK(Table_TSCD[Ngày vận hành] )))*
(NOT(ISBLANK(Table_TSCD[Ngày thanh lý] )))*
(Table_TSCD[Ngày thanh lý] &gt;= DATE(BCTC_Nam,BCTC_Thang,1 ))*
(Table_TSCD[Ngày vận hành] &lt; DATE(BCTC_Nam,BCTC_Thang,1 ))
)), 0)</f>
        <v>0</v>
      </c>
      <c r="F96" s="371" cm="1">
        <f t="array" ref="F96" xml:space="preserve">
IFERROR(
SUM(_xlfn._xlws.FILTER(Table_TSCD[Giá trị sổ sách],
(NOT(ISBLANK(Table_TSCD[Ngày vận hành] )))*
(ISBLANK(Table_TSCD[Ngày thanh lý]))*
(Table_TSCD[Ngày vận hành] &lt; DATE(BCTC_Nam,BCTC_Thang+1,1 ))
)), 0)
+IFERROR(
SUM(_xlfn._xlws.FILTER(Table_TSCD[Giá trị sổ sách],
(NOT(ISBLANK(Table_TSCD[Ngày vận hành] )))*
(NOT(ISBLANK(Table_TSCD[Ngày thanh lý])))*
(Table_TSCD[Ngày thanh lý] &gt;= DATE(BCTC_Nam,BCTC_Thang+1,1 ))*
(Table_TSCD[Ngày vận hành] &lt; DATE(BCTC_Nam,BCTC_Thang+1,1 ))
)), 0)</f>
        <v>0</v>
      </c>
      <c r="G96" s="242"/>
      <c r="H96" s="365">
        <v>222</v>
      </c>
      <c r="I96" s="72" t="s">
        <v>900</v>
      </c>
      <c r="J96" s="362" cm="1">
        <f t="array" ref="J96" xml:space="preserve">
IFERROR(
SUM(_xlfn._xlws.FILTER(Table_TSCD[Giá trị sổ sách],
(NOT(ISBLANK(Table_TSCD[Ngày vận hành] )))*
(ISBLANK(Table_TSCD[Ngày thanh lý]))*
(Table_TSCD[Ngày vận hành] &lt; DATE(J$1+1,1,1))
)), 0)
+IFERROR(
SUM(_xlfn._xlws.FILTER(Table_TSCD[Giá trị sổ sách],
(NOT(ISBLANK(Table_TSCD[Ngày vận hành] )))*
(NOT(ISBLANK(Table_TSCD[Ngày thanh lý])))*
(Table_TSCD[Ngày thanh lý] &gt;= DATE(J$1+1,1,1))*
(Table_TSCD[Ngày vận hành] &lt; DATE(J$1+1,1,1))
)), 0)</f>
        <v>0</v>
      </c>
      <c r="K96" s="362" cm="1">
        <f t="array" ref="K96" xml:space="preserve">
IFERROR(
SUM(_xlfn._xlws.FILTER(Table_TSCD[Giá trị sổ sách],
(NOT(ISBLANK(Table_TSCD[Ngày vận hành] )))*
(ISBLANK(Table_TSCD[Ngày thanh lý]))*
(Table_TSCD[Ngày vận hành] &lt; DATE(K$1+1,1,1))
)), 0)
+IFERROR(
SUM(_xlfn._xlws.FILTER(Table_TSCD[Giá trị sổ sách],
(NOT(ISBLANK(Table_TSCD[Ngày vận hành] )))*
(NOT(ISBLANK(Table_TSCD[Ngày thanh lý])))*
(Table_TSCD[Ngày thanh lý] &gt;= DATE(K$1+1,1,1))*
(Table_TSCD[Ngày vận hành] &lt; DATE(K$1+1,1,1))
)), 0)</f>
        <v>0</v>
      </c>
      <c r="L96" s="242"/>
      <c r="M96" s="365">
        <v>222</v>
      </c>
      <c r="N96" s="72" t="s">
        <v>900</v>
      </c>
      <c r="O96" s="371" cm="1">
        <f t="array" ref="O96" xml:space="preserve">
IFERROR(
SUM(_xlfn._xlws.FILTER(Table_TSCD[Giá trị sổ sách],
(NOT(ISBLANK(Table_TSCD[Ngày vận hành] )))*
(ISBLANK(Table_TSCD[Ngày thanh lý]))*
(Table_TSCD[Ngày vận hành] &lt; DATE(YEAR(O$1),MONTH(O$1)+1,1 ))
)), 0)
+IFERROR(
SUM(_xlfn._xlws.FILTER(Table_TSCD[Giá trị sổ sách],
(NOT(ISBLANK(Table_TSCD[Ngày vận hành] )))*
(NOT(ISBLANK(Table_TSCD[Ngày thanh lý])))*
(Table_TSCD[Ngày thanh lý] &gt;= DATE(YEAR(O$1),MONTH(O$1)+1,1 ))*
(Table_TSCD[Ngày vận hành] &lt; DATE(YEAR(O$1),MONTH(O$1)+1,1 ))
)), 0)</f>
        <v>0</v>
      </c>
      <c r="P96" s="371" cm="1">
        <f t="array" ref="P96" xml:space="preserve">
IFERROR(
SUM(_xlfn._xlws.FILTER(Table_TSCD[Giá trị sổ sách],
(NOT(ISBLANK(Table_TSCD[Ngày vận hành] )))*
(ISBLANK(Table_TSCD[Ngày thanh lý]))*
(Table_TSCD[Ngày vận hành] &lt; DATE(YEAR(P$1),MONTH(P$1)+1,1 ))
)), 0)
+IFERROR(
SUM(_xlfn._xlws.FILTER(Table_TSCD[Giá trị sổ sách],
(NOT(ISBLANK(Table_TSCD[Ngày vận hành] )))*
(NOT(ISBLANK(Table_TSCD[Ngày thanh lý])))*
(Table_TSCD[Ngày thanh lý] &gt;= DATE(YEAR(P$1),MONTH(P$1)+1,1 ))*
(Table_TSCD[Ngày vận hành] &lt; DATE(YEAR(P$1),MONTH(P$1)+1,1 ))
)), 0)</f>
        <v>0</v>
      </c>
      <c r="Q96" s="265"/>
      <c r="R96" s="265"/>
      <c r="S96" s="265"/>
      <c r="T96" s="265"/>
      <c r="U96" s="265"/>
      <c r="V96" s="265"/>
      <c r="W96" s="265"/>
      <c r="X96" s="265"/>
      <c r="Y96" s="265"/>
      <c r="Z96" s="265"/>
      <c r="AA96" s="265"/>
      <c r="AB96" s="265"/>
      <c r="AC96" s="265"/>
      <c r="AD96" s="265"/>
      <c r="AE96" s="265"/>
      <c r="AF96" s="265"/>
      <c r="AG96" s="265"/>
      <c r="AH96" s="265"/>
      <c r="AI96" s="265"/>
      <c r="AJ96" s="265"/>
      <c r="AK96" s="265"/>
      <c r="AL96" s="265"/>
      <c r="AM96" s="244"/>
    </row>
    <row r="97" spans="1:39" ht="18" customHeight="1" outlineLevel="3" x14ac:dyDescent="0.15">
      <c r="A97" s="242">
        <f t="shared" si="1"/>
        <v>94</v>
      </c>
      <c r="B97" s="365">
        <v>223</v>
      </c>
      <c r="C97" s="72" t="s">
        <v>459</v>
      </c>
      <c r="D97" s="362" cm="1">
        <f t="array" ref="D97" xml:space="preserve"> - IFERROR(SUMPRODUCT(
_xlfn._xlws.FILTER(Table_TSCD[Giá trị khấu hao (tháng)],
(NOT(ISBLANK(Table_TSCD[Ngày vận hành])))*
(ISBLANK(Table_TSCD[Ngày thanh lý]))*
(Table_TSCD[Ngày vận hành] &lt; BCTC_BatDau) *
(Table_TSCD[Ngày kết thúc] &gt;= BCTC_BatDau)
),
_xlfn._xlws.FILTER( ROUND((BCTC_BatDau-1 - Table_TSCD[Ngày vận hành]) / (365.25/12),0),
(NOT(ISBLANK(Table_TSCD[Ngày vận hành])))*
(ISBLANK(Table_TSCD[Ngày thanh lý]))*
(Table_TSCD[Ngày vận hành] &lt; BCTC_BatDau) *
(Table_TSCD[Ngày kết thúc] &gt;= BCTC_BatDau)
)),0)
- IFERROR(
SUM(_xlfn._xlws.FILTER(Table_TSCD[Giá trị sổ sách],
(NOT(ISBLANK(Table_TSCD[Ngày vận hành])))*
(ISBLANK(Table_TSCD[Ngày thanh lý]))*
(Table_TSCD[Ngày kết thúc]&lt; BCTC_BatDau)
)),0)
 - IFERROR(SUMPRODUCT(
_xlfn._xlws.FILTER(Table_TSCD[Giá trị khấu hao (tháng)],
(NOT(ISBLANK(Table_TSCD[Ngày vận hành])))*
(NOT(ISBLANK(Table_TSCD[Ngày thanh lý])))*
(Table_TSCD[Ngày thanh lý] &gt;= BCTC_BatDau)*
(Table_TSCD[Ngày vận hành] &lt; BCTC_BatDau) *
(Table_TSCD[Ngày kết thúc] &gt;= BCTC_BatDau)
),
_xlfn._xlws.FILTER( ROUND((BCTC_BatDau-1 - Table_TSCD[Ngày vận hành]) / (365.25/12),0),
(NOT(ISBLANK(Table_TSCD[Ngày vận hành])))*
(NOT(ISBLANK(Table_TSCD[Ngày thanh lý])))*
(Table_TSCD[Ngày thanh lý] &gt;= BCTC_BatDau)*
(Table_TSCD[Ngày vận hành] &lt; BCTC_BatDau) *
(Table_TSCD[Ngày kết thúc] &gt;= BCTC_BatDau)
)),0)
- IFERROR(
SUM(_xlfn._xlws.FILTER(Table_TSCD[Giá trị sổ sách],
(NOT(ISBLANK(Table_TSCD[Ngày vận hành])))*
(NOT(ISBLANK(Table_TSCD[Ngày thanh lý])))*
(Table_TSCD[Ngày thanh lý] &gt;= BCTC_BatDau)*
(Table_TSCD[Ngày kết thúc]&lt; BCTC_BatDau)
)),0)</f>
        <v>-1216527777.7777777</v>
      </c>
      <c r="E97" s="362" cm="1">
        <f t="array" ref="E97" xml:space="preserve"> - IFERROR(SUMPRODUCT(
_xlfn._xlws.FILTER(Table_TSCD[Giá trị khấu hao (tháng)],
(NOT(ISBLANK(Table_TSCD[Ngày vận hành])))*
(ISBLANK(Table_TSCD[Ngày thanh lý]))*
(Table_TSCD[Ngày vận hành] &lt; DATE(BCTC_Nam,BCTC_Thang,1)) *
(Table_TSCD[Ngày kết thúc] &gt;= DATE(BCTC_Nam,BCTC_Thang,1))
),
_xlfn._xlws.FILTER( ROUND((DATE(BCTC_Nam,BCTC_Thang,1)-1 - Table_TSCD[Ngày vận hành]) / (365.25/12),0),
(NOT(ISBLANK(Table_TSCD[Ngày vận hành])))*
(ISBLANK(Table_TSCD[Ngày thanh lý]))*
(Table_TSCD[Ngày vận hành] &lt; DATE(BCTC_Nam,BCTC_Thang,1)) *
(Table_TSCD[Ngày kết thúc] &gt;= DATE(BCTC_Nam,BCTC_Thang,1))
)),0)
- IFERROR(
SUM(_xlfn._xlws.FILTER(Table_TSCD[Giá trị sổ sách],
(NOT(ISBLANK(Table_TSCD[Ngày vận hành])))*
(ISBLANK(Table_TSCD[Ngày thanh lý]))*
(Table_TSCD[Ngày kết thúc]&lt; DATE(BCTC_Nam,BCTC_Thang,1))
)),0)
 - IFERROR(SUMPRODUCT(
_xlfn._xlws.FILTER(Table_TSCD[Giá trị khấu hao (tháng)],
(NOT(ISBLANK(Table_TSCD[Ngày vận hành])))*
(NOT(ISBLANK(Table_TSCD[Ngày thanh lý])))*
(Table_TSCD[Ngày thanh lý] &gt;= DATE(BCTC_Nam,BCTC_Thang,1 ))*
(Table_TSCD[Ngày vận hành] &lt; DATE(BCTC_Nam,BCTC_Thang,1)) *
(Table_TSCD[Ngày kết thúc] &gt;= DATE(BCTC_Nam,BCTC_Thang,1))
),
_xlfn._xlws.FILTER( ROUND((DATE(BCTC_Nam,BCTC_Thang,1)-1 - Table_TSCD[Ngày vận hành]) / (365.25/12),0),
(NOT(ISBLANK(Table_TSCD[Ngày vận hành])))*
(NOT(ISBLANK(Table_TSCD[Ngày thanh lý])))*
(Table_TSCD[Ngày thanh lý] &gt;= DATE(BCTC_Nam,BCTC_Thang,1 ))*
(Table_TSCD[Ngày vận hành] &lt; DATE(BCTC_Nam,BCTC_Thang,1)) *
(Table_TSCD[Ngày kết thúc] &gt;= DATE(BCTC_Nam,BCTC_Thang,1))
)),0)
- IFERROR(
SUM(_xlfn._xlws.FILTER(Table_TSCD[Giá trị sổ sách],
(NOT(ISBLANK(Table_TSCD[Ngày vận hành])))*
(NOT(ISBLANK(Table_TSCD[Ngày thanh lý])))*
(Table_TSCD[Ngày thanh lý] &gt;= DATE(BCTC_Nam,BCTC_Thang,1 ))*
(Table_TSCD[Ngày kết thúc]&lt; DATE(BCTC_Nam,BCTC_Thang,1))
)),0)</f>
        <v>0</v>
      </c>
      <c r="F97" s="371" cm="1">
        <f t="array" ref="F97" xml:space="preserve"> - IFERROR(SUMPRODUCT(
_xlfn._xlws.FILTER(Table_TSCD[Giá trị khấu hao (tháng)],
(NOT(ISBLANK(Table_TSCD[Ngày vận hành])))*
(ISBLANK(Table_TSCD[Ngày thanh lý]))*
(Table_TSCD[Ngày vận hành] &lt; DATE(BCTC_Nam,BCTC_Thang+1,1)-1) *
(Table_TSCD[Ngày kết thúc] &gt;= DATE(BCTC_Nam,BCTC_Thang+1,1)-1)
),
_xlfn._xlws.FILTER( ROUND((DATE(BCTC_Nam,BCTC_Thang+1,1)-1 - Table_TSCD[Ngày vận hành]) / (365.25/12),0),
(NOT(ISBLANK(Table_TSCD[Ngày vận hành])))*
(ISBLANK(Table_TSCD[Ngày thanh lý]))*
(Table_TSCD[Ngày vận hành] &lt; DATE(BCTC_Nam,BCTC_Thang+1,1)-1) *
(Table_TSCD[Ngày kết thúc] &gt;= DATE(BCTC_Nam,BCTC_Thang+1,1)-1)
)),0)
- IFERROR(
SUM(_xlfn._xlws.FILTER(Table_TSCD[Giá trị sổ sách],
(NOT(ISBLANK(Table_TSCD[Ngày vận hành])))*
(ISBLANK(Table_TSCD[Ngày thanh lý]))*
(Table_TSCD[Ngày kết thúc]&lt; DATE(BCTC_Nam,BCTC_Thang+1,1)-1)
)),0)
 - IFERROR(SUMPRODUCT(
_xlfn._xlws.FILTER(Table_TSCD[Giá trị khấu hao (tháng)],
(NOT(ISBLANK(Table_TSCD[Ngày vận hành])))*
(NOT(ISBLANK(Table_TSCD[Ngày thanh lý])))*
(Table_TSCD[Ngày thanh lý] &gt;= DATE(BCTC_Nam,BCTC_Thang+1,1 )-1)*
(Table_TSCD[Ngày vận hành] &lt; DATE(BCTC_Nam,BCTC_Thang+1,1)-1) *
(Table_TSCD[Ngày kết thúc] &gt;= DATE(BCTC_Nam,BCTC_Thang+1,1)-1)
),
_xlfn._xlws.FILTER( ROUND((DATE(BCTC_Nam,BCTC_Thang+1,1)-1 - Table_TSCD[Ngày vận hành]) / (365.25/12),0),
(NOT(ISBLANK(Table_TSCD[Ngày vận hành])))*
(NOT(ISBLANK(Table_TSCD[Ngày thanh lý])))*
(Table_TSCD[Ngày thanh lý] &gt;= DATE(BCTC_Nam,BCTC_Thang+1,1 )-1)*
(Table_TSCD[Ngày vận hành] &lt; DATE(BCTC_Nam,BCTC_Thang+1,1)-1) *
(Table_TSCD[Ngày kết thúc] &gt;= DATE(BCTC_Nam,BCTC_Thang+1,1)-1)
)),0)
- IFERROR(
SUM(_xlfn._xlws.FILTER(Table_TSCD[Giá trị sổ sách],
(NOT(ISBLANK(Table_TSCD[Ngày vận hành])))*
(NOT(ISBLANK(Table_TSCD[Ngày thanh lý])))*
(Table_TSCD[Ngày thanh lý] &gt;= DATE(BCTC_Nam,BCTC_Thang+1,1 )-1)*
(Table_TSCD[Ngày kết thúc]&lt; DATE(BCTC_Nam,BCTC_Thang+1,1)-1)
)),0)</f>
        <v>0</v>
      </c>
      <c r="G97" s="242"/>
      <c r="H97" s="365">
        <v>223</v>
      </c>
      <c r="I97" s="72" t="s">
        <v>459</v>
      </c>
      <c r="J97" s="362" cm="1">
        <f t="array" ref="J97" xml:space="preserve"> - IFERROR(SUMPRODUCT(
_xlfn._xlws.FILTER(Table_TSCD[Giá trị khấu hao (tháng)],
(NOT(ISBLANK(Table_TSCD[Ngày vận hành])))*
(ISBLANK(Table_TSCD[Ngày thanh lý]))*
(Table_TSCD[Ngày vận hành] &lt; DATE(J$1+1,1,1)-1) *
(Table_TSCD[Ngày kết thúc] &gt;= DATE(J$1+1,1,1)-1)
),
_xlfn._xlws.FILTER( ROUND((DATE(J$1+1,1,1)-1 - Table_TSCD[Ngày vận hành]) / (365.25/12),0),
(NOT(ISBLANK(Table_TSCD[Ngày vận hành])))*
(ISBLANK(Table_TSCD[Ngày thanh lý]))*
(Table_TSCD[Ngày vận hành] &lt; DATE(J$1+1,1,1)-1) *
(Table_TSCD[Ngày kết thúc] &gt;= DATE(J$1+1,1,1)-1)
)),0)
- IFERROR(
SUM(_xlfn._xlws.FILTER(Table_TSCD[Giá trị sổ sách],
(NOT(ISBLANK(Table_TSCD[Ngày vận hành])))*
(ISBLANK(Table_TSCD[Ngày thanh lý]))*
(Table_TSCD[Ngày kết thúc]&lt; DATE(J$1+1,1,1)-1)
)),0)
 - IFERROR(SUMPRODUCT(
_xlfn._xlws.FILTER(Table_TSCD[Giá trị khấu hao (tháng)],
(NOT(ISBLANK(Table_TSCD[Ngày vận hành])))*
(NOT(ISBLANK(Table_TSCD[Ngày thanh lý])))*
(Table_TSCD[Ngày thanh lý] &gt;= DATE(J$1+1,1,1)-1)*
(Table_TSCD[Ngày vận hành] &lt; DATE(J$1+1,1,1)-1) *
(Table_TSCD[Ngày kết thúc] &gt;= DATE(J$1+1,1,1)-1)
),
_xlfn._xlws.FILTER( ROUND((DATE(J$1+1,1,1)-1 - Table_TSCD[Ngày vận hành]) / (365.25/12),0),
(NOT(ISBLANK(Table_TSCD[Ngày vận hành])))*
(NOT(ISBLANK(Table_TSCD[Ngày thanh lý])))*
(Table_TSCD[Ngày thanh lý] &gt;= DATE(J$1+1,1,1)-1)*
(Table_TSCD[Ngày vận hành] &lt; DATE(J$1+1,1,1)-1) *
(Table_TSCD[Ngày kết thúc] &gt;= DATE(J$1+1,1,1)-1)
)),0)
- IFERROR(
SUM(_xlfn._xlws.FILTER(Table_TSCD[Giá trị sổ sách],
(NOT(ISBLANK(Table_TSCD[Ngày vận hành])))*
(NOT(ISBLANK(Table_TSCD[Ngày thanh lý])))*
(Table_TSCD[Ngày thanh lý] &gt;= DATE(J$1+1,1,1)-1)*
(Table_TSCD[Ngày kết thúc]&lt; DATE(J$1+1,1,1)-1)
)),0)</f>
        <v>0</v>
      </c>
      <c r="K97" s="362" cm="1">
        <f t="array" ref="K97" xml:space="preserve"> - IFERROR(SUMPRODUCT(
_xlfn._xlws.FILTER(Table_TSCD[Giá trị khấu hao (tháng)],
(NOT(ISBLANK(Table_TSCD[Ngày vận hành])))*
(ISBLANK(Table_TSCD[Ngày thanh lý]))*
(Table_TSCD[Ngày vận hành] &lt; DATE(K$1+1,1,1)-1) *
(Table_TSCD[Ngày kết thúc] &gt;= DATE(K$1+1,1,1)-1)
),
_xlfn._xlws.FILTER( ROUND((DATE(K$1+1,1,1)-1 - Table_TSCD[Ngày vận hành]) / (365.25/12),0),
(NOT(ISBLANK(Table_TSCD[Ngày vận hành])))*
(ISBLANK(Table_TSCD[Ngày thanh lý]))*
(Table_TSCD[Ngày vận hành] &lt; DATE(K$1+1,1,1)-1) *
(Table_TSCD[Ngày kết thúc] &gt;= DATE(K$1+1,1,1)-1)
)),0)
- IFERROR(
SUM(_xlfn._xlws.FILTER(Table_TSCD[Giá trị sổ sách],
(NOT(ISBLANK(Table_TSCD[Ngày vận hành])))*
(ISBLANK(Table_TSCD[Ngày thanh lý]))*
(Table_TSCD[Ngày kết thúc]&lt; DATE(K$1+1,1,1)-1)
)),0)
 - IFERROR(SUMPRODUCT(
_xlfn._xlws.FILTER(Table_TSCD[Giá trị khấu hao (tháng)],
(NOT(ISBLANK(Table_TSCD[Ngày vận hành])))*
(NOT(ISBLANK(Table_TSCD[Ngày thanh lý])))*
(Table_TSCD[Ngày thanh lý] &gt;= DATE(K$1+1,1,1)-1)*
(Table_TSCD[Ngày vận hành] &lt; DATE(K$1+1,1,1)-1) *
(Table_TSCD[Ngày kết thúc] &gt;= DATE(K$1+1,1,1)-1)
),
_xlfn._xlws.FILTER( ROUND((DATE(K$1+1,1,1)-1 - Table_TSCD[Ngày vận hành]) / (365.25/12),0),
(NOT(ISBLANK(Table_TSCD[Ngày vận hành])))*
(NOT(ISBLANK(Table_TSCD[Ngày thanh lý])))*
(Table_TSCD[Ngày thanh lý] &gt;= DATE(K$1+1,1,1)-1)*
(Table_TSCD[Ngày vận hành] &lt; DATE(K$1+1,1,1)-1) *
(Table_TSCD[Ngày kết thúc] &gt;= DATE(K$1+1,1,1)-1)
)),0)
- IFERROR(
SUM(_xlfn._xlws.FILTER(Table_TSCD[Giá trị sổ sách],
(NOT(ISBLANK(Table_TSCD[Ngày vận hành])))*
(NOT(ISBLANK(Table_TSCD[Ngày thanh lý])))*
(Table_TSCD[Ngày thanh lý] &gt;= DATE(K$1+1,1,1)-1)*
(Table_TSCD[Ngày kết thúc]&lt; DATE(K$1+1,1,1)-1)
)),0)</f>
        <v>0</v>
      </c>
      <c r="L97" s="242"/>
      <c r="M97" s="365">
        <v>223</v>
      </c>
      <c r="N97" s="72" t="s">
        <v>459</v>
      </c>
      <c r="O97" s="371" cm="1">
        <f t="array" ref="O97" xml:space="preserve"> - IFERROR(SUMPRODUCT(
_xlfn._xlws.FILTER(Table_TSCD[Giá trị khấu hao (tháng)],
(NOT(ISBLANK(Table_TSCD[Ngày vận hành])))*
(ISBLANK(Table_TSCD[Ngày thanh lý]))*
(Table_TSCD[Ngày vận hành] &lt; DATE(YEAR(O$1),MONTH(O$1)+1,1)-1) *
(Table_TSCD[Ngày kết thúc] &gt;= DATE(YEAR(O$1),MONTH(O$1)+1,1)-1)
),
_xlfn._xlws.FILTER( ROUND((DATE(YEAR(O$1),MONTH(O$1)+1,1)-1 - Table_TSCD[Ngày vận hành]) / (365.25/12),0),
(NOT(ISBLANK(Table_TSCD[Ngày vận hành])))*
(ISBLANK(Table_TSCD[Ngày thanh lý]))*
(Table_TSCD[Ngày vận hành] &lt; DATE(YEAR(O$1),MONTH(O$1)+1,1)-1) *
(Table_TSCD[Ngày kết thúc] &gt;= DATE(YEAR(O$1),MONTH(O$1)+1,1)-1)
)),0)
- IFERROR(
SUM(_xlfn._xlws.FILTER(Table_TSCD[Giá trị sổ sách],
(NOT(ISBLANK(Table_TSCD[Ngày vận hành])))*
(ISBLANK(Table_TSCD[Ngày thanh lý]))*
(Table_TSCD[Ngày kết thúc]&lt; DATE(YEAR(O$1),MONTH(O$1)+1,1)-1)
)),0)
 - IFERROR(SUMPRODUCT(
_xlfn._xlws.FILTER(Table_TSCD[Giá trị khấu hao (tháng)],
(NOT(ISBLANK(Table_TSCD[Ngày vận hành])))*
(NOT(ISBLANK(Table_TSCD[Ngày thanh lý])))*
(Table_TSCD[Ngày thanh lý] &gt;= DATE(YEAR(O$1),MONTH(O$1)+1,1 )-1)*
(Table_TSCD[Ngày vận hành] &lt; DATE(YEAR(O$1),MONTH(O$1)+1,1)-1) *
(Table_TSCD[Ngày kết thúc] &gt;= DATE(YEAR(O$1),MONTH(O$1)+1,1)-1)
),
_xlfn._xlws.FILTER( ROUND((DATE(YEAR(O$1),MONTH(O$1)+1,1)-1 - Table_TSCD[Ngày vận hành]) / (365.25/12),0),
(NOT(ISBLANK(Table_TSCD[Ngày vận hành])))*
(NOT(ISBLANK(Table_TSCD[Ngày thanh lý])))*
(Table_TSCD[Ngày thanh lý] &gt;= DATE(YEAR(O$1),MONTH(O$1)+1,1 )-1)*
(Table_TSCD[Ngày vận hành] &lt; DATE(YEAR(O$1),MONTH(O$1)+1,1)-1) *
(Table_TSCD[Ngày kết thúc] &gt;= DATE(YEAR(O$1),MONTH(O$1)+1,1)-1)
)),0)
- IFERROR(
SUM(_xlfn._xlws.FILTER(Table_TSCD[Giá trị sổ sách],
(NOT(ISBLANK(Table_TSCD[Ngày vận hành])))*
(NOT(ISBLANK(Table_TSCD[Ngày thanh lý])))*
(Table_TSCD[Ngày thanh lý] &gt;= DATE(YEAR(O$1),MONTH(O$1)+1,1 )-1)*
(Table_TSCD[Ngày kết thúc]&lt; DATE(YEAR(O$1),MONTH(O$1)+1,1)-1)
)),0)</f>
        <v>0</v>
      </c>
      <c r="P97" s="371" cm="1">
        <f t="array" ref="P97" xml:space="preserve"> - IFERROR(SUMPRODUCT(
_xlfn._xlws.FILTER(Table_TSCD[Giá trị khấu hao (tháng)],
(NOT(ISBLANK(Table_TSCD[Ngày vận hành])))*
(ISBLANK(Table_TSCD[Ngày thanh lý]))*
(Table_TSCD[Ngày vận hành] &lt; DATE(YEAR(P$1),MONTH(P$1)+1,1)-1) *
(Table_TSCD[Ngày kết thúc] &gt;= DATE(YEAR(P$1),MONTH(P$1)+1,1)-1)
),
_xlfn._xlws.FILTER( ROUND((DATE(YEAR(P$1),MONTH(P$1)+1,1)-1 - Table_TSCD[Ngày vận hành]) / (365.25/12),0),
(NOT(ISBLANK(Table_TSCD[Ngày vận hành])))*
(ISBLANK(Table_TSCD[Ngày thanh lý]))*
(Table_TSCD[Ngày vận hành] &lt; DATE(YEAR(P$1),MONTH(P$1)+1,1)-1) *
(Table_TSCD[Ngày kết thúc] &gt;= DATE(YEAR(P$1),MONTH(P$1)+1,1)-1)
)),0)
- IFERROR(
SUM(_xlfn._xlws.FILTER(Table_TSCD[Giá trị sổ sách],
(NOT(ISBLANK(Table_TSCD[Ngày vận hành])))*
(ISBLANK(Table_TSCD[Ngày thanh lý]))*
(Table_TSCD[Ngày kết thúc]&lt; DATE(YEAR(P$1),MONTH(P$1)+1,1)-1)
)),0)
 - IFERROR(SUMPRODUCT(
_xlfn._xlws.FILTER(Table_TSCD[Giá trị khấu hao (tháng)],
(NOT(ISBLANK(Table_TSCD[Ngày vận hành])))*
(NOT(ISBLANK(Table_TSCD[Ngày thanh lý])))*
(Table_TSCD[Ngày thanh lý] &gt;= DATE(YEAR(P$1),MONTH(P$1)+1,1 )-1)*
(Table_TSCD[Ngày vận hành] &lt; DATE(YEAR(P$1),MONTH(P$1)+1,1)-1) *
(Table_TSCD[Ngày kết thúc] &gt;= DATE(YEAR(P$1),MONTH(P$1)+1,1)-1)
),
_xlfn._xlws.FILTER( ROUND((DATE(YEAR(P$1),MONTH(P$1)+1,1)-1 - Table_TSCD[Ngày vận hành]) / (365.25/12),0),
(NOT(ISBLANK(Table_TSCD[Ngày vận hành])))*
(NOT(ISBLANK(Table_TSCD[Ngày thanh lý])))*
(Table_TSCD[Ngày thanh lý] &gt;= DATE(YEAR(P$1),MONTH(P$1)+1,1 )-1)*
(Table_TSCD[Ngày vận hành] &lt; DATE(YEAR(P$1),MONTH(P$1)+1,1)-1) *
(Table_TSCD[Ngày kết thúc] &gt;= DATE(YEAR(P$1),MONTH(P$1)+1,1)-1)
)),0)
- IFERROR(
SUM(_xlfn._xlws.FILTER(Table_TSCD[Giá trị sổ sách],
(NOT(ISBLANK(Table_TSCD[Ngày vận hành])))*
(NOT(ISBLANK(Table_TSCD[Ngày thanh lý])))*
(Table_TSCD[Ngày thanh lý] &gt;= DATE(YEAR(P$1),MONTH(P$1)+1,1 )-1)*
(Table_TSCD[Ngày kết thúc]&lt; DATE(YEAR(P$1),MONTH(P$1)+1,1)-1)
)),0)</f>
        <v>0</v>
      </c>
      <c r="Q97" s="265"/>
      <c r="R97" s="265"/>
      <c r="S97" s="265"/>
      <c r="T97" s="265"/>
      <c r="U97" s="265"/>
      <c r="V97" s="265"/>
      <c r="W97" s="265"/>
      <c r="X97" s="265"/>
      <c r="Y97" s="265"/>
      <c r="Z97" s="265"/>
      <c r="AA97" s="265"/>
      <c r="AB97" s="265"/>
      <c r="AC97" s="265"/>
      <c r="AD97" s="265"/>
      <c r="AE97" s="265"/>
      <c r="AF97" s="265"/>
      <c r="AG97" s="265"/>
      <c r="AH97" s="265"/>
      <c r="AI97" s="265"/>
      <c r="AJ97" s="265"/>
      <c r="AK97" s="265"/>
      <c r="AL97" s="265"/>
      <c r="AM97" s="244"/>
    </row>
    <row r="98" spans="1:39" ht="18" customHeight="1" outlineLevel="2" x14ac:dyDescent="0.15">
      <c r="A98" s="242">
        <f t="shared" si="1"/>
        <v>95</v>
      </c>
      <c r="B98" s="259">
        <v>240</v>
      </c>
      <c r="C98" s="73" t="s">
        <v>460</v>
      </c>
      <c r="D98" s="244" cm="1">
        <f t="array" ref="D98">IFERROR(
SUM(_xlfn._xlws.FILTER(Table_TSCD[Giá trị sổ sách],
(Table_TSCD[Ngày mua] &lt; BCTC_BatDau)*
(ISBLANK(Table_TSCD[Ngày vận hành]))
)),0)
+IFERROR(
SUM(_xlfn._xlws.FILTER(Table_TSCD[Giá trị sổ sách],
(Table_TSCD[Ngày mua] &lt; BCTC_BatDau)*
(Table_TSCD[Ngày vận hành] &gt; BCTC_BatDau)
)),0)</f>
        <v>0</v>
      </c>
      <c r="E98" s="312" cm="1">
        <f t="array" ref="E98" xml:space="preserve">
IFERROR(
SUM(_xlfn._xlws.FILTER(Table_TSCD[Giá trị sổ sách],
(NOT(ISBLANK(Table_TSCD[Ngày vận hành] )))*
(ISBLANK(Table_TSCD[Ngày thanh lý]))*
(Table_TSCD[Ngày mua] &lt; DATE(BCTC_Nam, BCTC_Thang,1))*
(Table_TSCD[Ngày vận hành] &gt;= DATE(BCTC_Nam,BCTC_Thang,1 ))
)), 0)
+ IFERROR(
SUM(_xlfn._xlws.FILTER(Table_TSCD[Giá trị sổ sách],
(Table_TSCD[Ngày mua] &lt; DATE(BCTC_Nam, BCTC_Thang,1))*
(ISBLANK(Table_TSCD[Ngày thanh lý]))*
(ISBLANK(Table_TSCD[Ngày vận hành] ))
)), 0)
+IFERROR(
SUM(_xlfn._xlws.FILTER(Table_TSCD[Giá trị sổ sách],
(NOT(ISBLANK(Table_TSCD[Ngày vận hành] )))*
(NOT(ISBLANK(Table_TSCD[Ngày thanh lý])))*
(Table_TSCD[Ngày mua] &lt; DATE(BCTC_Nam, BCTC_Thang,1))*
(Table_TSCD[Ngày vận hành] &gt;= DATE(BCTC_Nam,BCTC_Thang,1 ))*
(Table_TSCD[Ngày thanh lý] &gt;= DATE(BCTC_Nam,BCTC_Thang,1 ))
)), 0)
+ IFERROR(
SUM(_xlfn._xlws.FILTER(Table_TSCD[Giá trị sổ sách],
(Table_TSCD[Ngày mua] &lt; DATE(BCTC_Nam, BCTC_Thang,1))*
(Table_TSCD[Ngày thanh lý] &gt;= DATE(BCTC_Nam,BCTC_Thang,1 ))*
(NOT(ISBLANK(Table_TSCD[Ngày thanh lý])))*
(ISBLANK(Table_TSCD[Ngày vận hành] ))
)), 0)</f>
        <v>0</v>
      </c>
      <c r="F98" s="244" cm="1">
        <f t="array" ref="F98">IFERROR(
SUM(_xlfn._xlws.FILTER(Table_TSCD[Giá trị sổ sách],
(NOT(ISBLANK(Table_TSCD[Ngày vận hành] ))) *
(ISBLANK(Table_TSCD[Ngày thanh lý]))*
(Table_TSCD[Ngày mua] &lt; DATE(BCTC_Nam, BCTC_Thang+1,1)-1)*
(Table_TSCD[Ngày vận hành] &gt; DATE(BCTC_Nam,BCTC_Thang+1,1 )-1)
)), 0)
+IFERROR(
SUM(_xlfn._xlws.FILTER(Table_TSCD[Giá trị sổ sách],
(Table_TSCD[Ngày mua] &lt; DATE(BCTC_Nam, BCTC_Thang+1,1)-1)*
(ISBLANK(Table_TSCD[Ngày thanh lý]))*
(ISBLANK(Table_TSCD[Ngày vận hành] ))
)), 0)
+IFERROR(
SUM(_xlfn._xlws.FILTER(Table_TSCD[Giá trị sổ sách],
(NOT(ISBLANK(Table_TSCD[Ngày vận hành] ))) *
(NOT(ISBLANK(Table_TSCD[Ngày thanh lý])))*
(Table_TSCD[Ngày mua] &lt; DATE(BCTC_Nam, BCTC_Thang+1,1)-1)*
(Table_TSCD[Ngày vận hành] &gt; DATE(BCTC_Nam,BCTC_Thang+1,1 )-1)*
(Table_TSCD[Ngày thanh lý] &gt; DATE(BCTC_Nam,BCTC_Thang+1,1 )-1)
)), 0)
+IFERROR(
SUM(_xlfn._xlws.FILTER(Table_TSCD[Giá trị sổ sách],
(Table_TSCD[Ngày mua] &lt; DATE(BCTC_Nam, BCTC_Thang+1,1)-1)*
(NOT(ISBLANK(Table_TSCD[Ngày thanh lý])))*
(ISBLANK(Table_TSCD[Ngày vận hành] ))*
(Table_TSCD[Ngày thanh lý] &gt; DATE(BCTC_Nam,BCTC_Thang+1,1 )-1)
)), 0)</f>
        <v>0</v>
      </c>
      <c r="G98" s="242"/>
      <c r="H98" s="259">
        <v>240</v>
      </c>
      <c r="I98" s="73" t="s">
        <v>460</v>
      </c>
      <c r="J98" s="312" cm="1">
        <f t="array" ref="J98">IFERROR(
SUM(_xlfn._xlws.FILTER(Table_TSCD[Giá trị sổ sách],
(NOT(ISBLANK(Table_TSCD[Ngày vận hành] ))) *
(ISBLANK(Table_TSCD[Ngày thanh lý]))*
(Table_TSCD[Ngày mua] &lt; DATE(J$1+1,1,1)-1)*
(Table_TSCD[Ngày vận hành] &gt; DATE(J$1+1,1,1)-1)
)), 0)
+IFERROR(
SUM(_xlfn._xlws.FILTER(Table_TSCD[Giá trị sổ sách],
(Table_TSCD[Ngày mua] &lt; DATE(J$1+1,1,1)-1)*
(ISBLANK(Table_TSCD[Ngày thanh lý]))*
(ISBLANK(Table_TSCD[Ngày vận hành] ))
)), 0)
+IFERROR(
SUM(_xlfn._xlws.FILTER(Table_TSCD[Giá trị sổ sách],
(NOT(ISBLANK(Table_TSCD[Ngày vận hành] ))) *
(NOT(ISBLANK(Table_TSCD[Ngày thanh lý])))*
(Table_TSCD[Ngày mua] &lt; DATE(J$1+1,1,1)-1)*
(Table_TSCD[Ngày vận hành] &gt; DATE(J$1+1,1,1)-1)*
(Table_TSCD[Ngày thanh lý] &gt; DATE(J$1+1,1,1)-1)
)), 0)
+IFERROR(
SUM(_xlfn._xlws.FILTER(Table_TSCD[Giá trị sổ sách],
(Table_TSCD[Ngày mua] &lt; DATE(J$1+1,1,1)-1)*
(Table_TSCD[Ngày thanh lý] &gt; DATE(J$1+1,1,1)-1)*
(NOT(ISBLANK(Table_TSCD[Ngày thanh lý])))*
(ISBLANK(Table_TSCD[Ngày vận hành] ))
)), 0)</f>
        <v>0</v>
      </c>
      <c r="K98" s="312" cm="1">
        <f t="array" ref="K98">IFERROR(
SUM(_xlfn._xlws.FILTER(Table_TSCD[Giá trị sổ sách],
(NOT(ISBLANK(Table_TSCD[Ngày vận hành] ))) *
(ISBLANK(Table_TSCD[Ngày thanh lý]))*
(Table_TSCD[Ngày mua] &lt; DATE(K$1+1,1,1)-1)*
(Table_TSCD[Ngày vận hành] &gt; DATE(K$1+1,1,1)-1)
)), 0)
+IFERROR(
SUM(_xlfn._xlws.FILTER(Table_TSCD[Giá trị sổ sách],
(Table_TSCD[Ngày mua] &lt; DATE(K$1+1,1,1)-1)*
(ISBLANK(Table_TSCD[Ngày thanh lý]))*
(ISBLANK(Table_TSCD[Ngày vận hành] ))
)), 0)
+IFERROR(
SUM(_xlfn._xlws.FILTER(Table_TSCD[Giá trị sổ sách],
(NOT(ISBLANK(Table_TSCD[Ngày vận hành] ))) *
(NOT(ISBLANK(Table_TSCD[Ngày thanh lý])))*
(Table_TSCD[Ngày mua] &lt; DATE(K$1+1,1,1)-1)*
(Table_TSCD[Ngày vận hành] &gt; DATE(K$1+1,1,1)-1)*
(Table_TSCD[Ngày thanh lý] &gt; DATE(K$1+1,1,1)-1)
)), 0)
+IFERROR(
SUM(_xlfn._xlws.FILTER(Table_TSCD[Giá trị sổ sách],
(Table_TSCD[Ngày mua] &lt; DATE(K$1+1,1,1)-1)*
(Table_TSCD[Ngày thanh lý] &gt; DATE(K$1+1,1,1)-1)*
(NOT(ISBLANK(Table_TSCD[Ngày thanh lý])))*
(ISBLANK(Table_TSCD[Ngày vận hành] ))
)), 0)</f>
        <v>0</v>
      </c>
      <c r="L98" s="242"/>
      <c r="M98" s="259">
        <v>240</v>
      </c>
      <c r="N98" s="73" t="s">
        <v>460</v>
      </c>
      <c r="O98" s="244" cm="1">
        <f t="array" ref="O98">IFERROR(
SUM(_xlfn._xlws.FILTER(Table_TSCD[Giá trị sổ sách],
(NOT(ISBLANK(Table_TSCD[Ngày vận hành] ))) *
(ISBLANK(Table_TSCD[Ngày thanh lý]))*
(Table_TSCD[Ngày mua] &lt; DATE(YEAR(O$1),MONTH(O$1)+1,1)-1)*
(Table_TSCD[Ngày vận hành] &gt; DATE(YEAR(O$1),MONTH(O$1)+1,1 )-1)
)), 0)
+IFERROR(
SUM(_xlfn._xlws.FILTER(Table_TSCD[Giá trị sổ sách],
(Table_TSCD[Ngày mua] &lt; DATE(YEAR(O$1),MONTH(O$1)+1,1)-1)*
(ISBLANK(Table_TSCD[Ngày thanh lý]))*
(ISBLANK(Table_TSCD[Ngày vận hành] ))
)), 0)
+IFERROR(
SUM(_xlfn._xlws.FILTER(Table_TSCD[Giá trị sổ sách],
(NOT(ISBLANK(Table_TSCD[Ngày vận hành] ))) *
(NOT(ISBLANK(Table_TSCD[Ngày thanh lý])))*
(Table_TSCD[Ngày mua] &lt; DATE(YEAR(O$1),MONTH(O$1)+1,1)-1)*
(Table_TSCD[Ngày vận hành] &gt; DATE(YEAR(O$1),MONTH(O$1)+1,1 )-1)*
(Table_TSCD[Ngày thanh lý] &gt; DATE(YEAR(O$1),MONTH(O$1)+1,1 )-1)
)), 0)
+IFERROR(
SUM(_xlfn._xlws.FILTER(Table_TSCD[Giá trị sổ sách],
(Table_TSCD[Ngày mua] &lt; DATE(YEAR(O$1),MONTH(O$1)+1,1)-1)*
(Table_TSCD[Ngày thanh lý] &gt; DATE(YEAR(O$1),MONTH(O$1)+1,1 )-1)*
(NOT(ISBLANK(Table_TSCD[Ngày thanh lý])))*
(ISBLANK(Table_TSCD[Ngày vận hành] ))
)), 0)</f>
        <v>0</v>
      </c>
      <c r="P98" s="244" cm="1">
        <f t="array" ref="P98">IFERROR(
SUM(_xlfn._xlws.FILTER(Table_TSCD[Giá trị sổ sách],
(NOT(ISBLANK(Table_TSCD[Ngày vận hành] ))) *
(ISBLANK(Table_TSCD[Ngày thanh lý]))*
(Table_TSCD[Ngày mua] &lt; DATE(YEAR(P$1),MONTH(P$1)+1,1)-1)*
(Table_TSCD[Ngày vận hành] &gt; DATE(YEAR(P$1),MONTH(P$1)+1,1 )-1)
)), 0)
+IFERROR(
SUM(_xlfn._xlws.FILTER(Table_TSCD[Giá trị sổ sách],
(Table_TSCD[Ngày mua] &lt; DATE(YEAR(P$1),MONTH(P$1)+1,1)-1)*
(ISBLANK(Table_TSCD[Ngày thanh lý]))*
(ISBLANK(Table_TSCD[Ngày vận hành] ))
)), 0)
+IFERROR(
SUM(_xlfn._xlws.FILTER(Table_TSCD[Giá trị sổ sách],
(NOT(ISBLANK(Table_TSCD[Ngày vận hành] ))) *
(NOT(ISBLANK(Table_TSCD[Ngày thanh lý])))*
(Table_TSCD[Ngày mua] &lt; DATE(YEAR(P$1),MONTH(P$1)+1,1)-1)*
(Table_TSCD[Ngày vận hành] &gt; DATE(YEAR(P$1),MONTH(P$1)+1,1 )-1)*
(Table_TSCD[Ngày thanh lý] &gt; DATE(YEAR(P$1),MONTH(P$1)+1,1 )-1)
)), 0)
+IFERROR(
SUM(_xlfn._xlws.FILTER(Table_TSCD[Giá trị sổ sách],
(Table_TSCD[Ngày mua] &lt; DATE(YEAR(P$1),MONTH(P$1)+1,1)-1)*
(Table_TSCD[Ngày thanh lý] &gt; DATE(YEAR(P$1),MONTH(P$1)+1,1 )-1)*
(NOT(ISBLANK(Table_TSCD[Ngày thanh lý])))*
(ISBLANK(Table_TSCD[Ngày vận hành] ))
)), 0)</f>
        <v>0</v>
      </c>
      <c r="Q98" s="265"/>
      <c r="R98" s="265"/>
      <c r="S98" s="265"/>
      <c r="T98" s="265"/>
      <c r="U98" s="265"/>
      <c r="V98" s="265"/>
      <c r="W98" s="265"/>
      <c r="X98" s="265"/>
      <c r="Y98" s="265"/>
      <c r="Z98" s="265"/>
      <c r="AA98" s="265"/>
      <c r="AB98" s="265"/>
      <c r="AC98" s="265"/>
      <c r="AD98" s="265"/>
      <c r="AE98" s="265"/>
      <c r="AF98" s="265"/>
      <c r="AG98" s="265"/>
      <c r="AH98" s="265"/>
      <c r="AI98" s="265"/>
      <c r="AJ98" s="265"/>
      <c r="AK98" s="265"/>
      <c r="AL98" s="265"/>
      <c r="AM98" s="244"/>
    </row>
    <row r="99" spans="1:39" ht="18" customHeight="1" outlineLevel="2" x14ac:dyDescent="0.15">
      <c r="A99" s="242">
        <f t="shared" si="1"/>
        <v>96</v>
      </c>
      <c r="B99" s="259">
        <v>250</v>
      </c>
      <c r="C99" s="78" t="s">
        <v>461</v>
      </c>
      <c r="D99" s="244" cm="1">
        <f t="array" ref="D99">IFERROR(
SUM(_xlfn._xlws.FILTER(Table_DauTu[Giá trị đầu tư],
(Table_DauTu[Kỳ đầu tư] &lt; BCTC_BatDau) *
(Table_DauTu[Kỳ đáo hạn] &gt; DATE(YEAR(BCTC_BatDau) + 1, MONTH(BCTC_BatDau), DAY(BCTC_BatDau)))
)),0)
+
IFERROR(
SUM(_xlfn._xlws.FILTER(Table_DauTu[Giá trị đầu tư],
(Table_DauTu[Kỳ đầu tư] &lt; BCTC_BatDau) *
(ISBLANK(Table_DauTu[Thời hạn (tháng)]))
)),0)</f>
        <v>0</v>
      </c>
      <c r="E99" s="312" cm="1">
        <f t="array" ref="E99">IFERROR(
SUM(_xlfn._xlws.FILTER(Table_DauTu[Giá trị đầu tư],
(Table_DauTu[Kỳ đầu tư] &lt; DATE(BCTC_Nam, BCTC_Thang, 1)) *
(Table_DauTu[Kỳ đáo hạn] &gt;  DATE(BCTC_Nam+1, BCTC_Thang, 1))
)),0)
+
IFERROR(
SUM(_xlfn._xlws.FILTER(Table_DauTu[Giá trị đầu tư],
(Table_DauTu[Kỳ đầu tư] &lt; DATE(BCTC_Nam, BCTC_Thang, 1)) *
(ISBLANK(Table_DauTu[Kỳ đáo hạn]))
)),0)</f>
        <v>0</v>
      </c>
      <c r="F99" s="358" cm="1">
        <f t="array" ref="F99">IFERROR(
SUM(_xlfn._xlws.FILTER(Table_DauTu[Giá trị đầu tư],
(Table_DauTu[Kỳ đầu tư] &lt; DATE(BCTC_Nam, BCTC_Thang+1, 1)) *
(Table_DauTu[Kỳ đáo hạn] &gt;  DATE(BCTC_Nam+1, BCTC_Thang+1, 1))
)),0)
+
IFERROR(
SUM(_xlfn._xlws.FILTER(Table_DauTu[Giá trị đầu tư],
(Table_DauTu[Kỳ đầu tư] &lt; DATE(BCTC_Nam, BCTC_Thang+1, 1)) *
(ISBLANK(Table_DauTu[Kỳ đáo hạn]))
)),0)</f>
        <v>0</v>
      </c>
      <c r="G99" s="242"/>
      <c r="H99" s="359">
        <v>250</v>
      </c>
      <c r="I99" s="78" t="s">
        <v>461</v>
      </c>
      <c r="J99" s="312" cm="1">
        <f t="array" ref="J99">IFERROR(
SUM(_xlfn._xlws.FILTER(Table_DauTu[Giá trị đầu tư],
(Table_DauTu[Kỳ đầu tư] &lt; DATE(J$1+1,1, 1)) *
(Table_DauTu[Kỳ đáo hạn] &gt;  DATE(J$1+2,1, 1))
)),0)
+
IFERROR(
SUM(_xlfn._xlws.FILTER(Table_DauTu[Giá trị đầu tư],
(Table_DauTu[Kỳ đầu tư] &lt; DATE(J$1+1,1, 1)) *
(ISBLANK(Table_DauTu[Kỳ đáo hạn]))
)),0)</f>
        <v>0</v>
      </c>
      <c r="K99" s="312" cm="1">
        <f t="array" ref="K99">IFERROR(
SUM(_xlfn._xlws.FILTER(Table_DauTu[Giá trị đầu tư],
(Table_DauTu[Kỳ đầu tư] &lt; DATE(K$1+1,1, 1)) *
(Table_DauTu[Kỳ đáo hạn] &gt;  DATE(K$1+2,1, 1))
)),0)
+
IFERROR(
SUM(_xlfn._xlws.FILTER(Table_DauTu[Giá trị đầu tư],
(Table_DauTu[Kỳ đầu tư] &lt; DATE(K$1+1,1, 1)) *
(ISBLANK(Table_DauTu[Kỳ đáo hạn]))
)),0)</f>
        <v>0</v>
      </c>
      <c r="L99" s="242"/>
      <c r="M99" s="259">
        <v>250</v>
      </c>
      <c r="N99" s="73" t="s">
        <v>461</v>
      </c>
      <c r="O99" s="358" cm="1">
        <f t="array" ref="O99">IFERROR(
SUM(_xlfn._xlws.FILTER(Table_DauTu[Giá trị đầu tư],
(Table_DauTu[Kỳ đầu tư] &lt; DATE(YEAR(O$1),MONTH(O$1)+1, 1)) *
(Table_DauTu[Kỳ đáo hạn] &gt;  DATE(YEAR(O$1)+1,MONTH(O$1)+1, 1))
)),0)
+
IFERROR(
SUM(_xlfn._xlws.FILTER(Table_DauTu[Giá trị đầu tư],
(Table_DauTu[Kỳ đầu tư] &lt; DATE(YEAR(O$1),MONTH(O$1)+1, 1)) *
(ISBLANK(Table_DauTu[Kỳ đáo hạn]))
)),0)</f>
        <v>0</v>
      </c>
      <c r="P99" s="358" cm="1">
        <f t="array" ref="P99">IFERROR(
SUM(_xlfn._xlws.FILTER(Table_DauTu[Giá trị đầu tư],
(Table_DauTu[Kỳ đầu tư] &lt; DATE(YEAR(P$1),MONTH(P$1)+1, 1)) *
(Table_DauTu[Kỳ đáo hạn] &gt;  DATE(YEAR(P$1)+1,MONTH(P$1)+1, 1))
)),0)
+
IFERROR(
SUM(_xlfn._xlws.FILTER(Table_DauTu[Giá trị đầu tư],
(Table_DauTu[Kỳ đầu tư] &lt; DATE(YEAR(P$1),MONTH(P$1)+1, 1)) *
(ISBLANK(Table_DauTu[Kỳ đáo hạn]))
)),0)</f>
        <v>0</v>
      </c>
      <c r="Q99" s="265"/>
      <c r="R99" s="381"/>
      <c r="S99" s="265"/>
      <c r="T99" s="265"/>
      <c r="U99" s="265"/>
      <c r="V99" s="265"/>
      <c r="W99" s="265"/>
      <c r="X99" s="265"/>
      <c r="Y99" s="265"/>
      <c r="Z99" s="265"/>
      <c r="AA99" s="265"/>
      <c r="AB99" s="265"/>
      <c r="AC99" s="265"/>
      <c r="AD99" s="265"/>
      <c r="AE99" s="265"/>
      <c r="AF99" s="265"/>
      <c r="AG99" s="265"/>
      <c r="AH99" s="265"/>
      <c r="AI99" s="265"/>
      <c r="AJ99" s="265"/>
      <c r="AK99" s="265"/>
      <c r="AL99" s="265"/>
      <c r="AM99" s="244"/>
    </row>
    <row r="100" spans="1:39" ht="18" customHeight="1" outlineLevel="2" x14ac:dyDescent="0.15">
      <c r="A100" s="242">
        <f t="shared" si="1"/>
        <v>97</v>
      </c>
      <c r="B100" s="259">
        <v>260</v>
      </c>
      <c r="C100" s="78" t="s">
        <v>462</v>
      </c>
      <c r="D100" s="244">
        <v>0</v>
      </c>
      <c r="E100" s="358">
        <f>+Table_BCTC[[#This Row],[Đầu kỳ]]</f>
        <v>0</v>
      </c>
      <c r="F100" s="358">
        <f>+Table_BCTC[[#This Row],[Đầu kỳ]]</f>
        <v>0</v>
      </c>
      <c r="G100" s="242"/>
      <c r="H100" s="359">
        <v>260</v>
      </c>
      <c r="I100" s="78" t="s">
        <v>462</v>
      </c>
      <c r="J100" s="358"/>
      <c r="K100" s="358"/>
      <c r="L100" s="242"/>
      <c r="M100" s="259">
        <v>260</v>
      </c>
      <c r="N100" s="73" t="s">
        <v>462</v>
      </c>
      <c r="O100" s="358"/>
      <c r="P100" s="358"/>
      <c r="Q100" s="265"/>
      <c r="R100" s="265"/>
      <c r="S100" s="265"/>
      <c r="T100" s="265"/>
      <c r="U100" s="265"/>
      <c r="V100" s="265"/>
      <c r="W100" s="265"/>
      <c r="X100" s="265"/>
      <c r="Y100" s="265"/>
      <c r="Z100" s="265"/>
      <c r="AA100" s="265"/>
      <c r="AB100" s="265"/>
      <c r="AC100" s="265"/>
      <c r="AD100" s="265"/>
      <c r="AE100" s="265"/>
      <c r="AF100" s="265"/>
      <c r="AG100" s="265"/>
      <c r="AH100" s="265"/>
      <c r="AI100" s="265"/>
      <c r="AJ100" s="265"/>
      <c r="AK100" s="265"/>
      <c r="AL100" s="265"/>
      <c r="AM100" s="244"/>
    </row>
    <row r="101" spans="1:39" ht="18" customHeight="1" outlineLevel="1" x14ac:dyDescent="0.15">
      <c r="A101" s="242">
        <f t="shared" si="1"/>
        <v>98</v>
      </c>
      <c r="B101" s="372">
        <v>300</v>
      </c>
      <c r="C101" s="77" t="s">
        <v>463</v>
      </c>
      <c r="D101" s="373">
        <f>+D109+D102</f>
        <v>4050000000</v>
      </c>
      <c r="E101" s="373">
        <f>+E109+E102</f>
        <v>4050000000</v>
      </c>
      <c r="F101" s="373">
        <f>+F109+F102</f>
        <v>4050000000</v>
      </c>
      <c r="G101" s="242"/>
      <c r="H101" s="372">
        <v>300</v>
      </c>
      <c r="I101" s="77" t="s">
        <v>463</v>
      </c>
      <c r="J101" s="373">
        <f>+J109+J102</f>
        <v>717896812.66666663</v>
      </c>
      <c r="K101" s="373">
        <f>+K109+K102</f>
        <v>717896812.66666663</v>
      </c>
      <c r="L101" s="242"/>
      <c r="M101" s="372">
        <v>300</v>
      </c>
      <c r="N101" s="77" t="s">
        <v>463</v>
      </c>
      <c r="O101" s="373">
        <f>+O109+O102</f>
        <v>716666666.66666663</v>
      </c>
      <c r="P101" s="373">
        <f>+P109+P102</f>
        <v>716666666.66666663</v>
      </c>
      <c r="Q101" s="265"/>
      <c r="R101" s="265"/>
      <c r="S101" s="265"/>
      <c r="T101" s="265"/>
      <c r="U101" s="265"/>
      <c r="V101" s="265"/>
      <c r="W101" s="265"/>
      <c r="X101" s="265"/>
      <c r="Y101" s="265"/>
      <c r="Z101" s="265"/>
      <c r="AA101" s="265"/>
      <c r="AB101" s="265"/>
      <c r="AC101" s="265"/>
      <c r="AD101" s="265"/>
      <c r="AE101" s="265"/>
      <c r="AF101" s="265"/>
      <c r="AG101" s="265"/>
      <c r="AH101" s="265"/>
      <c r="AI101" s="265"/>
      <c r="AJ101" s="265"/>
      <c r="AK101" s="265"/>
      <c r="AL101" s="265"/>
      <c r="AM101" s="244"/>
    </row>
    <row r="102" spans="1:39" ht="18" customHeight="1" outlineLevel="2" x14ac:dyDescent="0.15">
      <c r="A102" s="242">
        <f t="shared" si="1"/>
        <v>99</v>
      </c>
      <c r="B102" s="259">
        <v>310</v>
      </c>
      <c r="C102" s="73" t="s">
        <v>464</v>
      </c>
      <c r="D102" s="244">
        <f>+SUM(D103:D108)</f>
        <v>716666666.66666663</v>
      </c>
      <c r="E102" s="244">
        <f>+SUM(E103:E108)</f>
        <v>716666666.66666663</v>
      </c>
      <c r="F102" s="244">
        <f>+SUM(F103:F108)</f>
        <v>716666666.66666663</v>
      </c>
      <c r="G102" s="242"/>
      <c r="H102" s="259">
        <v>310</v>
      </c>
      <c r="I102" s="73" t="s">
        <v>464</v>
      </c>
      <c r="J102" s="244">
        <f>+SUM(J103:J108)</f>
        <v>717896812.66666663</v>
      </c>
      <c r="K102" s="244">
        <f>+SUM(K103:K108)</f>
        <v>717896812.66666663</v>
      </c>
      <c r="L102" s="242"/>
      <c r="M102" s="259">
        <v>310</v>
      </c>
      <c r="N102" s="73" t="s">
        <v>464</v>
      </c>
      <c r="O102" s="244">
        <f>+SUM(O103:O108)</f>
        <v>716666666.66666663</v>
      </c>
      <c r="P102" s="244">
        <f>+SUM(P103:P108)</f>
        <v>716666666.66666663</v>
      </c>
      <c r="Q102" s="265"/>
      <c r="R102" s="265"/>
      <c r="S102" s="265"/>
      <c r="T102" s="265"/>
      <c r="U102" s="265"/>
      <c r="V102" s="265"/>
      <c r="W102" s="265"/>
      <c r="X102" s="265"/>
      <c r="Y102" s="265"/>
      <c r="Z102" s="265"/>
      <c r="AA102" s="265"/>
      <c r="AB102" s="265"/>
      <c r="AC102" s="265"/>
      <c r="AD102" s="265"/>
      <c r="AE102" s="265"/>
      <c r="AF102" s="265"/>
      <c r="AG102" s="265"/>
      <c r="AH102" s="265"/>
      <c r="AI102" s="265"/>
      <c r="AJ102" s="265"/>
      <c r="AK102" s="265"/>
      <c r="AL102" s="265"/>
      <c r="AM102" s="244"/>
    </row>
    <row r="103" spans="1:39" ht="18" customHeight="1" outlineLevel="3" x14ac:dyDescent="0.15">
      <c r="A103" s="242">
        <f t="shared" si="1"/>
        <v>100</v>
      </c>
      <c r="B103" s="365">
        <v>311</v>
      </c>
      <c r="C103" s="72" t="s">
        <v>465</v>
      </c>
      <c r="D103" s="362">
        <f>Sheet_PhaiTra!D2-D110</f>
        <v>0</v>
      </c>
      <c r="E103" s="362">
        <f>Table_BCTC[[#This Row],[Đầu kỳ]]+
IFERROR(
IF(BCTC_Thang = 1,
HLOOKUP(
DATE(BCTC_Nam-1,12,1),Sheet_PhaiTra!$B$1:$XFD$9,Sheet_PhaiTra!$A$2,0
),
HLOOKUP(
DATE(BCTC_Nam,BCTC_Thang-1,1),Sheet_PhaiTra!$B$1:$XFD$9,Sheet_PhaiTra!$A$2,0
)),0)
-E110</f>
        <v>0</v>
      </c>
      <c r="F103" s="371">
        <f>Table_BCTC[[#This Row],[Đầu kỳ]]+
IFERROR(
HLOOKUP(
DATE(BCTC_Nam,BCTC_Thang,1),Sheet_PhaiTra!$B$1:$XFD$9,Sheet_PhaiTra!$A$2,0
),0)
-F110</f>
        <v>0</v>
      </c>
      <c r="G103" s="242"/>
      <c r="H103" s="365">
        <v>311</v>
      </c>
      <c r="I103" s="72" t="s">
        <v>465</v>
      </c>
      <c r="J103" s="362">
        <f>IFERROR(
HLOOKUP(
DATE(J$1,12,1),
Sheet_PhaiTra!$B$1:$XFD$9,Sheet_PhaiTra!$A$2,0
),
IFERROR(
HLOOKUP(
MAX(Sheet_PhaiTra!$D$1:$XFD$1),
Sheet_PhaiTra!$B$1:$XFD$9,Sheet_PhaiTra!$A$2,0
),
0))
-J110</f>
        <v>430146</v>
      </c>
      <c r="K103" s="362">
        <f>IFERROR(
HLOOKUP(
DATE(K$1,12,1),
Sheet_PhaiTra!$B$1:$XFD$9,Sheet_PhaiTra!$A$2,0
),
IFERROR(
HLOOKUP(
MAX(Sheet_PhaiTra!$D$1:$XFD$1),
Sheet_PhaiTra!$B$1:$XFD$9,Sheet_PhaiTra!$A$2,0
),
0))
-K110</f>
        <v>430146</v>
      </c>
      <c r="L103" s="242"/>
      <c r="M103" s="365">
        <v>311</v>
      </c>
      <c r="N103" s="72" t="s">
        <v>465</v>
      </c>
      <c r="O103" s="371">
        <f xml:space="preserve">
IFERROR(
HLOOKUP(
O$1,Sheet_PhaiTra!$B$1:$XFD$9,Sheet_PhaiTra!$A$2,0
),0)
-O110</f>
        <v>0</v>
      </c>
      <c r="P103" s="371">
        <f xml:space="preserve">
IFERROR(
HLOOKUP(
P$1,Sheet_PhaiTra!$B$1:$XFD$9,Sheet_PhaiTra!$A$2,0
),0)
-P110</f>
        <v>0</v>
      </c>
      <c r="Q103" s="265"/>
      <c r="R103" s="265"/>
      <c r="S103" s="265"/>
      <c r="T103" s="265"/>
      <c r="U103" s="265"/>
      <c r="V103" s="265"/>
      <c r="W103" s="265"/>
      <c r="X103" s="265"/>
      <c r="Y103" s="265"/>
      <c r="Z103" s="265"/>
      <c r="AA103" s="265"/>
      <c r="AB103" s="265"/>
      <c r="AC103" s="265"/>
      <c r="AD103" s="265"/>
      <c r="AE103" s="265"/>
      <c r="AF103" s="265"/>
      <c r="AG103" s="265"/>
      <c r="AH103" s="265"/>
      <c r="AI103" s="265"/>
      <c r="AJ103" s="265"/>
      <c r="AK103" s="265"/>
      <c r="AL103" s="265"/>
      <c r="AM103" s="244"/>
    </row>
    <row r="104" spans="1:39" ht="18" customHeight="1" outlineLevel="3" x14ac:dyDescent="0.15">
      <c r="A104" s="242">
        <f t="shared" si="1"/>
        <v>101</v>
      </c>
      <c r="B104" s="365">
        <v>312</v>
      </c>
      <c r="C104" s="72" t="s">
        <v>466</v>
      </c>
      <c r="D104" s="362">
        <f>Sheet_PhaiThu!D4-D111</f>
        <v>0</v>
      </c>
      <c r="E104" s="362">
        <f>Table_BCTC[[#This Row],[Đầu kỳ]]+
IFERROR(
IF(BCTC_Thang = 1,
HLOOKUP(
DATE(BCTC_Nam-1,12,1),Sheet_PhaiThu!$C$1:$XFD$5,Sheet_PhaiThu!$B$4,0
),
HLOOKUP(
DATE(BCTC_Nam,BCTC_Thang-1,1),Sheet_PhaiThu!$C$1:$XFD$5,Sheet_PhaiThu!$B$4,0
)),0)
-E111</f>
        <v>0</v>
      </c>
      <c r="F104" s="371">
        <f>Table_BCTC[[#This Row],[Đầu kỳ]]+
IFERROR(
HLOOKUP(
DATE(BCTC_Nam,BCTC_Thang,1),Sheet_PhaiThu!$C$1:$XFD$5,Sheet_PhaiThu!$B$4,0
),0)
-F111</f>
        <v>0</v>
      </c>
      <c r="G104" s="242"/>
      <c r="H104" s="365">
        <v>312</v>
      </c>
      <c r="I104" s="72" t="s">
        <v>466</v>
      </c>
      <c r="J104" s="362">
        <f>IFERROR(
HLOOKUP(
DATE(J$1,12,1),
Sheet_PhaiThu!$C$1:$XFD$5,Sheet_PhaiThu!$B$4,0
),
IFERROR(
HLOOKUP(
MAX(Sheet_PhaiThu!$D$1:$XFD$1),
Sheet_PhaiThu!$C$1:$XFD$5,Sheet_PhaiThu!$B$4,0
),
0))
-J111</f>
        <v>800000</v>
      </c>
      <c r="K104" s="362">
        <f>IFERROR(
HLOOKUP(
DATE(K$1,12,1),
Sheet_PhaiThu!$C$1:$XFD$5,Sheet_PhaiThu!$B$4,0
),
IFERROR(
HLOOKUP(
MAX(Sheet_PhaiThu!$D$1:$XFD$1),
Sheet_PhaiThu!$C$1:$XFD$5,Sheet_PhaiThu!$B$4,0
),
0))
-K111</f>
        <v>800000</v>
      </c>
      <c r="L104" s="242"/>
      <c r="M104" s="365">
        <v>312</v>
      </c>
      <c r="N104" s="72" t="s">
        <v>466</v>
      </c>
      <c r="O104" s="371">
        <f>IFERROR(
HLOOKUP(
O$1,Sheet_PhaiThu!$C$1:$XFD$5,Sheet_PhaiThu!$B$4,0
),0)
-O111</f>
        <v>0</v>
      </c>
      <c r="P104" s="371">
        <f>IFERROR(
HLOOKUP(
P$1,Sheet_PhaiThu!$C$1:$XFD$5,Sheet_PhaiThu!$B$4,0
),0)
-P111</f>
        <v>0</v>
      </c>
      <c r="Q104" s="265"/>
      <c r="R104" s="265"/>
      <c r="S104" s="265"/>
      <c r="T104" s="265"/>
      <c r="U104" s="265"/>
      <c r="V104" s="265"/>
      <c r="W104" s="265"/>
      <c r="X104" s="265"/>
      <c r="Y104" s="265"/>
      <c r="Z104" s="265"/>
      <c r="AA104" s="265"/>
      <c r="AB104" s="265"/>
      <c r="AC104" s="265"/>
      <c r="AD104" s="265"/>
      <c r="AE104" s="265"/>
      <c r="AF104" s="265"/>
      <c r="AG104" s="265"/>
      <c r="AH104" s="265"/>
      <c r="AI104" s="265"/>
      <c r="AJ104" s="265"/>
      <c r="AK104" s="265"/>
      <c r="AL104" s="265"/>
      <c r="AM104" s="244"/>
    </row>
    <row r="105" spans="1:39" ht="18" customHeight="1" outlineLevel="3" x14ac:dyDescent="0.15">
      <c r="A105" s="242">
        <f t="shared" si="1"/>
        <v>102</v>
      </c>
      <c r="B105" s="365">
        <v>313</v>
      </c>
      <c r="C105" s="72" t="s">
        <v>467</v>
      </c>
      <c r="D105" s="362">
        <v>0</v>
      </c>
      <c r="E105" s="362" cm="1">
        <f t="array" ref="E105">Table_BCTC[[#This Row],[Đầu kỳ]]
+IFERROR(SUM(_xlfn._xlws.FILTER(Table_NopNS[Còn lại],
(Table_NopNS[Ngân sách] &lt;&gt; "Thuế VAT")*
(Table_NopNS[Kỳ] = DATE(BCTC_Nam,BCTC_Thang-1,1))
)),0)
+
IF(BCTC_Thang = 1,0,
IFERROR(SUM(_xlfn._xlws.FILTER(Table_ChiPhiKD[Giá trị],
(ISBLANK(Table_ChiPhiKD[Tháng]))*
(Table_ChiPhiKD[Năm] = BCTC_Nam)*
(Table_ChiPhiKD[Nhóm vendor] = "NSNN")
))*(12-BCTC_Thang+1)/12,0))
+IFERROR(SUM(_xlfn._xlws.FILTER(Table_NopNS[Giá trị tính thuế],
(Table_NopNS[Ngân sách] = "Thuế VAT")*
(Table_NopNS[Kỳ] &lt; DATE(BCTC_Nam,BCTC_Thang,1))
)),0)
-IFERROR(SUM(_xlfn._xlws.FILTER(Table_LaiKhac[Giá trị],
(Table_LaiKhac[Đối tác] = "Thuế VAT")*
(Table_LaiKhac[Kỳ] &lt; DATE(BCTC_Nam,BCTC_Thang,1))
)),0)
-IFERROR(SUM(_xlfn._xlws.FILTER(Table_ThuChiKD[Giá trị GD],
(Table_ThuChiKD[Đối tác] = "Thuế VAT")*
(Table_ThuChiKD[Ngày GD] &lt; DATE(BCTC_Nam, BCTC_Thang,1))
)),0)</f>
        <v>0</v>
      </c>
      <c r="F105" s="371" cm="1">
        <f t="array" ref="F105">Table_BCTC[[#This Row],[Đầu kỳ]]
+IFERROR(SUM(_xlfn._xlws.FILTER(Table_NopNS[Còn lại],
(Table_NopNS[Ngân sách] &lt;&gt; "Thuế VAT")*
(Table_NopNS[Kỳ] = DATE(BCTC_Nam,BCTC_Thang,1))
)),0)
+IFERROR(SUM(_xlfn._xlws.FILTER(Table_ChiPhiKD[Giá trị],
(ISBLANK(Table_ChiPhiKD[Tháng]))*
(Table_ChiPhiKD[Năm] = BCTC_Nam)*
(Table_ChiPhiKD[Nhóm vendor] = "NSNN")
))*(12-BCTC_Thang)/12,0)
+IFERROR(SUM(_xlfn._xlws.FILTER(Table_NopNS[Giá trị tính thuế],
(Table_NopNS[Ngân sách] = "Thuế VAT")*
(Table_NopNS[Kỳ] &lt; DATE(BCTC_Nam,BCTC_Thang+1,1))
)),0)
-IFERROR(SUM(_xlfn._xlws.FILTER(Table_LaiKhac[Giá trị],
(Table_LaiKhac[Đối tác] = "Thuế VAT")*
(Table_LaiKhac[Kỳ] &lt; DATE(BCTC_Nam,BCTC_Thang+1,1)-1)
)),0)
-IFERROR(SUM(_xlfn._xlws.FILTER(Table_ThuChiKD[Giá trị GD],
(Table_ThuChiKD[Đối tác] = "Thuế VAT")*
(Table_ThuChiKD[Ngày GD] &lt; DATE(BCTC_Nam, BCTC_Thang+1,1))
)),0)</f>
        <v>0</v>
      </c>
      <c r="G105" s="242"/>
      <c r="H105" s="365">
        <v>313</v>
      </c>
      <c r="I105" s="72" t="s">
        <v>467</v>
      </c>
      <c r="J105" s="375" cm="1">
        <f t="array" ref="J105">Table_BCTC[[#This Row],[Đầu kỳ]]
+IFERROR(
SUM(
_xlfn._xlws.FILTER(Table_NopNS[Còn lại],
(Table_NopNS[Ngân sách] &lt;&gt; "Thuế VAT")*
(Table_NopNS[Kỳ] = DATE(J$1,12,1))
)),
IFERROR(
SUM(
_xlfn._xlws.FILTER(Table_NopNS[Còn lại],
(Table_NopNS[Ngân sách] &lt;&gt; "Thuế VAT")*
(Table_NopNS[Kỳ] = MAX(Table_NopNS[Kỳ]))
)),
0)
)
+IFERROR(
SUM(
_xlfn._xlws.FILTER(Table_NopNS[Giá trị tính thuế],
(Table_NopNS[Ngân sách] = "Thuế VAT")*
(Table_NopNS[Kỳ] &lt; DATE(J$1+1,1,1))
)),
0)
-IFERROR(
SUM(
_xlfn._xlws.FILTER(Table_LaiKhac[Giá trị],
(Table_LaiKhac[Đối tác] = "Thuế VAT")*
(Table_LaiKhac[Kỳ] &lt; DATE(J$1+1,1,1)-1)
)),
0)
-IFERROR(
SUM(
_xlfn._xlws.FILTER(Table_ThuChiKD[Giá trị GD],
(Table_ThuChiKD[Đối tác] = "Thuế VAT")*
(Table_ThuChiKD[Ngày GD] &lt; DATE(J$1+1,1,1))
)),
0)</f>
        <v>0</v>
      </c>
      <c r="K105" s="375" cm="1">
        <f t="array" ref="K105">Table_BCTC[[#This Row],[Đầu kỳ]]
+IFERROR(
SUM(
_xlfn._xlws.FILTER(Table_NopNS[Còn lại],
(Table_NopNS[Ngân sách] &lt;&gt; "Thuế VAT")*
(Table_NopNS[Kỳ] = DATE(K$1,12,1))
)),
IFERROR(
SUM(
_xlfn._xlws.FILTER(Table_NopNS[Còn lại],
(Table_NopNS[Ngân sách] &lt;&gt; "Thuế VAT")*
(Table_NopNS[Kỳ] = MAX(Table_NopNS[Kỳ]))
)),
0)
)
+IFERROR(
SUM(
_xlfn._xlws.FILTER(Table_NopNS[Giá trị tính thuế],
(Table_NopNS[Ngân sách] = "Thuế VAT")*
(Table_NopNS[Kỳ] &lt; DATE(K$1+1,1,1))
)),
0)
-IFERROR(
SUM(
_xlfn._xlws.FILTER(Table_LaiKhac[Giá trị],
(Table_LaiKhac[Đối tác] = "Thuế VAT")*
(Table_LaiKhac[Kỳ] &lt; DATE(K$1+1,1,1)-1)
)),
0)
-IFERROR(
SUM(
_xlfn._xlws.FILTER(Table_ThuChiKD[Giá trị GD],
(Table_ThuChiKD[Đối tác] = "Thuế VAT")*
(Table_ThuChiKD[Ngày GD] &lt; DATE(K$1+1,1,1))
)),
0)</f>
        <v>0</v>
      </c>
      <c r="L105" s="242"/>
      <c r="M105" s="365">
        <v>313</v>
      </c>
      <c r="N105" s="72" t="s">
        <v>467</v>
      </c>
      <c r="O105" s="371" cm="1">
        <f t="array" ref="O105">Table_BCTC[[#This Row],[Đầu kỳ]]
+IFERROR(SUM(_xlfn._xlws.FILTER(Table_NopNS[Còn lại],
(Table_NopNS[Ngân sách] &lt;&gt; "Thuế VAT")*
(Table_NopNS[Kỳ] = O$1)
)),0)
+IFERROR(SUM(_xlfn._xlws.FILTER(Table_ChiPhiKD[Giá trị],
(ISBLANK(Table_ChiPhiKD[Tháng]))*
(Table_ChiPhiKD[Năm] = YEAR(O$1))*
(Table_ChiPhiKD[Nhóm vendor] = "NSNN")
))*(12-MONTH(O$1))/12,0)
+IFERROR(SUM(_xlfn._xlws.FILTER(Table_NopNS[Giá trị tính thuế],
(Table_NopNS[Ngân sách] = "Thuế VAT")*
(Table_NopNS[Kỳ] &lt; DATE(YEAR(O$1),MONTH(O$1)+1,1))
)),0)
-IFERROR(SUM(_xlfn._xlws.FILTER(Table_LaiKhac[Giá trị],
(Table_LaiKhac[Đối tác] = "Thuế VAT")*
(Table_LaiKhac[Kỳ] &lt; DATE(YEAR(O$1),MONTH(O$1)+1,1)-1)
)),0)
-IFERROR(SUM(_xlfn._xlws.FILTER(Table_ThuChiKD[Giá trị GD],
(Table_ThuChiKD[Đối tác] = "Thuế VAT")*
(Table_ThuChiKD[Ngày GD] &lt; DATE(YEAR(O$1),MONTH(O$1)+1,1))
)),0)</f>
        <v>0</v>
      </c>
      <c r="P105" s="371" cm="1">
        <f t="array" ref="P105">Table_BCTC[[#This Row],[Đầu kỳ]]
+IFERROR(SUM(_xlfn._xlws.FILTER(Table_NopNS[Còn lại],
(Table_NopNS[Ngân sách] &lt;&gt; "Thuế VAT")*
(Table_NopNS[Kỳ] = P$1)
)),0)
+IFERROR(SUM(_xlfn._xlws.FILTER(Table_ChiPhiKD[Giá trị],
(ISBLANK(Table_ChiPhiKD[Tháng]))*
(Table_ChiPhiKD[Năm] = YEAR(P$1))*
(Table_ChiPhiKD[Nhóm vendor] = "NSNN")
))*(12-MONTH(P$1))/12,0)
+IFERROR(SUM(_xlfn._xlws.FILTER(Table_NopNS[Giá trị tính thuế],
(Table_NopNS[Ngân sách] = "Thuế VAT")*
(Table_NopNS[Kỳ] &lt; DATE(YEAR(P$1),MONTH(P$1)+1,1))
)),0)
-IFERROR(SUM(_xlfn._xlws.FILTER(Table_LaiKhac[Giá trị],
(Table_LaiKhac[Đối tác] = "Thuế VAT")*
(Table_LaiKhac[Kỳ] &lt; DATE(YEAR(P$1),MONTH(P$1)+1,1)-1)
)),0)
-IFERROR(SUM(_xlfn._xlws.FILTER(Table_ThuChiKD[Giá trị GD],
(Table_ThuChiKD[Đối tác] = "Thuế VAT")*
(Table_ThuChiKD[Ngày GD] &lt; DATE(YEAR(P$1),MONTH(P$1)+1,1))
)),0)</f>
        <v>0</v>
      </c>
      <c r="Q105" s="265"/>
      <c r="R105" s="265"/>
      <c r="S105" s="265"/>
      <c r="T105" s="265"/>
      <c r="U105" s="265"/>
      <c r="V105" s="265"/>
      <c r="W105" s="265"/>
      <c r="X105" s="265"/>
      <c r="Y105" s="265"/>
      <c r="Z105" s="265"/>
      <c r="AA105" s="265"/>
      <c r="AB105" s="265"/>
      <c r="AC105" s="265"/>
      <c r="AD105" s="265"/>
      <c r="AE105" s="265"/>
      <c r="AF105" s="265"/>
      <c r="AG105" s="265"/>
      <c r="AH105" s="265"/>
      <c r="AI105" s="265"/>
      <c r="AJ105" s="265"/>
      <c r="AK105" s="265"/>
      <c r="AL105" s="265"/>
      <c r="AM105" s="244"/>
    </row>
    <row r="106" spans="1:39" ht="18" customHeight="1" outlineLevel="3" x14ac:dyDescent="0.15">
      <c r="A106" s="242">
        <f t="shared" si="1"/>
        <v>103</v>
      </c>
      <c r="B106" s="365">
        <v>316</v>
      </c>
      <c r="C106" s="72" t="s">
        <v>468</v>
      </c>
      <c r="D106" s="362">
        <f>Sheet_PhaiTra!D6-D112</f>
        <v>0</v>
      </c>
      <c r="E106" s="362">
        <f xml:space="preserve">
IFERROR(
IF(BCTC_Thang = 1,
HLOOKUP(
DATE(BCTC_Nam-1,12,1),Sheet_PhaiTra!$B$1:$XFD$9,Sheet_PhaiTra!$A$6,0
),
HLOOKUP(
DATE(BCTC_Nam,BCTC_Thang-1,1),Sheet_PhaiTra!$B$1:$XFD$9,Sheet_PhaiTra!$A$6,0
)),0)
-E112</f>
        <v>0</v>
      </c>
      <c r="F106" s="371">
        <f xml:space="preserve">
IFERROR(
HLOOKUP(
DATE(BCTC_Nam,BCTC_Thang,1),Sheet_PhaiTra!$B$1:$XFD$9,Sheet_PhaiTra!$A$6,0
),0)
-F112</f>
        <v>0</v>
      </c>
      <c r="G106" s="242"/>
      <c r="H106" s="365">
        <v>316</v>
      </c>
      <c r="I106" s="72" t="s">
        <v>468</v>
      </c>
      <c r="J106" s="362">
        <f>IFERROR(
HLOOKUP(
DATE(J$1,12,1),
Sheet_PhaiTra!$B$1:$XFD$9,Sheet_PhaiTra!$A$6,0
),
IFERROR(
HLOOKUP(
MAX(Sheet_PhaiTra!$D$1:$XFD$1),
Sheet_PhaiTra!$B$1:$XFD$9,Sheet_PhaiTra!$A$6,0
),
0))
-J112</f>
        <v>0</v>
      </c>
      <c r="K106" s="362">
        <f>IFERROR(
HLOOKUP(
DATE(K$1,12,1),
Sheet_PhaiTra!$B$1:$XFD$9,Sheet_PhaiTra!$A$6,0
),
IFERROR(
HLOOKUP(
MAX(Sheet_PhaiTra!$D$1:$XFD$1),
Sheet_PhaiTra!$B$1:$XFD$9,Sheet_PhaiTra!$A$6,0
),
0))
-K112</f>
        <v>0</v>
      </c>
      <c r="L106" s="242"/>
      <c r="M106" s="365">
        <v>316</v>
      </c>
      <c r="N106" s="72" t="s">
        <v>468</v>
      </c>
      <c r="O106" s="371">
        <f xml:space="preserve">
IFERROR(
HLOOKUP(
O$1,Sheet_PhaiTra!$B$1:$XFD$9,Sheet_PhaiTra!$A$6,0
),0)
-O112</f>
        <v>0</v>
      </c>
      <c r="P106" s="371">
        <f xml:space="preserve">
IFERROR(
HLOOKUP(
P$1,Sheet_PhaiTra!$B$1:$XFD$9,Sheet_PhaiTra!$A$6,0
),0)
-P112</f>
        <v>0</v>
      </c>
      <c r="Q106" s="265"/>
      <c r="R106" s="265"/>
      <c r="S106" s="265"/>
      <c r="T106" s="265"/>
      <c r="U106" s="265"/>
      <c r="V106" s="265"/>
      <c r="W106" s="265"/>
      <c r="X106" s="265"/>
      <c r="Y106" s="265"/>
      <c r="Z106" s="265"/>
      <c r="AA106" s="265"/>
      <c r="AB106" s="265"/>
      <c r="AC106" s="265"/>
      <c r="AD106" s="265"/>
      <c r="AE106" s="265"/>
      <c r="AF106" s="265"/>
      <c r="AG106" s="265"/>
      <c r="AH106" s="265"/>
      <c r="AI106" s="265"/>
      <c r="AJ106" s="265"/>
      <c r="AK106" s="265"/>
      <c r="AL106" s="265"/>
      <c r="AM106" s="244"/>
    </row>
    <row r="107" spans="1:39" ht="18" customHeight="1" outlineLevel="3" x14ac:dyDescent="0.15">
      <c r="A107" s="242">
        <f t="shared" si="1"/>
        <v>104</v>
      </c>
      <c r="B107" s="365">
        <v>319</v>
      </c>
      <c r="C107" s="72" t="s">
        <v>469</v>
      </c>
      <c r="D107" s="362">
        <v>0</v>
      </c>
      <c r="E107" s="362">
        <f>+Table_BCTC[[#This Row],[Đầu kỳ]]</f>
        <v>0</v>
      </c>
      <c r="F107" s="371">
        <f>+Table_BCTC[[#This Row],[Đầu kỳ]]</f>
        <v>0</v>
      </c>
      <c r="G107" s="242"/>
      <c r="H107" s="365">
        <v>319</v>
      </c>
      <c r="I107" s="72" t="s">
        <v>469</v>
      </c>
      <c r="J107" s="362"/>
      <c r="K107" s="362"/>
      <c r="L107" s="242"/>
      <c r="M107" s="365">
        <v>319</v>
      </c>
      <c r="N107" s="72" t="s">
        <v>469</v>
      </c>
      <c r="O107" s="371"/>
      <c r="P107" s="371"/>
      <c r="Q107" s="265"/>
      <c r="R107" s="265"/>
      <c r="S107" s="265"/>
      <c r="T107" s="265"/>
      <c r="U107" s="265"/>
      <c r="V107" s="265"/>
      <c r="W107" s="265"/>
      <c r="X107" s="265"/>
      <c r="Y107" s="265"/>
      <c r="Z107" s="265"/>
      <c r="AA107" s="265"/>
      <c r="AB107" s="265"/>
      <c r="AC107" s="265"/>
      <c r="AD107" s="265"/>
      <c r="AE107" s="265"/>
      <c r="AF107" s="265"/>
      <c r="AG107" s="265"/>
      <c r="AH107" s="265"/>
      <c r="AI107" s="265"/>
      <c r="AJ107" s="265"/>
      <c r="AK107" s="265"/>
      <c r="AL107" s="265"/>
      <c r="AM107" s="244"/>
    </row>
    <row r="108" spans="1:39" ht="18" customHeight="1" outlineLevel="3" x14ac:dyDescent="0.15">
      <c r="A108" s="242">
        <f t="shared" si="1"/>
        <v>105</v>
      </c>
      <c r="B108" s="365">
        <v>320</v>
      </c>
      <c r="C108" s="72" t="s">
        <v>470</v>
      </c>
      <c r="D108" s="362" cm="1">
        <f t="array" ref="D108">IFERROR(
SUMPRODUCT(
_xlfn._xlws.FILTER(Table_VayNo[Trả gốc hàng kỳ],
(NOT(ISBLANK(Table_VayNo[Thời hạn (tháng)])))*
(Table_VayNo[Kết thúc trả gốc]&lt;=BCTC_BatDau+365)),
_xlfn._xlws.FILTER(ROUNDUP((Table_VayNo[Kết thúc trả gốc] - BCTC_BatDau)/(365.25/12),0),
(NOT(ISBLANK(Table_VayNo[Thời hạn (tháng)])))*
(Table_VayNo[Kết thúc trả gốc]&lt;=BCTC_BatDau+365))),
0)
+IFERROR(
SUMPRODUCT(
_xlfn._xlws.FILTER(Table_VayNo[Trả gốc hàng kỳ],
(ISBLANK(Table_VayNo[Thời hạn (tháng)]))*
(Table_VayNo[Kết thúc trả gốc]&lt;=BCTC_BatDau+365)),
_xlfn._xlws.FILTER(ROUNDUP((Table_VayNo[Kết thúc trả gốc] - BCTC_BatDau)/(365.25),0),
(ISBLANK(Table_VayNo[Thời hạn (tháng)]))*
(Table_VayNo[Kết thúc trả gốc]&lt;=BCTC_BatDau+365))),
0)
+IFERROR(
SUM(
_xlfn._xlws.FILTER(Table_VayNo[Giá trị vay],
(Table_VayNo[Tần suất trả nợ] = "Một lần")*
(Table_VayNo[Ngày vay] &lt;= BCTC_BatDau)*
(Table_VayNo[Kết thúc trả gốc]&gt;BCTC_BatDau)*
(Table_VayNo[Kết thúc trả gốc]&lt;BCTC_BatDau+365))),
0)</f>
        <v>716666666.66666663</v>
      </c>
      <c r="E108" s="362" cm="1">
        <f t="array" ref="E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&lt; DATE(BCTC_Nam+1,BCTC_Thang,1))*
(Table_ThuChiTC[Ngày GD] &lt; DATE(BCTC_Nam,BCTC_Thang,1))
 )),0)
+IFERROR(
SUM(_xlfn._xlws.FILTER(Table_VayNo_LichTra[Lãi vay],
(NOT(ISBLANK(Table_VayNo_LichTra[Tháng]))) *
(Table_VayNo_LichTra[Kỳ] &lt; DATE(BCTC_Nam, BCTC_Thang,1))
)),0)
+IFERROR(
SUM(_xlfn._xlws.FILTER(Table_VayNo_LichTra[Lãi vay],
(ISBLANK(Table_VayNo_LichTra[Tháng])) *
(Table_VayNo_LichTra[Năm] &lt; BCTC_Nam)
)),0)
+IFERROR(
SUM(_xlfn._xlws.FILTER(Table_VayNo_LichTra[Lãi vay],
(ISBLANK(Table_VayNo_LichTra[Tháng])) *
(Table_VayNo_LichTra[Năm] = BCTC_Nam)
))*(BCTC_Thang-1)/12,0)
-IFERROR(
SUM(_xlfn._xlws.FILTER(Table_ThuChiTC[Giá trị GD],
(Table_ThuChiTC[Nội dung GD] =  "Tiền trả lãi vay") *
(Table_ThuChiTC[Loại GD] = "CHI") *
(Table_ThuChiTC[Ngày GD] &lt; DATE(BCTC_Nam, BCTC_Thang, 1))
)),0)
+IFERROR(
SUM(_xlfn._xlws.FILTER(Table_ThuChiTC[Giá trị GD],
(Table_ThuChiTC[Nội dung GD] =  "Tiền trả lãi vay") *
(Table_ThuChiTC[Loại GD] = "THU") *
(Table_ThuChiTC[Ngày GD] &lt; DATE(BCTC_Nam, BCTC_Thang, 1))
)),0)</f>
        <v>716666666.66666663</v>
      </c>
      <c r="F108" s="371" cm="1">
        <f t="array" ref="F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DATE(BCTC_Nam+1,BCTC_Thang+1,1)-1)*
(Table_ThuChiTC[Ngày GD] &lt; DATE(BCTC_Nam,BCTC_Thang+1,1))
 )),0)
-IFERROR(
SUM(_xlfn._xlws.FILTER(Table_ThuChiTC[Giá trị GD],
(Table_ThuChiTC[Nội dung GD] = "Thu chi từ biến động gốc vay, thuê tài chính") *
(Table_ThuChiTC[Loại GD] = "CHI") *
(NOT(ISBLANK(Table_ThuChiTC[Ngày đáo hạn])))*
(Table_ThuChiTC[Ngày đáo hạn] &lt; DATE(BCTC_Nam+1,BCTC_Thang+1,1)-1)*
(Table_ThuChiTC[Ngày GD] &lt; DATE(BCTC_Nam,BCTC_Thang+1,1))
 )),0)
+IFERROR(
SUM(_xlfn._xlws.FILTER(Table_VayNo_LichTra[Lãi vay],
(NOT(ISBLANK(Table_VayNo_LichTra[Tháng]))) *
(Table_VayNo_LichTra[Kỳ] &lt; DATE(BCTC_Nam, BCTC_Thang+1,1))
)),0)
+IFERROR(
SUM(_xlfn._xlws.FILTER(Table_VayNo_LichTra[Lãi vay],
(ISBLANK(Table_VayNo_LichTra[Tháng])) *
(Table_VayNo_LichTra[Năm] &lt; BCTC_Nam)
)),0)
+IFERROR(
SUM(_xlfn._xlws.FILTER(Table_VayNo_LichTra[Lãi vay],
(ISBLANK(Table_VayNo_LichTra[Tháng])) *
(Table_VayNo_LichTra[Năm] = BCTC_Nam)
))*BCTC_Thang/12,0)
-IFERROR(
SUM(_xlfn._xlws.FILTER(Table_ThuChiTC[Giá trị GD],
(Table_ThuChiTC[Nội dung GD] = "Tiền trả lãi vay") *
(Table_ThuChiTC[Loại GD] = "CHI") *
(Table_ThuChiTC[Ngày GD] &lt; DATE(BCTC_Nam, BCTC_Thang+1, 1))
)),0)
+IFERROR(
SUM(_xlfn._xlws.FILTER(Table_ThuChiTC[Giá trị GD],
(Table_ThuChiTC[Nội dung GD] = "Tiền trả lãi vay") *
(Table_ThuChiTC[Loại GD] = "THU") *
(Table_ThuChiTC[Ngày GD] &lt; DATE(BCTC_Nam, BCTC_Thang+1, 1))
)),0)</f>
        <v>716666666.66666663</v>
      </c>
      <c r="G108" s="242"/>
      <c r="H108" s="365">
        <v>320</v>
      </c>
      <c r="I108" s="72" t="s">
        <v>470</v>
      </c>
      <c r="J108" s="362" cm="1">
        <f t="array" ref="J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&lt; DATE(J$1+2,1,1)-1)*
(Table_ThuChiTC[Ngày GD] &lt; DATE(J$1+1,1,1))
 )),
 0)
+IFERROR(
SUM(
_xlfn._xlws.FILTER(Table_VayNo_LichTra[Lãi vay],
(Table_VayNo_LichTra[Kỳ] &lt; DATE(J$1+1,1,1))
)),
0)
-IFERROR(
SUM(
_xlfn._xlws.FILTER(Table_ThuChiTC[Giá trị GD],
(Table_ThuChiTC[Nội dung GD] = "Tiền trả lãi vay") *
(Table_ThuChiTC[Loại GD] = "CHI") *
(Table_ThuChiTC[Ngày GD] &lt; DATE(J$1+1,1, 1))
)),
0)
+IFERROR(
SUM(
_xlfn._xlws.FILTER(Table_ThuChiTC[Giá trị GD],
(Table_ThuChiTC[Nội dung GD] = "Tiền trả lãi vay") *
(Table_ThuChiTC[Loại GD] = "THU") *
(Table_ThuChiTC[Ngày GD] &lt; DATE(J$1+1,1, 1))
)),
0)</f>
        <v>716666666.66666663</v>
      </c>
      <c r="K108" s="362" cm="1">
        <f t="array" ref="K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&lt; DATE(K$1+2,1,1)-1)*
(Table_ThuChiTC[Ngày GD] &lt; DATE(K$1+1,1,1))
 )),
 0)
+IFERROR(
SUM(
_xlfn._xlws.FILTER(Table_VayNo_LichTra[Lãi vay],
(Table_VayNo_LichTra[Kỳ] &lt; DATE(K$1+1,1,1))
)),
0)
-IFERROR(
SUM(
_xlfn._xlws.FILTER(Table_ThuChiTC[Giá trị GD],
(Table_ThuChiTC[Nội dung GD] = "Tiền trả lãi vay") *
(Table_ThuChiTC[Loại GD] = "CHI") *
(Table_ThuChiTC[Ngày GD] &lt; DATE(K$1+1,1, 1))
)),
0)
+IFERROR(
SUM(
_xlfn._xlws.FILTER(Table_ThuChiTC[Giá trị GD],
(Table_ThuChiTC[Nội dung GD] = "Tiền trả lãi vay") *
(Table_ThuChiTC[Loại GD] = "THU") *
(Table_ThuChiTC[Ngày GD] &lt; DATE(K$1+1,1, 1))
)),
0)</f>
        <v>716666666.66666663</v>
      </c>
      <c r="L108" s="242"/>
      <c r="M108" s="365">
        <v>320</v>
      </c>
      <c r="N108" s="72" t="s">
        <v>470</v>
      </c>
      <c r="O108" s="371" cm="1">
        <f t="array" ref="O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 &lt; DATE(YEAR(O$1)+1,MONTH(O$1)+1,1)-1)*
(Table_ThuChiTC[Ngày GD] &lt; DATE(YEAR(O$1),MONTH(O$1)+1,1))
 )),
 0)
+IFERROR(
SUM(
_xlfn._xlws.FILTER(Table_VayNo_LichTra[Lãi vay],
(Table_VayNo_LichTra[Kỳ] &lt; DATE(YEAR(O$1),MONTH(O$1)+1,1))*
(NOT(ISBLANK(Table_VayNo_LichTra[Tháng])))
)),
0)
+IFERROR(
SUM(
_xlfn._xlws.FILTER(Table_VayNo_LichTra[Lãi vay],
(Table_VayNo_LichTra[Năm] &lt; YEAR(M$1))*
(ISBLANK(Table_VayNo_LichTra[Tháng]))
)),
0)
+IFERROR(
SUMPRODUCT(
_xlfn._xlws.FILTER(Table_VayNo_LichTra[Lãi vay],
(Table_VayNo_LichTra[Năm] = YEAR(M$1)) *
(ISBLANK(Table_VayNo_LichTra[Tháng]))
),
_xlfn._xlws.FILTER(
IF(
VLOOKUP(
Table_VayNo_LichTra[Khoản vay],
Table_VayNo[],
COUNTA(Table_VayNo[[#Headers],[Mã khoản vay]:[Ngày vay]]),
0) &lt;
DATE(YEAR(M$1),1,1),
MONTH(M$1),
MONTH(M$1)
- MONTH(
VLOOKUP(
Table_VayNo_LichTra[Khoản vay],
Table_VayNo[],
COUNTA(Table_VayNo[[#Headers],[Mã khoản vay]:[Ngày vay]]),
0)
)
),
(Table_VayNo_LichTra[Năm] = YEAR(M$1)) *
(ISBLANK(Table_VayNo_LichTra[Tháng]))
),
_xlfn._xlws.FILTER(
IF(
VLOOKUP(
Table_VayNo_LichTra[Khoản vay],
Table_VayNo[],
COUNTA(Table_VayNo[[#Headers],[Mã khoản vay]:[Kết thúc trả gốc]]),
0) &gt;=
DATE(YEAR(M$1)+1,1,1),
12,
MONTH(
VLOOKUP(
Table_VayNo_LichTra[Khoản vay],
Table_VayNo[],
COUNTA(Table_VayNo[[#Headers],[Mã khoản vay]:[Kết thúc trả gốc]]),
0)
)
)-IF(
VLOOKUP(
Table_VayNo_LichTra[Khoản vay],
Table_VayNo[],
COUNTA(Table_VayNo[[#Headers],[Mã khoản vay]:[Ngày vay]]),
0) &lt;
DATE(YEAR(M$1),1,1),
0,
MONTH(
VLOOKUP(
Table_VayNo_LichTra[Khoản vay],
Table_VayNo[],
COUNTA(Table_VayNo[[#Headers],[Mã khoản vay]:[Ngày vay]]),
0)
)
),
(Table_VayNo_LichTra[Năm] = YEAR(M$1)) *
(ISBLANK(Table_VayNo_LichTra[Tháng]))
)
),
0)
-IFERROR(
SUM(
_xlfn._xlws.FILTER(Table_ThuChiTC[Giá trị GD],
(Table_ThuChiTC[Nội dung GD] = "Tiền trả lãi vay") *
(Table_ThuChiTC[Loại GD] = "CHI") *
(Table_ThuChiTC[Ngày GD] &lt; DATE(YEAR(O$1),MONTH(O$1)+1, 1))
)),
0)
+IFERROR(
SUM(
_xlfn._xlws.FILTER(Table_ThuChiTC[Giá trị GD],
(Table_ThuChiTC[Nội dung GD] = "Tiền trả lãi vay") *
(Table_ThuChiTC[Loại GD] = "THU") *
(Table_ThuChiTC[Ngày GD] &lt; DATE(YEAR(O$1),MONTH(O$1)+1, 1))
)),
0)</f>
        <v>716666666.66666663</v>
      </c>
      <c r="P108" s="371" cm="1">
        <f t="array" ref="P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 &lt; DATE(YEAR(P$1)+1,MONTH(P$1)+1,1)-1)*
(Table_ThuChiTC[Ngày GD] &lt; DATE(YEAR(P$1),MONTH(P$1)+1,1))
 )),
 0)
+IFERROR(
SUM(
_xlfn._xlws.FILTER(Table_VayNo_LichTra[Lãi vay],
(Table_VayNo_LichTra[Kỳ] &lt; DATE(YEAR(P$1),MONTH(P$1)+1,1))*
(NOT(ISBLANK(Table_VayNo_LichTra[Tháng])))
)),
0)
+IFERROR(
SUM(
_xlfn._xlws.FILTER(Table_VayNo_LichTra[Lãi vay],
(Table_VayNo_LichTra[Năm] &lt; YEAR(N$1))*
(ISBLANK(Table_VayNo_LichTra[Tháng]))
)),
0)
+IFERROR(
SUMPRODUCT(
_xlfn._xlws.FILTER(Table_VayNo_LichTra[Lãi vay],
(Table_VayNo_LichTra[Năm] = YEAR(N$1)) *
(ISBLANK(Table_VayNo_LichTra[Tháng]))
),
_xlfn._xlws.FILTER(
IF(
VLOOKUP(
Table_VayNo_LichTra[Khoản vay],
Table_VayNo[],
COUNTA(Table_VayNo[[#Headers],[Mã khoản vay]:[Ngày vay]]),
0) &lt;
DATE(YEAR(N$1),1,1),
MONTH(N$1),
MONTH(N$1)
- MONTH(
VLOOKUP(
Table_VayNo_LichTra[Khoản vay],
Table_VayNo[],
COUNTA(Table_VayNo[[#Headers],[Mã khoản vay]:[Ngày vay]]),
0)
)
),
(Table_VayNo_LichTra[Năm] = YEAR(N$1)) *
(ISBLANK(Table_VayNo_LichTra[Tháng]))
),
_xlfn._xlws.FILTER(
IF(
VLOOKUP(
Table_VayNo_LichTra[Khoản vay],
Table_VayNo[],
COUNTA(Table_VayNo[[#Headers],[Mã khoản vay]:[Kết thúc trả gốc]]),
0) &gt;=
DATE(YEAR(N$1)+1,1,1),
12,
MONTH(
VLOOKUP(
Table_VayNo_LichTra[Khoản vay],
Table_VayNo[],
COUNTA(Table_VayNo[[#Headers],[Mã khoản vay]:[Kết thúc trả gốc]]),
0)
)
)-IF(
VLOOKUP(
Table_VayNo_LichTra[Khoản vay],
Table_VayNo[],
COUNTA(Table_VayNo[[#Headers],[Mã khoản vay]:[Ngày vay]]),
0) &lt;
DATE(YEAR(N$1),1,1),
0,
MONTH(
VLOOKUP(
Table_VayNo_LichTra[Khoản vay],
Table_VayNo[],
COUNTA(Table_VayNo[[#Headers],[Mã khoản vay]:[Ngày vay]]),
0)
)
),
(Table_VayNo_LichTra[Năm] = YEAR(N$1)) *
(ISBLANK(Table_VayNo_LichTra[Tháng]))
)
),
0)
-IFERROR(
SUM(
_xlfn._xlws.FILTER(Table_ThuChiTC[Giá trị GD],
(Table_ThuChiTC[Nội dung GD] = "Tiền trả lãi vay") *
(Table_ThuChiTC[Loại GD] = "CHI") *
(Table_ThuChiTC[Ngày GD] &lt; DATE(YEAR(P$1),MONTH(P$1)+1, 1))
)),
0)
+IFERROR(
SUM(
_xlfn._xlws.FILTER(Table_ThuChiTC[Giá trị GD],
(Table_ThuChiTC[Nội dung GD] = "Tiền trả lãi vay") *
(Table_ThuChiTC[Loại GD] = "THU") *
(Table_ThuChiTC[Ngày GD] &lt; DATE(YEAR(P$1),MONTH(P$1)+1, 1))
)),
0)</f>
        <v>716666666.66666663</v>
      </c>
      <c r="Q108" s="265"/>
      <c r="R108" s="265"/>
      <c r="S108" s="265"/>
      <c r="T108" s="265"/>
      <c r="U108" s="265"/>
      <c r="V108" s="265"/>
      <c r="W108" s="265"/>
      <c r="X108" s="265"/>
      <c r="Y108" s="265"/>
      <c r="Z108" s="265"/>
      <c r="AA108" s="265"/>
      <c r="AB108" s="265"/>
      <c r="AC108" s="265"/>
      <c r="AD108" s="265"/>
      <c r="AE108" s="265"/>
      <c r="AF108" s="265"/>
      <c r="AG108" s="265"/>
      <c r="AH108" s="265"/>
      <c r="AI108" s="265"/>
      <c r="AJ108" s="265"/>
      <c r="AK108" s="265"/>
      <c r="AL108" s="265"/>
      <c r="AM108" s="244"/>
    </row>
    <row r="109" spans="1:39" ht="18" customHeight="1" outlineLevel="2" x14ac:dyDescent="0.15">
      <c r="A109" s="242">
        <f t="shared" si="1"/>
        <v>106</v>
      </c>
      <c r="B109" s="259">
        <v>320</v>
      </c>
      <c r="C109" s="73" t="s">
        <v>471</v>
      </c>
      <c r="D109" s="244">
        <f>+SUM(D110:D114)</f>
        <v>3333333333.3333335</v>
      </c>
      <c r="E109" s="244">
        <f>+SUM(E110:E114)</f>
        <v>3333333333.3333335</v>
      </c>
      <c r="F109" s="244">
        <f>+SUM(F110:F114)</f>
        <v>3333333333.3333335</v>
      </c>
      <c r="G109" s="242"/>
      <c r="H109" s="259">
        <v>320</v>
      </c>
      <c r="I109" s="73" t="s">
        <v>471</v>
      </c>
      <c r="J109" s="244">
        <f>+SUM(J110:J114)</f>
        <v>0</v>
      </c>
      <c r="K109" s="244">
        <f>+SUM(K110:K114)</f>
        <v>0</v>
      </c>
      <c r="L109" s="242"/>
      <c r="M109" s="259">
        <v>320</v>
      </c>
      <c r="N109" s="73" t="s">
        <v>471</v>
      </c>
      <c r="O109" s="244">
        <f>+SUM(O110:O114)</f>
        <v>0</v>
      </c>
      <c r="P109" s="244">
        <f>+SUM(P110:P114)</f>
        <v>0</v>
      </c>
      <c r="Q109" s="265"/>
      <c r="R109" s="265"/>
      <c r="S109" s="265"/>
      <c r="T109" s="265"/>
      <c r="U109" s="265"/>
      <c r="V109" s="265"/>
      <c r="W109" s="265"/>
      <c r="X109" s="265"/>
      <c r="Y109" s="265"/>
      <c r="Z109" s="265"/>
      <c r="AA109" s="265"/>
      <c r="AB109" s="265"/>
      <c r="AC109" s="265"/>
      <c r="AD109" s="265"/>
      <c r="AE109" s="265"/>
      <c r="AF109" s="265"/>
      <c r="AG109" s="265"/>
      <c r="AH109" s="265"/>
      <c r="AI109" s="265"/>
      <c r="AJ109" s="265"/>
      <c r="AK109" s="265"/>
      <c r="AL109" s="265"/>
      <c r="AM109" s="244"/>
    </row>
    <row r="110" spans="1:39" ht="18" customHeight="1" outlineLevel="3" x14ac:dyDescent="0.15">
      <c r="A110" s="242">
        <f t="shared" si="1"/>
        <v>107</v>
      </c>
      <c r="B110" s="365">
        <v>331</v>
      </c>
      <c r="C110" s="72" t="s">
        <v>472</v>
      </c>
      <c r="D110" s="362">
        <f>Sheet_PhaiTra!D3</f>
        <v>0</v>
      </c>
      <c r="E110" s="362">
        <f xml:space="preserve">
IFERROR(
IF(BCTC_Thang = 1,
HLOOKUP(
DATE(BCTC_Nam-1,12,1),Sheet_PhaiTra!$B$1:$XFD$9,Sheet_PhaiTra!$A$3,0
),
HLOOKUP(
DATE(BCTC_Nam,BCTC_Thang-1,1),Sheet_PhaiTra!$B$1:$XFD$9,Sheet_PhaiTra!$A$3,0
)),0)</f>
        <v>0</v>
      </c>
      <c r="F110" s="371">
        <f xml:space="preserve">
IFERROR(
HLOOKUP(
DATE(BCTC_Nam,BCTC_Thang,1),Sheet_PhaiTra!$B$1:$XFD$9,Sheet_PhaiTra!$A$3,0
),0)</f>
        <v>0</v>
      </c>
      <c r="G110" s="242"/>
      <c r="H110" s="365">
        <v>331</v>
      </c>
      <c r="I110" s="72" t="s">
        <v>472</v>
      </c>
      <c r="J110" s="362">
        <f>IFERROR(
HLOOKUP(
DATE(J$1,12,1),
Sheet_PhaiTra!$B$1:$XFD$9,Sheet_PhaiTra!$A$3,0
),
IFERROR(
HLOOKUP(
MAX(Sheet_PhaiTra!$D$1:$XFD$1),
Sheet_PhaiTra!$B$1:$XFD$9,Sheet_PhaiTra!$A$3,0
),
0))</f>
        <v>0</v>
      </c>
      <c r="K110" s="362">
        <f>IFERROR(
HLOOKUP(
DATE(K$1,12,1),
Sheet_PhaiTra!$B$1:$XFD$9,Sheet_PhaiTra!$A$3,0
),
IFERROR(
HLOOKUP(
MAX(Sheet_PhaiTra!$D$1:$XFD$1),
Sheet_PhaiTra!$B$1:$XFD$9,Sheet_PhaiTra!$A$3,0
),
0))</f>
        <v>0</v>
      </c>
      <c r="L110" s="242"/>
      <c r="M110" s="365">
        <v>331</v>
      </c>
      <c r="N110" s="72" t="s">
        <v>472</v>
      </c>
      <c r="O110" s="371">
        <f xml:space="preserve">
IFERROR(
HLOOKUP(
O$1,Sheet_PhaiTra!$B$1:$XFD$9,Sheet_PhaiTra!$A$3,0
),0)</f>
        <v>0</v>
      </c>
      <c r="P110" s="371">
        <f xml:space="preserve">
IFERROR(
HLOOKUP(
P$1,Sheet_PhaiTra!$B$1:$XFD$9,Sheet_PhaiTra!$A$3,0
),0)</f>
        <v>0</v>
      </c>
      <c r="Q110" s="265"/>
      <c r="R110" s="265"/>
      <c r="S110" s="265"/>
      <c r="T110" s="265"/>
      <c r="U110" s="265"/>
      <c r="V110" s="265"/>
      <c r="W110" s="265"/>
      <c r="X110" s="265"/>
      <c r="Y110" s="265"/>
      <c r="Z110" s="265"/>
      <c r="AA110" s="265"/>
      <c r="AB110" s="265"/>
      <c r="AC110" s="265"/>
      <c r="AD110" s="265"/>
      <c r="AE110" s="265"/>
      <c r="AF110" s="265"/>
      <c r="AG110" s="265"/>
      <c r="AH110" s="265"/>
      <c r="AI110" s="265"/>
      <c r="AJ110" s="265"/>
      <c r="AK110" s="265"/>
      <c r="AL110" s="265"/>
      <c r="AM110" s="244"/>
    </row>
    <row r="111" spans="1:39" ht="18" customHeight="1" outlineLevel="3" x14ac:dyDescent="0.15">
      <c r="A111" s="242">
        <f t="shared" si="1"/>
        <v>108</v>
      </c>
      <c r="B111" s="365">
        <v>332</v>
      </c>
      <c r="C111" s="72" t="s">
        <v>473</v>
      </c>
      <c r="D111" s="362">
        <f>Sheet_PhaiThu!D5</f>
        <v>0</v>
      </c>
      <c r="E111" s="362">
        <f xml:space="preserve">
IFERROR(
IF(BCTC_Thang = 1,
HLOOKUP(
DATE(BCTC_Nam-1,12,1),Sheet_PhaiThu!$C$1:$XFD$5,Sheet_PhaiThu!$B$5,0
),
HLOOKUP(
DATE(BCTC_Nam,BCTC_Thang-1,1),Sheet_PhaiThu!$C$1:$XFD$5,Sheet_PhaiThu!$B$5,0
)),0)</f>
        <v>0</v>
      </c>
      <c r="F111" s="371">
        <f xml:space="preserve">
IFERROR(
HLOOKUP(
DATE(BCTC_Nam,BCTC_Thang,1),Sheet_PhaiThu!$C$1:$XFD$5,Sheet_PhaiThu!$B$5,0
),0)</f>
        <v>0</v>
      </c>
      <c r="G111" s="242"/>
      <c r="H111" s="365">
        <v>332</v>
      </c>
      <c r="I111" s="72" t="s">
        <v>473</v>
      </c>
      <c r="J111" s="362">
        <f>IFERROR(
HLOOKUP(
DATE(J$1,12,1),
Sheet_PhaiThu!$C$1:$XFD$5,Sheet_PhaiThu!$B$5,0
),
IFERROR(
HLOOKUP(
MAX(Sheet_PhaiThu!$D$1:$XFD$1),
Sheet_PhaiThu!$C$1:$XFD$5,Sheet_PhaiThu!$B$5,0
),
0))</f>
        <v>0</v>
      </c>
      <c r="K111" s="362">
        <f>IFERROR(
HLOOKUP(
DATE(K$1,12,1),
Sheet_PhaiThu!$C$1:$XFD$5,Sheet_PhaiThu!$B$5,0
),
IFERROR(
HLOOKUP(
MAX(Sheet_PhaiThu!$D$1:$XFD$1),
Sheet_PhaiThu!$C$1:$XFD$5,Sheet_PhaiThu!$B$5,0
),
0))</f>
        <v>0</v>
      </c>
      <c r="L111" s="242"/>
      <c r="M111" s="365">
        <v>332</v>
      </c>
      <c r="N111" s="72" t="s">
        <v>473</v>
      </c>
      <c r="O111" s="371">
        <f>IFERROR(
HLOOKUP(
O$1,Sheet_PhaiThu!$C$1:$XFD$5,Sheet_PhaiThu!$B$5,0
),0)</f>
        <v>0</v>
      </c>
      <c r="P111" s="371">
        <f>IFERROR(
HLOOKUP(
P$1,Sheet_PhaiThu!$C$1:$XFD$5,Sheet_PhaiThu!$B$5,0
),0)</f>
        <v>0</v>
      </c>
      <c r="Q111" s="265"/>
      <c r="R111" s="265"/>
      <c r="S111" s="265"/>
      <c r="T111" s="265"/>
      <c r="U111" s="265"/>
      <c r="V111" s="265"/>
      <c r="W111" s="265"/>
      <c r="X111" s="265"/>
      <c r="Y111" s="265"/>
      <c r="Z111" s="265"/>
      <c r="AA111" s="265"/>
      <c r="AB111" s="265"/>
      <c r="AC111" s="265"/>
      <c r="AD111" s="265"/>
      <c r="AE111" s="265"/>
      <c r="AF111" s="265"/>
      <c r="AG111" s="265"/>
      <c r="AH111" s="265"/>
      <c r="AI111" s="265"/>
      <c r="AJ111" s="265"/>
      <c r="AK111" s="265"/>
      <c r="AL111" s="265"/>
      <c r="AM111" s="244"/>
    </row>
    <row r="112" spans="1:39" ht="18" customHeight="1" outlineLevel="3" x14ac:dyDescent="0.15">
      <c r="A112" s="242">
        <f t="shared" si="1"/>
        <v>109</v>
      </c>
      <c r="B112" s="365">
        <v>335</v>
      </c>
      <c r="C112" s="72" t="s">
        <v>474</v>
      </c>
      <c r="D112" s="362">
        <f>Sheet_PhaiTra!D7</f>
        <v>0</v>
      </c>
      <c r="E112" s="362">
        <f xml:space="preserve">
IFERROR(
IF(BCTC_Thang = 1,
HLOOKUP(
DATE(BCTC_Nam-1,12,1),Sheet_PhaiTra!$B$1:$XFD$9,Sheet_PhaiTra!$A$7,0
),
HLOOKUP(
DATE(BCTC_Nam,BCTC_Thang-1,1),Sheet_PhaiTra!$B$1:$XFD$9,Sheet_PhaiTra!$A$7,0
)),0)</f>
        <v>0</v>
      </c>
      <c r="F112" s="371">
        <f xml:space="preserve">
IFERROR(
HLOOKUP(
DATE(BCTC_Nam,BCTC_Thang,1),Sheet_PhaiTra!$B$1:$XFD$9,Sheet_PhaiTra!$A$7,0
),0)</f>
        <v>0</v>
      </c>
      <c r="G112" s="242"/>
      <c r="H112" s="365">
        <v>335</v>
      </c>
      <c r="I112" s="72" t="s">
        <v>474</v>
      </c>
      <c r="J112" s="362">
        <f>IFERROR(
HLOOKUP(
DATE(J$1,12,1),
Sheet_PhaiTra!$B$1:$XFD$9,Sheet_PhaiTra!$A$7,0
),
IFERROR(
HLOOKUP(
MAX(Sheet_PhaiTra!$D$1:$XFD$1),
Sheet_PhaiTra!$B$1:$XFD$9,Sheet_PhaiTra!$A$7,0
),
0))</f>
        <v>0</v>
      </c>
      <c r="K112" s="362">
        <f>IFERROR(
HLOOKUP(
DATE(K$1,12,1),
Sheet_PhaiTra!$B$1:$XFD$9,Sheet_PhaiTra!$A$7,0
),
IFERROR(
HLOOKUP(
MAX(Sheet_PhaiTra!$D$1:$XFD$1),
Sheet_PhaiTra!$B$1:$XFD$9,Sheet_PhaiTra!$A$7,0
),
0))</f>
        <v>0</v>
      </c>
      <c r="L112" s="242"/>
      <c r="M112" s="365">
        <v>335</v>
      </c>
      <c r="N112" s="72" t="s">
        <v>474</v>
      </c>
      <c r="O112" s="371">
        <f xml:space="preserve">
IFERROR(
HLOOKUP(
O$1,Sheet_PhaiTra!$B$1:$XFD$9,Sheet_PhaiTra!$A$7,0
),0)</f>
        <v>0</v>
      </c>
      <c r="P112" s="371">
        <f xml:space="preserve">
IFERROR(
HLOOKUP(
P$1,Sheet_PhaiTra!$B$1:$XFD$9,Sheet_PhaiTra!$A$7,0
),0)</f>
        <v>0</v>
      </c>
      <c r="Q112" s="265"/>
      <c r="R112" s="265"/>
      <c r="S112" s="265"/>
      <c r="T112" s="265"/>
      <c r="U112" s="265"/>
      <c r="V112" s="265"/>
      <c r="W112" s="265"/>
      <c r="X112" s="265"/>
      <c r="Y112" s="265"/>
      <c r="Z112" s="265"/>
      <c r="AA112" s="265"/>
      <c r="AB112" s="265"/>
      <c r="AC112" s="265"/>
      <c r="AD112" s="265"/>
      <c r="AE112" s="265"/>
      <c r="AF112" s="265"/>
      <c r="AG112" s="265"/>
      <c r="AH112" s="265"/>
      <c r="AI112" s="265"/>
      <c r="AJ112" s="265"/>
      <c r="AK112" s="265"/>
      <c r="AL112" s="265"/>
      <c r="AM112" s="244"/>
    </row>
    <row r="113" spans="1:39" ht="18" customHeight="1" outlineLevel="3" x14ac:dyDescent="0.15">
      <c r="A113" s="242">
        <f t="shared" si="1"/>
        <v>110</v>
      </c>
      <c r="B113" s="365">
        <v>337</v>
      </c>
      <c r="C113" s="72" t="s">
        <v>475</v>
      </c>
      <c r="D113" s="362">
        <v>0</v>
      </c>
      <c r="E113" s="362">
        <f>+Table_BCTC[[#This Row],[Đầu kỳ]]</f>
        <v>0</v>
      </c>
      <c r="F113" s="371">
        <f>+Table_BCTC[[#This Row],[Đầu kỳ]]</f>
        <v>0</v>
      </c>
      <c r="G113" s="242"/>
      <c r="H113" s="365">
        <v>337</v>
      </c>
      <c r="I113" s="72" t="s">
        <v>475</v>
      </c>
      <c r="J113" s="362"/>
      <c r="K113" s="362"/>
      <c r="L113" s="242"/>
      <c r="M113" s="365">
        <v>337</v>
      </c>
      <c r="N113" s="72" t="s">
        <v>475</v>
      </c>
      <c r="O113" s="371"/>
      <c r="P113" s="371"/>
      <c r="Q113" s="265"/>
      <c r="R113" s="376"/>
      <c r="S113" s="265"/>
      <c r="T113" s="265"/>
      <c r="U113" s="265"/>
      <c r="V113" s="265"/>
      <c r="W113" s="265"/>
      <c r="X113" s="265"/>
      <c r="Y113" s="265"/>
      <c r="Z113" s="265"/>
      <c r="AA113" s="265"/>
      <c r="AB113" s="265"/>
      <c r="AC113" s="265"/>
      <c r="AD113" s="265"/>
      <c r="AE113" s="265"/>
      <c r="AF113" s="265"/>
      <c r="AG113" s="265"/>
      <c r="AH113" s="265"/>
      <c r="AI113" s="265"/>
      <c r="AJ113" s="265"/>
      <c r="AK113" s="265"/>
      <c r="AL113" s="265"/>
      <c r="AM113" s="244"/>
    </row>
    <row r="114" spans="1:39" ht="18" customHeight="1" outlineLevel="3" x14ac:dyDescent="0.15">
      <c r="A114" s="242">
        <f t="shared" si="1"/>
        <v>111</v>
      </c>
      <c r="B114" s="365">
        <v>338</v>
      </c>
      <c r="C114" s="72" t="s">
        <v>476</v>
      </c>
      <c r="D114" s="362" cm="1">
        <f t="array" ref="D114">IFERROR(
SUMPRODUCT(
_xlfn._xlws.FILTER(Table_VayNo[Trả gốc hàng kỳ],
(NOT(ISBLANK(Table_VayNo[Thời hạn (tháng)])))*
(Table_VayNo[Kết thúc trả gốc]&gt;BCTC_BatDau+365)),
_xlfn._xlws.FILTER(ROUNDUP((Table_VayNo[Kết thúc trả gốc] - BCTC_BatDau)/(365.25/12),0),
(NOT(ISBLANK(Table_VayNo[Thời hạn (tháng)])))*
(Table_VayNo[Kết thúc trả gốc]&gt;BCTC_BatDau+365))),
0)
+IFERROR(
SUMPRODUCT(
_xlfn._xlws.FILTER(Table_VayNo[Trả gốc hàng kỳ],
(ISBLANK(Table_VayNo[Thời hạn (tháng)]))*
(Table_VayNo[Kết thúc trả gốc]&gt;BCTC_BatDau+365)),
_xlfn._xlws.FILTER(ROUNDUP((Table_VayNo[Kết thúc trả gốc] - BCTC_BatDau)/(365.25),0),
(ISBLANK(Table_VayNo[Thời hạn (tháng)]))*
(Table_VayNo[Kết thúc trả gốc]&gt;BCTC_BatDau+365))),
0)
+IFERROR(
SUM(
_xlfn._xlws.FILTER(Table_VayNo[Giá trị vay],
(Table_VayNo[Tần suất trả nợ] = "Một lần")*
(Table_VayNo[Ngày vay] &lt;= BCTC_BatDau)*
(Table_VayNo[Kết thúc trả gốc]&gt;BCTC_BatDau+365))),
0)</f>
        <v>3333333333.3333335</v>
      </c>
      <c r="E114" s="362" cm="1">
        <f t="array" ref="E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&gt;= DATE(BCTC_Nam+1,BCTC_Thang,1))*
(Table_ThuChiTC[Ngày GD] &lt; DATE(BCTC_Nam,BCTC_Thang,1))
 )),0)</f>
        <v>3333333333.3333335</v>
      </c>
      <c r="F114" s="371" cm="1">
        <f t="array" ref="F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DATE(BCTC_Nam+1,BCTC_Thang+1,1)-1) *
(Table_ThuChiTC[Ngày GD] &lt; DATE(BCTC_Nam,BCTC_Thang +1,1))
 )),0)
-IFERROR(
SUM(_xlfn._xlws.FILTER(Table_ThuChiTC[Giá trị GD],
(Table_ThuChiTC[Nội dung GD] = "Thu chi từ biến động gốc vay, thuê tài chính") *
(Table_ThuChiTC[Loại GD] = "CHI") *
(NOT(ISBLANK(Table_ThuChiTC[Ngày đáo hạn])))*
(Table_ThuChiTC[Ngày đáo hạn] &gt;= DATE(BCTC_Nam+1,BCTC_Thang+1,1)-1)*
(Table_ThuChiTC[Ngày GD] &lt; DATE(BCTC_Nam,BCTC_Thang +1,1))
 )),0)</f>
        <v>3333333333.3333335</v>
      </c>
      <c r="G114" s="242"/>
      <c r="H114" s="365">
        <v>338</v>
      </c>
      <c r="I114" s="72" t="s">
        <v>476</v>
      </c>
      <c r="J114" s="362" cm="1">
        <f t="array" ref="J114">+ IFERROR(
SUM(
_xlfn._xlws.FILTER(Table_ThuChiTC[Giá trị GD],
(Table_ThuChiTC[Nội dung GD] = "Thu chi từ biến động gốc vay, thuê tài chính") *
(Table_ThuChiTC[Loại GD] = "THU") *
(NOT(ISBLANK(Table_ThuChiTC[Ngày đáo hạn])))*
(Table_ThuChiTC[Ngày đáo hạn] &gt;=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&gt;= DATE(J$1+2,1,1)-1)*
(Table_ThuChiTC[Ngày GD] &lt; DATE(J$1+1,1,1))
 )),
 0)</f>
        <v>0</v>
      </c>
      <c r="K114" s="362" cm="1">
        <f t="array" ref="K114">+ IFERROR(
SUM(
_xlfn._xlws.FILTER(Table_ThuChiTC[Giá trị GD],
(Table_ThuChiTC[Nội dung GD] = "Thu chi từ biến động gốc vay, thuê tài chính") *
(Table_ThuChiTC[Loại GD] = "THU") *
(NOT(ISBLANK(Table_ThuChiTC[Ngày đáo hạn])))*
(Table_ThuChiTC[Ngày đáo hạn] &gt;=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&gt;= DATE(K$1+2,1,1)-1)*
(Table_ThuChiTC[Ngày GD] &lt; DATE(K$1+1,1,1))
 )),
 0)</f>
        <v>0</v>
      </c>
      <c r="L114" s="242"/>
      <c r="M114" s="365">
        <v>338</v>
      </c>
      <c r="N114" s="72" t="s">
        <v>476</v>
      </c>
      <c r="O114" s="371" cm="1">
        <f t="array" ref="O114" xml:space="preserve">
+ IFERROR(
SUM(
_xlfn._xlws.FILTER(Table_ThuChiTC[Giá trị GD],
(Table_ThuChiTC[Nội dung GD] = "Thu chi từ biến động gốc vay, thuê tài chính") *
(Table_ThuChiTC[Loại GD] = "THU") *
(NOT(ISBLANK(Table_ThuChiTC[Ngày đáo hạn])))*
(Table_ThuChiTC[Ngày đáo hạn] &gt;=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hạn]&gt;=DATE(YEAR(O$1)+1,MONTH(O$1)+1,1)-1)*
(Table_ThuChiTC[Ngày GD] &lt; DATE(YEAR(O$1),MONTH(O$1)+1,1))
 )),
 0)</f>
        <v>0</v>
      </c>
      <c r="P114" s="371" cm="1">
        <f t="array" ref="P114" xml:space="preserve">
+ IFERROR(
SUM(
_xlfn._xlws.FILTER(Table_ThuChiTC[Giá trị GD],
(Table_ThuChiTC[Nội dung GD] = "Thu chi từ biến động gốc vay, thuê tài chính") *
(Table_ThuChiTC[Loại GD] = "THU") *
(NOT(ISBLANK(Table_ThuChiTC[Ngày đáo hạn])))*
(Table_ThuChiTC[Ngày đáo hạn] &gt;=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hạn]&gt;=DATE(YEAR(P$1)+1,MONTH(P$1)+1,1)-1)*
(Table_ThuChiTC[Ngày GD] &lt; DATE(YEAR(P$1),MONTH(P$1)+1,1))
 )),
 0)</f>
        <v>0</v>
      </c>
      <c r="Q114" s="265"/>
      <c r="R114" s="242"/>
      <c r="S114" s="265"/>
      <c r="T114" s="265"/>
      <c r="U114" s="265"/>
      <c r="V114" s="265"/>
      <c r="W114" s="265"/>
      <c r="X114" s="265"/>
      <c r="Y114" s="265"/>
      <c r="Z114" s="265"/>
      <c r="AA114" s="265"/>
      <c r="AB114" s="265"/>
      <c r="AC114" s="265"/>
      <c r="AD114" s="265"/>
      <c r="AE114" s="265"/>
      <c r="AF114" s="265"/>
      <c r="AG114" s="265"/>
      <c r="AH114" s="265"/>
      <c r="AI114" s="265"/>
      <c r="AJ114" s="265"/>
      <c r="AK114" s="265"/>
      <c r="AL114" s="265"/>
      <c r="AM114" s="244"/>
    </row>
    <row r="115" spans="1:39" ht="18" customHeight="1" outlineLevel="1" x14ac:dyDescent="0.15">
      <c r="A115" s="242">
        <f t="shared" si="1"/>
        <v>112</v>
      </c>
      <c r="B115" s="372">
        <v>400</v>
      </c>
      <c r="C115" s="77" t="s">
        <v>477</v>
      </c>
      <c r="D115" s="373">
        <f>+D116+D121</f>
        <v>0</v>
      </c>
      <c r="E115" s="373">
        <f>+E116+E121</f>
        <v>0</v>
      </c>
      <c r="F115" s="373">
        <f>+F116+F121</f>
        <v>0</v>
      </c>
      <c r="G115" s="242"/>
      <c r="H115" s="372">
        <v>400</v>
      </c>
      <c r="I115" s="77" t="s">
        <v>477</v>
      </c>
      <c r="J115" s="373">
        <f>+J116+J121</f>
        <v>0</v>
      </c>
      <c r="K115" s="373">
        <f>+K116+K121</f>
        <v>0</v>
      </c>
      <c r="L115" s="242"/>
      <c r="M115" s="372">
        <v>400</v>
      </c>
      <c r="N115" s="77" t="s">
        <v>477</v>
      </c>
      <c r="O115" s="373">
        <f>+O116+O121</f>
        <v>0</v>
      </c>
      <c r="P115" s="373">
        <f>+P116+P121</f>
        <v>0</v>
      </c>
      <c r="Q115" s="265"/>
      <c r="R115" s="266"/>
      <c r="S115" s="265"/>
      <c r="T115" s="265"/>
      <c r="U115" s="265"/>
      <c r="V115" s="265"/>
      <c r="W115" s="265"/>
      <c r="X115" s="265"/>
      <c r="Y115" s="265"/>
      <c r="Z115" s="265"/>
      <c r="AA115" s="265"/>
      <c r="AB115" s="265"/>
      <c r="AC115" s="265"/>
      <c r="AD115" s="265"/>
      <c r="AE115" s="265"/>
      <c r="AF115" s="265"/>
      <c r="AG115" s="265"/>
      <c r="AH115" s="265"/>
      <c r="AI115" s="265"/>
      <c r="AJ115" s="265"/>
      <c r="AK115" s="265"/>
      <c r="AL115" s="265"/>
      <c r="AM115" s="244"/>
    </row>
    <row r="116" spans="1:39" ht="18" customHeight="1" outlineLevel="2" x14ac:dyDescent="0.15">
      <c r="A116" s="242">
        <f t="shared" si="1"/>
        <v>113</v>
      </c>
      <c r="B116" s="259">
        <v>410</v>
      </c>
      <c r="C116" s="73" t="s">
        <v>478</v>
      </c>
      <c r="D116" s="244">
        <f>+SUM(D117:D119)</f>
        <v>0</v>
      </c>
      <c r="E116" s="244">
        <f>+SUM(E117:E120)</f>
        <v>0</v>
      </c>
      <c r="F116" s="244">
        <f>+SUM(F117:F120)</f>
        <v>0</v>
      </c>
      <c r="G116" s="242"/>
      <c r="H116" s="259">
        <v>410</v>
      </c>
      <c r="I116" s="73" t="s">
        <v>478</v>
      </c>
      <c r="J116" s="244">
        <f>+SUM(J117:J120)</f>
        <v>0</v>
      </c>
      <c r="K116" s="244">
        <f>+SUM(K117:K120)</f>
        <v>0</v>
      </c>
      <c r="L116" s="242"/>
      <c r="M116" s="259">
        <v>410</v>
      </c>
      <c r="N116" s="73" t="s">
        <v>478</v>
      </c>
      <c r="O116" s="244">
        <f>+SUM(O117:O120)</f>
        <v>0</v>
      </c>
      <c r="P116" s="244">
        <f>+SUM(P117:P120)</f>
        <v>0</v>
      </c>
      <c r="Q116" s="265"/>
      <c r="R116" s="264"/>
      <c r="S116" s="265"/>
      <c r="T116" s="265"/>
      <c r="U116" s="265"/>
      <c r="V116" s="265"/>
      <c r="W116" s="265"/>
      <c r="X116" s="265"/>
      <c r="Y116" s="265"/>
      <c r="Z116" s="265"/>
      <c r="AA116" s="265"/>
      <c r="AB116" s="265"/>
      <c r="AC116" s="265"/>
      <c r="AD116" s="265"/>
      <c r="AE116" s="265"/>
      <c r="AF116" s="265"/>
      <c r="AG116" s="265"/>
      <c r="AH116" s="265"/>
      <c r="AI116" s="265"/>
      <c r="AJ116" s="265"/>
      <c r="AK116" s="265"/>
      <c r="AL116" s="265"/>
      <c r="AM116" s="244"/>
    </row>
    <row r="117" spans="1:39" ht="18" customHeight="1" outlineLevel="3" x14ac:dyDescent="0.15">
      <c r="A117" s="242">
        <f t="shared" si="1"/>
        <v>114</v>
      </c>
      <c r="B117" s="365">
        <v>411</v>
      </c>
      <c r="C117" s="72" t="s">
        <v>479</v>
      </c>
      <c r="D117" s="362">
        <f>SUM(Table_CoDong[Vốn góp ban đầu])</f>
        <v>0</v>
      </c>
      <c r="E117" s="362" cm="1">
        <f t="array" ref="E117">Table_BCTC[[#This Row],[Đầu kỳ]]+
IFERROR(
SUM(_xlfn._xlws.FILTER(Table_ThuChiTC[Giá trị GD],
(Table_ThuChiTC[Nội dung GD] = Sheet_ThuChiTC!$F$8) *
(Table_ThuChiTC[Loại GD] = "THU") *
(Table_ThuChiTC[Ngày GD] &lt; DATE(BCTC_Nam, BCTC_Thang,1))
)),0)
-IFERROR(
SUM(_xlfn._xlws.FILTER(Table_ThuChiTC[Giá trị GD],
(Table_ThuChiTC[Nội dung GD] = Sheet_ThuChiTC!$F$8) *
(Table_ThuChiTC[Loại GD] = "CHI") *
(Table_ThuChiTC[Ngày GD] &lt; DATE(BCTC_Nam, BCTC_Thang,1))
)),0)</f>
        <v>0</v>
      </c>
      <c r="F117" s="371" cm="1">
        <f t="array" ref="F117">Table_BCTC[[#This Row],[Đầu kỳ]]+
IFERROR(
SUM(_xlfn._xlws.FILTER(Table_ThuChiTC[Giá trị GD],
(Table_ThuChiTC[Nội dung GD] = Sheet_ThuChiTC!$F$8) *
(Table_ThuChiTC[Loại GD] = "THU") *
(Table_ThuChiTC[Ngày GD] &lt; DATE(BCTC_Nam, BCTC_Thang+1,1))
)),0)
-IFERROR(
SUM(_xlfn._xlws.FILTER(Table_ThuChiTC[Giá trị GD],
(Table_ThuChiTC[Nội dung GD] = Sheet_ThuChiTC!$F$8) *
(Table_ThuChiTC[Loại GD] = "CHI") *
(Table_ThuChiTC[Ngày GD] &lt; DATE(BCTC_Nam, BCTC_Thang+1,1))
)),0)</f>
        <v>0</v>
      </c>
      <c r="G117" s="242"/>
      <c r="H117" s="365">
        <v>411</v>
      </c>
      <c r="I117" s="72" t="s">
        <v>479</v>
      </c>
      <c r="J117" s="362" cm="1">
        <f t="array" ref="J117">Table_BCTC[[#This Row],[Đầu kỳ]]+
IFERROR(
SUM(_xlfn._xlws.FILTER(Table_ThuChiTC[Giá trị GD],
(Table_ThuChiTC[Nội dung GD] = "Thu chi từ biến động cổ phiếu, vốn góp") *
(Table_ThuChiTC[Loại GD] = "THU") *
(Table_ThuChiTC[Ngày GD] &lt; DATE(J$1+1,1,1))
)),0)
-IFERROR(
SUM(_xlfn._xlws.FILTER(Table_ThuChiTC[Giá trị GD],
(Table_ThuChiTC[Nội dung GD] = "Thu chi từ biến động cổ phiếu, vốn góp") *
(Table_ThuChiTC[Loại GD] = "CHI") *
(Table_ThuChiTC[Ngày GD] &lt; DATE(J$1+1,1,1))
)),0)</f>
        <v>0</v>
      </c>
      <c r="K117" s="362" cm="1">
        <f t="array" ref="K117">Table_BCTC[[#This Row],[Đầu kỳ]]+
IFERROR(
SUM(_xlfn._xlws.FILTER(Table_ThuChiTC[Giá trị GD],
(Table_ThuChiTC[Nội dung GD] = "Thu chi từ biến động cổ phiếu, vốn góp") *
(Table_ThuChiTC[Loại GD] = "THU") *
(Table_ThuChiTC[Ngày GD] &lt; DATE(K$1+1,1,1))
)),0)
-IFERROR(
SUM(_xlfn._xlws.FILTER(Table_ThuChiTC[Giá trị GD],
(Table_ThuChiTC[Nội dung GD] = "Thu chi từ biến động cổ phiếu, vốn góp") *
(Table_ThuChiTC[Loại GD] = "CHI") *
(Table_ThuChiTC[Ngày GD] &lt; DATE(K$1+1,1,1))
)),0)</f>
        <v>0</v>
      </c>
      <c r="L117" s="242"/>
      <c r="M117" s="365">
        <v>411</v>
      </c>
      <c r="N117" s="72" t="s">
        <v>479</v>
      </c>
      <c r="O117" s="371" cm="1">
        <f t="array" ref="O117">Table_BCTC[[#This Row],[Đầu kỳ]]+
IFERROR(
SUM(_xlfn._xlws.FILTER(Table_ThuChiTC[Giá trị GD],
(Table_ThuChiTC[Nội dung GD] = "Thu chi từ biến động cổ phiếu, vốn góp") *
(Table_ThuChiTC[Loại GD] = "THU") *
(Table_ThuChiTC[Ngày GD] &lt; DATE(YEAR(O$1),MONTH(O$1)+1,1))
)),0)
-IFERROR(
SUM(_xlfn._xlws.FILTER(Table_ThuChiTC[Giá trị GD],
(Table_ThuChiTC[Nội dung GD] = "Thu chi từ biến động cổ phiếu, vốn góp") *
(Table_ThuChiTC[Loại GD] = "CHI") *
(Table_ThuChiTC[Ngày GD] &lt; DATE(YEAR(O$1),MONTH(O$1)+1,1))
)),0)</f>
        <v>0</v>
      </c>
      <c r="P117" s="371" cm="1">
        <f t="array" ref="P117">Table_BCTC[[#This Row],[Đầu kỳ]]+
IFERROR(
SUM(_xlfn._xlws.FILTER(Table_ThuChiTC[Giá trị GD],
(Table_ThuChiTC[Nội dung GD] = "Thu chi từ biến động cổ phiếu, vốn góp") *
(Table_ThuChiTC[Loại GD] = "THU") *
(Table_ThuChiTC[Ngày GD] &lt; DATE(YEAR(P$1),MONTH(P$1)+1,1))
)),0)
-IFERROR(
SUM(_xlfn._xlws.FILTER(Table_ThuChiTC[Giá trị GD],
(Table_ThuChiTC[Nội dung GD] = "Thu chi từ biến động cổ phiếu, vốn góp") *
(Table_ThuChiTC[Loại GD] = "CHI") *
(Table_ThuChiTC[Ngày GD] &lt; DATE(YEAR(P$1),MONTH(P$1)+1,1))
)),0)</f>
        <v>0</v>
      </c>
      <c r="Q117" s="265"/>
      <c r="R117" s="264"/>
      <c r="S117" s="265"/>
      <c r="T117" s="265"/>
      <c r="U117" s="265"/>
      <c r="V117" s="265"/>
      <c r="W117" s="265"/>
      <c r="X117" s="265"/>
      <c r="Y117" s="265"/>
      <c r="Z117" s="265"/>
      <c r="AA117" s="265"/>
      <c r="AB117" s="265"/>
      <c r="AC117" s="265"/>
      <c r="AD117" s="265"/>
      <c r="AE117" s="265"/>
      <c r="AF117" s="265"/>
      <c r="AG117" s="265"/>
      <c r="AH117" s="265"/>
      <c r="AI117" s="265"/>
      <c r="AJ117" s="265"/>
      <c r="AK117" s="265"/>
      <c r="AL117" s="265"/>
      <c r="AM117" s="244"/>
    </row>
    <row r="118" spans="1:39" ht="18" customHeight="1" outlineLevel="3" x14ac:dyDescent="0.15">
      <c r="A118" s="242">
        <f t="shared" si="1"/>
        <v>115</v>
      </c>
      <c r="B118" s="365">
        <v>416</v>
      </c>
      <c r="C118" s="72" t="s">
        <v>480</v>
      </c>
      <c r="D118" s="362">
        <v>0</v>
      </c>
      <c r="E118" s="362" cm="1">
        <f t="array" ref="E118">Table_BCTC[[#This Row],[Đầu kỳ]]+
- IFERROR(
SUM(_xlfn._xlws.FILTER(Table_LaiKhac[Giá trị],
(Table_LaiKhac[Phân loại] =$C$45) *
(NOT(ISBLANK(Table_LaiKhac[Tháng]))) *
(Table_LaiKhac[Kỳ] &lt; DATE(BCTC_Nam, BCTC_Thang, 1))
)),0)
-IFERROR(
SUMPRODUCT(
_xlfn._xlws.FILTER(Table_LaiKhac[Giá trị],
(Table_LaiKhac[Phân loại] =$C$45)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=$C$45) *
(Table_LaiKhac[Phân bổ từ] &lt; DATE(BCTC_Nam,BCTC_Thang,1))*
(Table_LaiKhac[Phân bổ đến] &gt; DATE(BCTC_Nam,BCTC_Thang-1,1))
),
1/_xlfn._xlws.FILTER(ROUND((Table_LaiKhac[Phân bổ đến]-Table_LaiKhac[Phân bổ từ])/(365.25/12),0),
(ISBLANK(Table_LaiKhac[Tháng]))*
(Table_LaiKhac[Phân loại] =$C$45) *
(Table_LaiKhac[Phân bổ từ] &lt; DATE(BCTC_Nam,BCTC_Thang,1))*
(Table_LaiKhac[Phân bổ đến] &gt; DATE(BCTC_Nam,BCTC_Thang-1,1))
)),0)</f>
        <v>0</v>
      </c>
      <c r="F118" s="371" cm="1">
        <f t="array" ref="F118">Table_BCTC[[#This Row],[Đầu kỳ]]+
- IFERROR(
SUM(_xlfn._xlws.FILTER(Table_LaiKhac[Giá trị],
(Table_LaiKhac[Phân loại] =$C$45) *
(NOT(ISBLANK(Table_LaiKhac[Tháng]))) *
(Table_LaiKhac[Kỳ] &lt; DATE(BCTC_Nam, BCTC_Thang+1, 1))
)),0)
-IFERROR(
SUMPRODUCT(
_xlfn._xlws.FILTER(Table_LaiKhac[Giá trị],
(Table_LaiKhac[Phân loại] =$C$45) *
(ISBLANK(Table_LaiKhac[Tháng]))*
(Table_LaiKhac[Phân bổ từ] &lt; DATE(BCTC_Nam,BCTC_Thang + 1,1))*
(Table_LaiKhac[Phân bổ đến] &gt; DATE(BCTC_Nam,BCTC_Thang,1))
),
_xlfn._xlws.FILTER(ROUND((DATE(BCTC_Nam,BCTC_Thang+1,1)-1-Table_LaiKhac[Phân bổ từ])/(365.25/12),0),
(ISBLANK(Table_LaiKhac[Tháng]))*
(Table_LaiKhac[Phân loại] =$C$45) *
(Table_LaiKhac[Phân bổ từ] &lt; DATE(BCTC_Nam,BCTC_Thang + 1,1))*
(Table_LaiKhac[Phân bổ đến] &gt; DATE(BCTC_Nam,BCTC_Thang,1))
),
1/_xlfn._xlws.FILTER(ROUND((Table_LaiKhac[Phân bổ đến]-Table_LaiKhac[Phân bổ từ])/(365.25/12),0),
(ISBLANK(Table_LaiKhac[Tháng]))*
(Table_LaiKhac[Phân loại] =$C$45) *
(Table_LaiKhac[Phân bổ từ] &lt; DATE(BCTC_Nam,BCTC_Thang + 1,1))*
(Table_LaiKhac[Phân bổ đến] &gt; DATE(BCTC_Nam,BCTC_Thang,1))
)),0)</f>
        <v>0</v>
      </c>
      <c r="G118" s="242"/>
      <c r="H118" s="365">
        <v>416</v>
      </c>
      <c r="I118" s="72" t="s">
        <v>480</v>
      </c>
      <c r="J118" s="362" cm="1">
        <f t="array" ref="J118">Table_BCTC[[#This Row],[Đầu kỳ]]
- IFERROR(
SUM(_xlfn._xlws.FILTER(Table_LaiKhac[Giá trị],
(Table_LaiKhac[Phân loại] =$C$45) *
(NOT(ISBLANK(Table_LaiKhac[Tháng]))) *
(Table_LaiKhac[Kỳ] &lt; DATE(J$1+1,1, 1))
)),0)
-IFERROR(
SUMPRODUCT(
_xlfn._xlws.FILTER(Table_LaiKhac[Giá trị],
(Table_LaiKhac[Phân loại] =$C$45) *
(ISBLANK(Table_LaiKhac[Tháng]))*
(Table_LaiKhac[Phân bổ từ] &lt; DATE(J$1+1,1, 1))*
(Table_LaiKhac[Phân bổ đến] &gt; DATE(J$1,1, 1))
),
_xlfn._xlws.FILTER(ROUND(
(IF(DATE(J$1+1,1,1)-1 &gt;Table_LaiKhac[Phân bổ đến],
Table_LaiKhac[Phân bổ đến],DATE(J$1+1,1,1)-1)
-IF(DATE(J$1,1,1) &gt;Table_LaiKhac[Phân bổ từ],
DATE(J$1,1,1),Table_LaiKhac[Phân bổ từ])
) /(365.25/12),0),
(ISBLANK(Table_LaiKhac[Tháng]))*
(Table_LaiKhac[Phân loại] =$C$45) *
(Table_LaiKhac[Phân bổ từ] &lt; DATE(J$1+1,1, 1))*
(Table_LaiKhac[Phân bổ đến] &gt; DATE(J$1,1, 1))
),
1/_xlfn._xlws.FILTER(ROUND((Table_LaiKhac[Phân bổ đến]-Table_LaiKhac[Phân bổ từ])/(365.25/12),0),
(ISBLANK(Table_LaiKhac[Tháng]))*
(Table_LaiKhac[Phân loại] =$C$45) *
(Table_LaiKhac[Phân bổ từ] &lt; DATE(J$1+1,1, 1))*
(Table_LaiKhac[Phân bổ đến] &gt; DATE(J$1,1, 1))
)),0)</f>
        <v>0</v>
      </c>
      <c r="K118" s="362" cm="1">
        <f t="array" ref="K118">Table_BCTC[[#This Row],[Đầu kỳ]]
- IFERROR(
SUM(_xlfn._xlws.FILTER(Table_LaiKhac[Giá trị],
(Table_LaiKhac[Phân loại] =$C$45) *
(NOT(ISBLANK(Table_LaiKhac[Tháng]))) *
(Table_LaiKhac[Kỳ] &lt; DATE(K$1+1,1, 1))
)),0)
-IFERROR(
SUMPRODUCT(
_xlfn._xlws.FILTER(Table_LaiKhac[Giá trị],
(Table_LaiKhac[Phân loại] =$C$45) *
(ISBLANK(Table_LaiKhac[Tháng]))*
(Table_LaiKhac[Phân bổ từ] &lt; DATE(K$1+1,1, 1))*
(Table_LaiKhac[Phân bổ đến] &gt; DATE(K$1,1, 1))
),
_xlfn._xlws.FILTER(ROUND(
(IF(DATE(K$1+1,1,1)-1 &gt;Table_LaiKhac[Phân bổ đến],
Table_LaiKhac[Phân bổ đến],DATE(K$1+1,1,1)-1)
-IF(DATE(K$1,1,1) &gt;Table_LaiKhac[Phân bổ từ],
DATE(K$1,1,1),Table_LaiKhac[Phân bổ từ])
) /(365.25/12),0),
(ISBLANK(Table_LaiKhac[Tháng]))*
(Table_LaiKhac[Phân loại] =$C$45) *
(Table_LaiKhac[Phân bổ từ] &lt; DATE(K$1+1,1, 1))*
(Table_LaiKhac[Phân bổ đến] &gt; DATE(K$1,1, 1))
),
1/_xlfn._xlws.FILTER(ROUND((Table_LaiKhac[Phân bổ đến]-Table_LaiKhac[Phân bổ từ])/(365.25/12),0),
(ISBLANK(Table_LaiKhac[Tháng]))*
(Table_LaiKhac[Phân loại] =$C$45) *
(Table_LaiKhac[Phân bổ từ] &lt; DATE(K$1+1,1, 1))*
(Table_LaiKhac[Phân bổ đến] &gt; DATE(K$1,1, 1))
)),0)</f>
        <v>0</v>
      </c>
      <c r="L118" s="242"/>
      <c r="M118" s="365">
        <v>416</v>
      </c>
      <c r="N118" s="72" t="s">
        <v>480</v>
      </c>
      <c r="O118" s="371" cm="1">
        <f t="array" ref="O118">Table_BCTC[[#This Row],[Đầu kỳ]]
- IFERROR(
SUM(_xlfn._xlws.FILTER(Table_LaiKhac[Giá trị],
(Table_LaiKhac[Phân loại] =$C$45) *
(NOT(ISBLANK(Table_LaiKhac[Tháng]))) *
(Table_LaiKhac[Kỳ] &lt; DATE(YEAR(O$1),MONTH(O$1)+1, 1))
)),0)
-IFERROR(
SUMPRODUCT(
_xlfn._xlws.FILTER(Table_LaiKhac[Giá trị],
(Table_LaiKhac[Phân loại] =$C$45) *
(ISBLANK(Table_LaiKhac[Tháng]))*
(Table_LaiKhac[Phân bổ từ] &lt; DATE(YEAR(O$1),MONTH(O$1)+ 1,1))*
(Table_LaiKhac[Phân bổ đến] &gt; O$1)
),
_xlfn._xlws.FILTER(ROUND((DATE(YEAR(O$1),MONTH(O$1)+1,1)-1-Table_LaiKhac[Phân bổ từ])/(365.25/12),0),
(ISBLANK(Table_LaiKhac[Tháng]))*
(Table_LaiKhac[Phân loại] =$C$45) *
(Table_LaiKhac[Phân bổ từ] &lt; DATE(YEAR(O$1),MONTH(O$1)+ 1,1))*
(Table_LaiKhac[Phân bổ đến] &gt; O$1)
),
1/_xlfn._xlws.FILTER(ROUND((Table_LaiKhac[Phân bổ đến]-Table_LaiKhac[Phân bổ từ])/(365.25/12),0),
(ISBLANK(Table_LaiKhac[Tháng]))*
(Table_LaiKhac[Phân loại] =$C$45) *
(Table_LaiKhac[Phân bổ từ] &lt; DATE(YEAR(O$1),MONTH(O$1)+ 1,1))*
(Table_LaiKhac[Phân bổ đến] &gt; O$1)
)),0)</f>
        <v>0</v>
      </c>
      <c r="P118" s="371" cm="1">
        <f t="array" ref="P118">Table_BCTC[[#This Row],[Đầu kỳ]]
- IFERROR(
SUM(_xlfn._xlws.FILTER(Table_LaiKhac[Giá trị],
(Table_LaiKhac[Phân loại] =$C$45) *
(NOT(ISBLANK(Table_LaiKhac[Tháng]))) *
(Table_LaiKhac[Kỳ] &lt; DATE(YEAR(P$1),MONTH(P$1)+1, 1))
)),0)
-IFERROR(
SUMPRODUCT(
_xlfn._xlws.FILTER(Table_LaiKhac[Giá trị],
(Table_LaiKhac[Phân loại] =$C$45) *
(ISBLANK(Table_LaiKhac[Tháng]))*
(Table_LaiKhac[Phân bổ từ] &lt; DATE(YEAR(P$1),MONTH(P$1)+ 1,1))*
(Table_LaiKhac[Phân bổ đến] &gt; P$1)
),
_xlfn._xlws.FILTER(ROUND((DATE(YEAR(P$1),MONTH(P$1)+1,1)-1-Table_LaiKhac[Phân bổ từ])/(365.25/12),0),
(ISBLANK(Table_LaiKhac[Tháng]))*
(Table_LaiKhac[Phân loại] =$C$45) *
(Table_LaiKhac[Phân bổ từ] &lt; DATE(YEAR(P$1),MONTH(P$1)+ 1,1))*
(Table_LaiKhac[Phân bổ đến] &gt; P$1)
),
1/_xlfn._xlws.FILTER(ROUND((Table_LaiKhac[Phân bổ đến]-Table_LaiKhac[Phân bổ từ])/(365.25/12),0),
(ISBLANK(Table_LaiKhac[Tháng]))*
(Table_LaiKhac[Phân loại] =$C$45) *
(Table_LaiKhac[Phân bổ từ] &lt; DATE(YEAR(P$1),MONTH(P$1)+ 1,1))*
(Table_LaiKhac[Phân bổ đến] &gt; P$1)
)),0)</f>
        <v>0</v>
      </c>
      <c r="Q118" s="265"/>
      <c r="R118" s="377"/>
      <c r="S118" s="265"/>
      <c r="T118" s="265"/>
      <c r="U118" s="265"/>
      <c r="V118" s="265"/>
      <c r="W118" s="265"/>
      <c r="X118" s="265"/>
      <c r="Y118" s="265"/>
      <c r="Z118" s="265"/>
      <c r="AA118" s="265"/>
      <c r="AB118" s="265"/>
      <c r="AC118" s="265"/>
      <c r="AD118" s="265"/>
      <c r="AE118" s="265"/>
      <c r="AF118" s="265"/>
      <c r="AG118" s="265"/>
      <c r="AH118" s="265"/>
      <c r="AI118" s="265"/>
      <c r="AJ118" s="265"/>
      <c r="AK118" s="265"/>
      <c r="AL118" s="265"/>
      <c r="AM118" s="244"/>
    </row>
    <row r="119" spans="1:39" ht="18" customHeight="1" outlineLevel="3" x14ac:dyDescent="0.15">
      <c r="A119" s="242">
        <f t="shared" si="1"/>
        <v>116</v>
      </c>
      <c r="B119" s="365">
        <v>420</v>
      </c>
      <c r="C119" s="72" t="s">
        <v>481</v>
      </c>
      <c r="D119" s="362">
        <v>0</v>
      </c>
      <c r="E119" s="362" cm="1">
        <f t="array" ref="E119">Table_BCTC[[#This Row],[Đầu kỳ]]
+IFERROR(SUM(_xlfn._xlws.FILTER(Table_Main[Giá trị bán trước VAT],
(Table_Main[Ngày lên đơn] &lt; DATE(BCTC_Nam, BCTC_Thang, 1))
)),0)
-IFERROR(SUM(_xlfn._xlws.FILTER(Table_DonBan[Giá trị CK],
(Table_DonBan[Ngày lập] &lt; DATE(BCTC_Nam, BCTC_Thang, 1))
)),0)
-IFERROR(SUM(_xlfn._xlws.FILTER(Table_TonKho[Chi phí ghi nhận],
(Table_TonKho[Kỳ] &lt; DATE(BCTC_Nam,BCTC_Thang,1)) *
(NOT(ISBLANK(Table_TonKho[Chức năng])))
)),0)
-IFERROR(SUM(_xlfn._xlws.FILTER(Table_ChiPhiKD[Giá trị],
(NOT(ISBLANK(Table_ChiPhiKD[Tháng])))*
(Table_ChiPhiKD[Kỳ] &lt; DATE(BCTC_Nam,BCTC_Thang,1))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
(Table_ChiPhiKD[Phân bổ đến] &gt; DATE(BCTC_Nam,BCTC_Thang-1,1))
),
_xlfn._xlws.FILTER(ROUND((DATE(BCTC_Nam,BCTC_Thang,1)-1-Table_ChiPhiKD[Phân bổ từ])/(365.25/12),0),
(ISBLANK(Table_ChiPhiKD[Tháng]))*
(Table_ChiPhiKD[Phân bổ từ] &lt; DATE(BCTC_Nam,BCTC_Thang,1))*
(Table_ChiPhiKD[Phân bổ đến] &gt; DATE(BCTC_Nam,BCTC_Thang-1,1))
),
1/_xlfn._xlws.FILTER(ROUND((Table_ChiPhiKD[Phân bổ đến]-Table_ChiPhiKD[Phân bổ từ])/(365.25/12),0),
(ISBLANK(Table_ChiPhiKD[Tháng]))*
(Table_ChiPhiKD[Phân bổ từ] &lt; DATE(BCTC_Nam,BCTC_Thang,1))*
(Table_ChiPhiKD[Phân bổ đến] &gt; DATE(BCTC_Nam,BCTC_Thang-1,1))
)),0)
-IFERROR(SUM(_xlfn._xlws.FILTER(Table_DonMua[Phụ phí]-Table_DonMua[Khuyến mãi],
(Table_DonMua[Ngày lập] &lt; DATE(BCTC_Nam, BCTC_Thang, 1))
)),0)
-IFERROR(SUM(_xlfn._xlws.FILTER(Table_TSCD_KhauHao[Khấu hao],
(Table_TSCD_KhauHao[Kỳ] &lt; DATE(BCTC_Nam, BCTC_Thang, 1))
)),0)
-IFERROR(
SUM(_xlfn._xlws.FILTER(Table_Main[CK kênh],
(Table_Main[Ngày lên đơn] &lt; DATE(BCTC_Nam, BCTC_Thang, 1))
)),0)
-IFERROR(SUM(_xlfn._xlws.FILTER(Table_KPI[Thưởng KPI],
(NOT(ISBLANK(Table_KPI[Kênh]))) *
(NOT(ISBLANK(Table_KPI[Tháng]))) *
(Table_KPI[Kỳ] &lt; DATE(BCTC_Nam, BCTC_Thang, 1))
)),0)
-IFERROR(SUM(_xlfn._xlws.FILTER(Table_KPI[Thưởng KPI],
(NOT(ISBLANK(Table_KPI[Kênh]))) *
(ISBLANK(Table_KPI[Tháng])) *
(Table_KPI[Năm] &lt;  BCTC_Nam)
)),0)
-IFERROR(SUM(_xlfn._xlws.FILTER(Table_KPI[Thưởng KPI],
(NOT(ISBLANK(Table_KPI[Kênh]))) *
(ISBLANK(Table_KPI[Tháng])) *
(Table_KPI[Năm]=  BCTC_Nam)
))*(BCTC_Thang-1)/12,0)
-IFERROR(SUM(_xlfn._xlws.FILTER(Table_ChiPhiNV[Tổng chi phí],
(NOT(ISBLANK(Table_ChiPhiNV[Tháng])))*
(Table_ChiPhiNV[Kỳ] &lt; DATE(BCTC_Nam,BCTC_Thang,1))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
(Table_ChiPhiNV[Phân bổ đến] &gt; DATE(BCTC_Nam,BCTC_Thang-1,1))
),
_xlfn._xlws.FILTER(ROUND((DATE(BCTC_Nam,BCTC_Thang,1)-1-Table_ChiPhiNV[Phân bổ từ])/(365.25/12),0),
(ISBLANK(Table_ChiPhiNV[Tháng]))*
(Table_ChiPhiNV[Phân bổ từ] &lt; DATE(BCTC_Nam,BCTC_Thang,1))*
(Table_ChiPhiNV[Phân bổ đến] &gt; DATE(BCTC_Nam,BCTC_Thang-1,1))
),
1/_xlfn._xlws.FILTER(ROUND((Table_ChiPhiNV[Phân bổ đến]-Table_ChiPhiNV[Phân bổ từ])/(365.25/12),0),
(ISBLANK(Table_ChiPhiNV[Tháng]))*
(Table_ChiPhiNV[Phân bổ từ] &lt; DATE(BCTC_Nam,BCTC_Thang,1))*
(Table_ChiPhiNV[Phân bổ đến] &gt; DATE(BCTC_Nam,BCTC_Thang-1,1))
)
),0)
-IFERROR(SUM(_xlfn._xlws.FILTER(Table_VanDon[Phí ship],
(Table_VanDon[Bên chịu phí] = "Bên bán") *
(Table_VanDon[Ngày lập] &lt; DATE(BCTC_Nam, BCTC_Thang,1))
)),0)
-IFERROR(SUM(_xlfn._xlws.FILTER(Table_ThuChiKD[Phí GD],
(Table_ThuChiKD[Ngày GD] &lt; DATE(BCTC_Nam, BCTC_Thang, 1))
)),0)
-IFERROR(SUM(_xlfn._xlws.FILTER(Table_VayNo_LichTra[Lãi vay],
(Table_VayNo_LichTra[Kỳ] &lt; DATE(BCTC_Nam,BCTC_Thang,1))*
(NOT(ISBLANK(Table_VayNo_LichTra[Tháng])))
)),0)
-IFERROR(SUMPRODUCT(
_xlfn._xlws.FILTER(Table_VayNo[Trả gốc hàng kỳ]/12,
(ISBLANK(Table_VayNo[Thời hạn (tháng)]))*
(Table_VayNo[Ngày vay] &lt; DATE(BCTC_Nam, BCTC_Thang, 1))
),
_xlfn._xlws.FILTER(ROUND((MIN(DATE(BCTC_Nam, BCTC_Thang, 1), Table_VayNo[Kết thúc trả gốc]) - MAX(BCTC_BatDau,Table_VayNo[Ngày vay])) / (365.25/12), 0),
(ISBLANK(Table_VayNo[Thời hạn (tháng)]))*
(Table_VayNo[Ngày vay] &lt; DATE(BCTC_Nam, BCTC_Thang, 1))
)),0)
+IFERROR(SUM(_xlfn._xlws.FILTER(Table_DauTu_LichThu[Nhận lãi],
(Table_DauTu_LichThu[Kỳ] &lt; DATE(BCTC_Nam,BCTC_Thang,1))
)),0)
+IFERROR(SUM(_xlfn._xlws.FILTER(Table_LaiKhac[Giá trị],
(NOT(ISBLANK(Table_LaiKhac[Tháng])))*
(Table_LaiKhac[Kỳ] &lt; DATE(BCTC_Nam,BCTC_Thang,1))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
(Table_LaiKhac[Phân bổ đến] &gt; DATE(BCTC_Nam,BCTC_Thang-1,1))
),
_xlfn._xlws.FILTER(ROUND((DATE(BCTC_Nam,BCTC_Thang,1)-1-Table_LaiKhac[Phân bổ từ])/(365.25/12),0),
(ISBLANK(Table_LaiKhac[Tháng]))*
(Table_LaiKhac[Phân bổ từ] &lt; DATE(BCTC_Nam,BCTC_Thang,1))*
(Table_LaiKhac[Phân bổ đến] &gt; DATE(BCTC_Nam,BCTC_Thang-1,1))
),
1/_xlfn._xlws.FILTER(ROUND((Table_LaiKhac[Phân bổ đến]-Table_LaiKhac[Phân bổ từ])/(365.25/12),0),
(ISBLANK(Table_LaiKhac[Tháng]))*
(Table_LaiKhac[Phân bổ từ] &lt; DATE(BCTC_Nam,BCTC_Thang,1))*
(Table_LaiKhac[Phân bổ đến] &gt; DATE(BCTC_Nam,BCTC_Thang-1,1))
)),0)
-IFERROR(SUM(_xlfn._xlws.FILTER(Table_LaiKhac[Giá trị VAT],
(Table_LaiKhac[Giá trị]&gt;0)*
(NOT(ISBLANK(Table_LaiKhac[Tháng])))*
(Table_LaiKhac[Kỳ] &lt; DATE(BCTC_Nam,BCTC_Thang,1))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
(Table_LaiKhac[Phân bổ đến] &gt; DATE(BCTC_Nam,BCTC_Thang-1,1))
),
_xlfn._xlws.FILTER(ROUND((DATE(BCTC_Nam,BCTC_Thang,1)-1-Table_LaiKhac[Phân bổ từ])/(365.25/12),0),
(Table_LaiKhac[Giá trị]&gt;0)*
(ISBLANK(Table_LaiKhac[Tháng]))*
(Table_LaiKhac[Phân bổ từ] &lt; DATE(BCTC_Nam,BCTC_Thang,1))*
(Table_LaiKhac[Phân bổ đến] &gt; DATE(BCTC_Nam,BCTC_Thang-1,1))
),
1/_xlfn._xlws.FILTER(ROUND((Table_LaiKhac[Phân bổ đến]-Table_LaiKhac[Phân bổ từ])/(365.25/12),0),
(Table_LaiKhac[Giá trị]&gt;0)*
(ISBLANK(Table_LaiKhac[Tháng]))*
(Table_LaiKhac[Phân bổ từ] &lt; DATE(BCTC_Nam,BCTC_Thang,1))*
(Table_LaiKhac[Phân bổ đến] &gt; DATE(BCTC_Nam,BCTC_Thang-1,1))
)),0)
-IFERROR(SUM(_xlfn._xlws.FILTER(Table_ThuChiTC[Giá trị GD],
(Table_ThuChiTC[Loại GD] = "CHI") *
(Table_ThuChiTC[Nội dung GD] = Sheet_ThuChiTC!$F$10) *
(Table_ThuChiTC[Ngày GD] &lt; DATE(BCTC_Nam,BCTC_Thang,1))
)),0)
+IFERROR(SUM(_xlfn._xlws.FILTER(Table_ThuChiTC[Giá trị GD],
(Table_ThuChiTC[Loại GD] = "THU") *
(Table_ThuChiTC[Nội dung GD] = Sheet_ThuChiTC!$F$10) *
(Table_ThuChiTC[Ngày GD] &lt; DATE(BCTC_Nam,BCTC_Thang,1))
)),0)</f>
        <v>0</v>
      </c>
      <c r="F119" s="362" cm="1">
        <f t="array" ref="F119">Table_BCTC[[#This Row],[Đầu kỳ]]
+IFERROR(SUM(_xlfn._xlws.FILTER(Table_Main[Giá trị bán trước VAT],
(Table_Main[Ngày lên đơn] &lt; DATE(BCTC_Nam, BCTC_Thang+1, 1))
)),0)
-IFERROR(SUM(_xlfn._xlws.FILTER(Table_DonBan[Giá trị CK],
(Table_DonBan[Ngày lập] &lt; DATE(BCTC_Nam, BCTC_Thang+1, 1))
)),0)
-IFERROR(SUM(_xlfn._xlws.FILTER(Table_TonKho[Chi phí ghi nhận],
(Table_TonKho[Kỳ] &lt; DATE(BCTC_Nam,BCTC_Thang+1,1)) *
(NOT(ISBLANK(Table_TonKho[Chức năng])))
)),0)
-IFERROR(SUM(_xlfn._xlws.FILTER(Table_ChiPhiKD[Giá trị],
(NOT(ISBLANK(Table_ChiPhiKD[Tháng])))*
(Table_ChiPhiKD[Kỳ] &lt; DATE(BCTC_Nam,BCTC_Thang+1,1))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DATE(BCTC_Nam,BCTC_Thang+1,1))*
(Table_ChiPhiKD[Phân bổ đến] &gt; DATE(BCTC_Nam,BCTC_Thang,1))
),
_xlfn._xlws.FILTER(ROUND((DATE(BCTC_Nam,BCTC_Thang+1,1)-1-Table_ChiPhiKD[Phân bổ từ])/(365.25/12),0),
(ISBLANK(Table_ChiPhiKD[Tháng]))*
(Table_ChiPhiKD[Phân bổ từ] &lt;= DATE(BCTC_Nam,BCTC_Thang+1,1))*
(Table_ChiPhiKD[Phân bổ đến] &gt; DATE(BCTC_Nam,BCTC_Thang,1))
),
1/_xlfn._xlws.FILTER(ROUND((Table_ChiPhiKD[Phân bổ đến]-Table_ChiPhiKD[Phân bổ từ])/(365.25/12),0),
(ISBLANK(Table_ChiPhiKD[Tháng]))*
(Table_ChiPhiKD[Phân bổ từ] &lt;= DATE(BCTC_Nam,BCTC_Thang+1,1))*
(Table_ChiPhiKD[Phân bổ đến] &gt; DATE(BCTC_Nam,BCTC_Thang,1))
)),0)
-IFERROR(SUM(_xlfn._xlws.FILTER(Table_DonMua[Phụ phí]-Table_DonMua[Khuyến mãi],
(Table_DonMua[Ngày lập] &lt; DATE(BCTC_Nam, BCTC_Thang+1, 1))
)),0)
-IFERROR(SUM(_xlfn._xlws.FILTER(Table_TSCD_KhauHao[Khấu hao],
(Table_TSCD_KhauHao[Kỳ] &lt; DATE(BCTC_Nam, BCTC_Thang+1, 1))
)),0)
-IFERROR(
SUM(_xlfn._xlws.FILTER(Table_Main[CK kênh],
(Table_Main[Ngày lên đơn] &lt; DATE(BCTC_Nam, BCTC_Thang+1, 1))
)),0)
-IFERROR(SUM(_xlfn._xlws.FILTER(Table_KPI[Thưởng KPI],
(NOT(ISBLANK(Table_KPI[Kênh]))) *
(NOT(ISBLANK(Table_KPI[Tháng]))) *
(Table_KPI[Kỳ] &lt; DATE(BCTC_Nam, BCTC_Thang+1, 1))
)),0)
-IFERROR(SUM(_xlfn._xlws.FILTER(Table_KPI[Thưởng KPI],
(NOT(ISBLANK(Table_KPI[Kênh]))) *
(ISBLANK(Table_KPI[Tháng])) *
(Table_KPI[Năm] &lt;  BCTC_Nam)
)),0)
-IFERROR(SUM(_xlfn._xlws.FILTER(Table_KPI[Thưởng KPI],
(NOT(ISBLANK(Table_KPI[Kênh]))) *
(ISBLANK(Table_KPI[Tháng])) *
(Table_KPI[Năm]=  BCTC_Nam)
))*BCTC_Thang/12,0)
-IFERROR(SUM(_xlfn._xlws.FILTER(Table_ChiPhiNV[Tổng chi phí],
(NOT(ISBLANK(Table_ChiPhiNV[Tháng])))*
(Table_ChiPhiNV[Kỳ] &lt; DATE(BCTC_Nam,BCTC_Thang+1,1))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DATE(BCTC_Nam,BCTC_Thang+1,1))*
(Table_ChiPhiNV[Phân bổ đến] &gt; DATE(BCTC_Nam,BCTC_Thang,1))
),
_xlfn._xlws.FILTER(ROUND((DATE(BCTC_Nam,BCTC_Thang+1,1)-1-Table_ChiPhiNV[Phân bổ từ])/(365.25/12),0),
(ISBLANK(Table_ChiPhiNV[Tháng]))*
(Table_ChiPhiNV[Phân bổ từ] &lt;= DATE(BCTC_Nam,BCTC_Thang+1,1))*
(Table_ChiPhiNV[Phân bổ đến] &gt; DATE(BCTC_Nam,BCTC_Thang,1))
),
1/_xlfn._xlws.FILTER(ROUND((Table_ChiPhiNV[Phân bổ đến]-Table_ChiPhiNV[Phân bổ từ])/(365.25/12),0),
(ISBLANK(Table_ChiPhiNV[Tháng]))*
(Table_ChiPhiNV[Phân bổ từ] &lt;= DATE(BCTC_Nam,BCTC_Thang+1,1))*
(Table_ChiPhiNV[Phân bổ đến] &gt; DATE(BCTC_Nam,BCTC_Thang,1))
)
),0)
-IFERROR(SUM(_xlfn._xlws.FILTER(Table_VanDon[Phí ship],
(Table_VanDon[Bên chịu phí] = "Bên bán") *
(Table_VanDon[Ngày lập] &lt; DATE(BCTC_Nam, BCTC_Thang+1,1))
)),0)
-IFERROR(SUM(_xlfn._xlws.FILTER(Table_ThuChiKD[Phí GD],
(Table_ThuChiKD[Ngày GD] &lt; DATE(BCTC_Nam, BCTC_Thang + 1, 1))
)),0)
-IFERROR(SUM(_xlfn._xlws.FILTER(Table_VayNo_LichTra[Lãi vay],
(Table_VayNo_LichTra[Kỳ] &lt; DATE(BCTC_Nam,BCTC_Thang+1,1))*
(NOT(ISBLANK(Table_VayNo_LichTra[Tháng])))
)),0)
-IFERROR(SUMPRODUCT(
_xlfn._xlws.FILTER(Table_VayNo[Trả gốc hàng kỳ]/12,
(ISBLANK(Table_VayNo[Thời hạn (tháng)]))*
(Table_VayNo[Ngày vay] &lt; DATE(BCTC_Nam, BCTC_Thang + 1, 1))
),
_xlfn._xlws.FILTER(ROUND((MIN(DATE(BCTC_Nam, BCTC_Thang + 1, 1), Table_VayNo[Kết thúc trả gốc]) - MAX(BCTC_BatDau,Table_VayNo[Ngày vay])) / (365.25/12), 0),
(ISBLANK(Table_VayNo[Thời hạn (tháng)]))*
(Table_VayNo[Ngày vay] &lt; DATE(BCTC_Nam, BCTC_Thang + 1, 1))
)),0)
+IFERROR(SUM(_xlfn._xlws.FILTER(Table_DauTu_LichThu[Nhận lãi],
(Table_DauTu_LichThu[Kỳ] &lt; DATE(BCTC_Nam,BCTC_Thang+1,1))
)),0)
+IFERROR(SUM(_xlfn._xlws.FILTER(Table_LaiKhac[Giá trị],
(NOT(ISBLANK(Table_LaiKhac[Tháng])))*
(Table_LaiKhac[Kỳ] &lt; DATE(BCTC_Nam,BCTC_Thang+1,1))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DATE(BCTC_Nam,BCTC_Thang+1,1))*
(Table_LaiKhac[Phân bổ đến] &gt; DATE(BCTC_Nam,BCTC_Thang,1))
),
_xlfn._xlws.FILTER(ROUND((DATE(BCTC_Nam,BCTC_Thang+1,1)-1-Table_LaiKhac[Phân bổ từ])/(365.25/12),0),
(ISBLANK(Table_LaiKhac[Tháng]))*
(Table_LaiKhac[Phân bổ từ] &lt;= DATE(BCTC_Nam,BCTC_Thang+1,1))*
(Table_LaiKhac[Phân bổ đến] &gt; DATE(BCTC_Nam,BCTC_Thang,1))
),
1/_xlfn._xlws.FILTER(ROUND((Table_LaiKhac[Phân bổ đến]-Table_LaiKhac[Phân bổ từ])/(365.25/12),0),
(ISBLANK(Table_LaiKhac[Tháng]))*
(Table_LaiKhac[Phân bổ từ] &lt;= DATE(BCTC_Nam,BCTC_Thang+1,1))*
(Table_LaiKhac[Phân bổ đến] &gt; DATE(BCTC_Nam,BCTC_Thang,1))
)),0)
-IFERROR(SUM(_xlfn._xlws.FILTER(Table_LaiKhac[Giá trị VAT],
(Table_LaiKhac[Giá trị]&gt;0)*
(NOT(ISBLANK(Table_LaiKhac[Tháng])))*
(Table_LaiKhac[Kỳ] &lt; DATE(BCTC_Nam,BCTC_Thang+1,1))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DATE(BCTC_Nam,BCTC_Thang+1,1))*
(Table_LaiKhac[Phân bổ đến] &gt; DATE(BCTC_Nam,BCTC_Thang,1))
),
_xlfn._xlws.FILTER(ROUND((DATE(BCTC_Nam,BCTC_Thang+1,1)-1-Table_LaiKhac[Phân bổ từ])/(365.25/12),0),
(Table_LaiKhac[Giá trị]&gt;0)*
(ISBLANK(Table_LaiKhac[Tháng]))*
(Table_LaiKhac[Phân bổ từ] &lt;= DATE(BCTC_Nam,BCTC_Thang+1,1))*
(Table_LaiKhac[Phân bổ đến] &gt; DATE(BCTC_Nam,BCTC_Thang,1))
),
1/_xlfn._xlws.FILTER(ROUND((Table_LaiKhac[Phân bổ đến]-Table_LaiKhac[Phân bổ từ])/(365.25/12),0),
(Table_LaiKhac[Giá trị]&gt;0)*
(ISBLANK(Table_LaiKhac[Tháng]))*
(Table_LaiKhac[Phân bổ từ] &lt;= DATE(BCTC_Nam,BCTC_Thang+1,1))*
(Table_LaiKhac[Phân bổ đến] &gt; DATE(BCTC_Nam,BCTC_Thang,1))
)),0)
-IFERROR(SUM(_xlfn._xlws.FILTER(Table_ThuChiTC[Giá trị GD],
(Table_ThuChiTC[Loại GD] = "CHI") *
(Table_ThuChiTC[Nội dung GD] = Sheet_ThuChiTC!$F$10) *
(Table_ThuChiTC[Ngày GD] &lt; DATE(BCTC_Nam,BCTC_Thang+1,1))
)),0)
+IFERROR(SUM(_xlfn._xlws.FILTER(Table_ThuChiTC[Giá trị GD],
(Table_ThuChiTC[Loại GD] = "THU") *
(Table_ThuChiTC[Nội dung GD] = Sheet_ThuChiTC!$F$10) *
(Table_ThuChiTC[Ngày GD] &lt; DATE(BCTC_Nam,BCTC_Thang+1,1))
)),0)</f>
        <v>0</v>
      </c>
      <c r="G119" s="242"/>
      <c r="H119" s="365">
        <v>420</v>
      </c>
      <c r="I119" s="72" t="s">
        <v>481</v>
      </c>
      <c r="J119" s="362" cm="1">
        <f t="array" ref="J119" xml:space="preserve">
Table_BCTC[[#This Row],[Đầu kỳ]]
+IFERROR(
SUM(
_xlfn._xlws.FILTER(Table_Main[Giá trị bán trước VAT],
(Table_Main[Ngày lên đơn] &lt; DATE(J$1+1,1, 1))
)),
0)
-IFERROR(
SUM(
_xlfn._xlws.FILTER(Table_DonBan[Giá trị CK],
(Table_DonBan[Ngày lập] &lt; DATE(J$1+1,1, 1))
)),
0)
-IFERROR(
SUM(
_xlfn._xlws.FILTER(Table_TonKho[Chi phí ghi nhận],
(Table_TonKho[Kỳ] &lt; DATE(J$1+1,1,1)) *
(NOT(ISBLANK(Table_TonKho[Chức năng])))
)),
0)
-IFERROR(
SUM(
_xlfn._xlws.FILTER(Table_ChiPhiKD[Giá trị],
(NOT(ISBLANK(Table_ChiPhiKD[Tháng])))*
(Table_ChiPhiKD[Kỳ] &lt; DATE(J$1+1,1,1))
)),
0)
-IFERROR(
SUM(
_xlfn._xlws.FILTER(Table_ChiPhiKD[Giá trị],
(ISBLANK(Table_ChiPhiKD[Tháng]))*
(Table_ChiPhiKD[Phân bổ đến] &lt;= DATE(J$1,1,1))
)),
0)
-IFERROR(
SUMPRODUCT(
_xlfn._xlws.FILTER(Table_ChiPhiKD[Giá trị],
(ISBLANK(Table_ChiPhiKD[Tháng]))*
(Table_ChiPhiKD[Phân bổ từ] &lt;= DATE(J$1+1,1,1))*
(Table_ChiPhiKD[Phân bổ đến] &gt; DATE(J$1,1,1))
),
_xlfn._xlws.FILTER(
ROUND(
(IF(DATE(J$1+1,1,1)-1 &gt;Table_ChiPhiKD[Phân bổ đến],
Table_ChiPhiKD[Phân bổ đến],DATE(J$1+1,1,1)-1)
-IF(DATE(J$1,1,1) &gt;Table_ChiPhiKD[Phân bổ từ],
DATE(J$1,1,1),Table_ChiPhiKD[Phân bổ từ])
)/(365.25/12),
0),
(ISBLANK(Table_ChiPhiKD[Tháng]))*
(Table_ChiPhiKD[Phân bổ từ] &lt;= DATE(J$1+1,1,1))*
(Table_ChiPhiKD[Phân bổ đến] &gt; DATE(J$1,1,1))
),
1/_xlfn._xlws.FILTER(
ROUND(
(Table_ChiPhiKD[Phân bổ đến]-Table_ChiPhiKD[Phân bổ từ])
/(365.25/12),
0),
(ISBLANK(Table_ChiPhiKD[Tháng]))*
(Table_ChiPhiKD[Phân bổ từ] &lt;= DATE(J$1+1,1,1))*
(Table_ChiPhiKD[Phân bổ đến] &gt; DATE(J$1,1,1))
)
),
0)
-IFERROR(
SUM(
_xlfn._xlws.FILTER(Table_DonMua[Phụ phí]-Table_DonMua[Khuyến mãi],
(Table_DonMua[Ngày lập] &lt; DATE(J$1+1,1,1))
)),
0)
-IFERROR(
SUM(
_xlfn._xlws.FILTER(Table_TSCD_KhauHao[Khấu hao],
(Table_TSCD_KhauHao[Kỳ] &lt; DATE(J$1+1,1,1))
)),
0)
-IFERROR(
SUM(
_xlfn._xlws.FILTER(Table_Main[CK kênh],
(Table_Main[Ngày lên đơn] &lt; DATE(J$1+1,1,1))
)),
0)
-IFERROR(
SUM(
_xlfn._xlws.FILTER(Table_KPI[Thưởng KPI],
(NOT(ISBLANK(Table_KPI[Kênh]))) *
(NOT(ISBLANK(Table_KPI[Tháng]))) *
(Table_KPI[Kỳ] &lt; DATE(J$1+1,1,1))
)),
0)
-IFERROR(
SUM(
_xlfn._xlws.FILTER(Table_KPI[Thưởng KPI],
(NOT(ISBLANK(Table_KPI[Kênh]))) *
(ISBLANK(Table_KPI[Tháng])) *
(Table_KPI[Năm] &lt;= J$1)
)),
0)
-IFERROR(
SUM(
_xlfn._xlws.FILTER(Table_ChiPhiNV[Tổng chi phí],
(NOT(ISBLANK(Table_ChiPhiNV[Tháng])))*
(Table_ChiPhiNV[Kỳ] &lt; DATE(J$1+1,1,1))
)),
0)
-IFERROR(
SUM(
_xlfn._xlws.FILTER(Table_ChiPhiNV[Tổng chi phí],
(ISBLANK(Table_ChiPhiNV[Tháng]))*
(Table_ChiPhiNV[Phân bổ đến] &lt;= DATE(J$1,1,1))
)),
0)
-IFERROR(
SUMPRODUCT(
_xlfn._xlws.FILTER(Table_ChiPhiNV[Tổng chi phí],
(ISBLANK(Table_ChiPhiNV[Tháng]))*
(Table_ChiPhiNV[Phân bổ từ] &lt;= DATE(J$1+1,1,1))*
(Table_ChiPhiNV[Phân bổ đến] &gt; DATE(J$1,1,1))
),
_xlfn._xlws.FILTER(
ROUND(
(IF(DATE(J$1+1,1,1)-1 &gt;Table_ChiPhiNV[Phân bổ đến],
Table_ChiPhiNV[Phân bổ đến],DATE(J$1+1,1,1)-1)
-IF(DATE(J$1,1,1) &gt;Table_ChiPhiNV[Phân bổ từ],
DATE(J$1,1,1),Table_ChiPhiNV[Phân bổ từ]))
/(365.25/12),
0),
(ISBLANK(Table_ChiPhiNV[Tháng]))*
(Table_ChiPhiNV[Phân bổ từ] &lt;= DATE(J$1+1,1,1))*
(Table_ChiPhiNV[Phân bổ đến] &gt; DATE(J$1,1,1))
),
1/_xlfn._xlws.FILTER(
ROUND(
(Table_ChiPhiNV[Phân bổ đến]-Table_ChiPhiNV[Phân bổ từ])
/(365.25/12),
0),
(ISBLANK(Table_ChiPhiNV[Tháng]))*
(Table_ChiPhiNV[Phân bổ từ] &lt;= DATE(J$1+1,1,1))*
(Table_ChiPhiNV[Phân bổ đến] &gt; DATE(J$1,1,1))
)
),
0)
-IFERROR(
SUM(
_xlfn._xlws.FILTER(Table_VanDon[Phí ship],
(Table_VanDon[Bên chịu phí] = "Bên bán") *
(Table_VanDon[Ngày lập] &lt; DATE(J$1+1,1,1))
)),
0)
-IFERROR(
SUM(
_xlfn._xlws.FILTER(Table_ThuChiKD[Phí GD],
(Table_ThuChiKD[Ngày GD] &lt; DATE(J$1+1,1,1))
)),
0)
-IFERROR(
SUM(
_xlfn._xlws.FILTER(Table_VayNo_LichTra[Lãi vay],
(Table_VayNo_LichTra[Kỳ] &lt; DATE(J$1+1,1,1))
)),
0)
+IFERROR(
SUM(
_xlfn._xlws.FILTER(Table_DauTu_LichThu[Nhận lãi],
(Table_DauTu_LichThu[Kỳ] &lt; DATE(J$1+1,1,1))
)),
0)
+IFERROR(
SUM(
_xlfn._xlws.FILTER(Table_LaiKhac[Giá trị],
(NOT(ISBLANK(Table_LaiKhac[Tháng])))*
(Table_LaiKhac[Kỳ] &lt; DATE(J$1+1,1,1))
)),
0)
+IFERROR(
SUM(
_xlfn._xlws.FILTER(Table_LaiKhac[Giá trị],
(ISBLANK(Table_LaiKhac[Tháng]))*
(Table_LaiKhac[Phân bổ đến] &lt;= DATE(J$1,1,1))
)),
0)
+IFERROR(
SUMPRODUCT(
_xlfn._xlws.FILTER(Table_LaiKhac[Giá trị],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(ISBLANK(Table_LaiKhac[Tháng]))*
(Table_LaiKhac[Phân bổ từ] &lt;= DATE(J$1+1,1,1))*
(Table_LaiKhac[Phân bổ đến] &gt; DATE(J$1,1,1))
),
1/_xlfn._xlws.FILTER(
ROUND(
(Table_LaiKhac[Phân bổ đến]-Table_LaiKhac[Phân bổ từ])
/(365.25/12),
0),
(ISBLANK(Table_LaiKhac[Tháng]))*
(Table_LaiKhac[Phân bổ từ] &lt;= DATE(J$1+1,1,1))*
(Table_LaiKhac[Phân bổ đến] &gt; DATE(J$1,1,1))
)
),
0)
-IFERROR(
SUM(
_xlfn._xlws.FILTER(Table_LaiKhac[Giá trị VAT],
(Table_LaiKhac[Giá trị]&gt;0)*
(NOT(ISBLANK(Table_LaiKhac[Tháng])))*
(Table_LaiKhac[Kỳ] &lt; DATE(J$1+1,1,1))
)),
0)
-IFERROR(
SUM(_xlfn._xlws.FILTER(Table_LaiKhac[Giá trị VAT],
(Table_LaiKhac[Giá trị]&gt;0)*
(ISBLANK(Table_LaiKhac[Tháng]))*
(Table_LaiKhac[Phân bổ đến] &lt;= DATE(J$1,1,1))
)),
0)
-IFERROR(
SUMPRODUCT(
_xlfn._xlws.FILTER(Table_LaiKhac[Giá trị VAT],
(Table_LaiKhac[Giá trị]&gt;0)*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(Table_LaiKhac[Giá trị]&gt;0)*
(ISBLANK(Table_LaiKhac[Tháng]))*
(Table_LaiKhac[Phân bổ từ] &lt;= DATE(J$1+1,1,1))*
(Table_LaiKhac[Phân bổ đến] &gt; DATE(J$1,1,1))
),
1/_xlfn._xlws.FILTER(
ROUND(
(Table_LaiKhac[Phân bổ đến]-Table_LaiKhac[Phân bổ từ])
/(365.25/12),
0),
(Table_LaiKhac[Giá trị]&gt;0)*
(ISBLANK(Table_LaiKhac[Tháng]))*
(Table_LaiKhac[Phân bổ từ] &lt;= DATE(J$1+1,1,1))*
(Table_LaiKhac[Phân bổ đến] &gt; DATE(J$1,1,1))
)
),
0)
-IFERROR(
SUM(
_xlfn._xlws.FILTER(Table_ThuChiTC[Giá trị GD],
(Table_ThuChiTC[Loại GD] = "CHI") *
(Table_ThuChiTC[Nội dung GD] = "Cổ tức, lợi nhuận đã trả cho chú sở hữu") *
(Table_ThuChiTC[Ngày GD] &lt; DATE(J$1+1,1,1))
)),
0)
+IFERROR(
SUM(
_xlfn._xlws.FILTER(Table_ThuChiTC[Giá trị GD],
(Table_ThuChiTC[Loại GD] = "THU") *
(Table_ThuChiTC[Nội dung GD] = "Cổ tức, lợi nhuận đã trả cho chú sở hữu") *
(Table_ThuChiTC[Ngày GD] &lt; DATE(J$1+1,1,1))
)),
0)</f>
        <v>0</v>
      </c>
      <c r="K119" s="362" cm="1">
        <f t="array" ref="K119" xml:space="preserve">
Table_BCTC[[#This Row],[Đầu kỳ]]
+IFERROR(
SUM(
_xlfn._xlws.FILTER(Table_Main[Giá trị bán trước VAT],
(Table_Main[Ngày lên đơn] &lt; DATE(K$1+1,1, 1))
)),
0)
-IFERROR(
SUM(
_xlfn._xlws.FILTER(Table_DonBan[Giá trị CK],
(Table_DonBan[Ngày lập] &lt; DATE(K$1+1,1, 1))
)),
0)
-IFERROR(
SUM(
_xlfn._xlws.FILTER(Table_TonKho[Chi phí ghi nhận],
(Table_TonKho[Kỳ] &lt; DATE(K$1+1,1,1)) *
(NOT(ISBLANK(Table_TonKho[Chức năng])))
)),
0)
-IFERROR(
SUM(
_xlfn._xlws.FILTER(Table_ChiPhiKD[Giá trị],
(NOT(ISBLANK(Table_ChiPhiKD[Tháng])))*
(Table_ChiPhiKD[Kỳ] &lt; DATE(K$1+1,1,1))
)),
0)
-IFERROR(
SUM(
_xlfn._xlws.FILTER(Table_ChiPhiKD[Giá trị],
(ISBLANK(Table_ChiPhiKD[Tháng]))*
(Table_ChiPhiKD[Phân bổ đến] &lt;= DATE(K$1,1,1))
)),
0)
-IFERROR(
SUMPRODUCT(
_xlfn._xlws.FILTER(Table_ChiPhiKD[Giá trị],
(ISBLANK(Table_ChiPhiKD[Tháng]))*
(Table_ChiPhiKD[Phân bổ từ] &lt;= DATE(K$1+1,1,1))*
(Table_ChiPhiKD[Phân bổ đến] &gt; DATE(K$1,1,1))
),
_xlfn._xlws.FILTER(
ROUND(
(IF(DATE(K$1+1,1,1)-1 &gt;Table_ChiPhiKD[Phân bổ đến],
Table_ChiPhiKD[Phân bổ đến],DATE(K$1+1,1,1)-1)
-IF(DATE(K$1,1,1) &gt;Table_ChiPhiKD[Phân bổ từ],
DATE(K$1,1,1),Table_ChiPhiKD[Phân bổ từ])
)/(365.25/12),
0),
(ISBLANK(Table_ChiPhiKD[Tháng]))*
(Table_ChiPhiKD[Phân bổ từ] &lt;= DATE(K$1+1,1,1))*
(Table_ChiPhiKD[Phân bổ đến] &gt; DATE(K$1,1,1))
),
1/_xlfn._xlws.FILTER(
ROUND(
(Table_ChiPhiKD[Phân bổ đến]-Table_ChiPhiKD[Phân bổ từ])
/(365.25/12),
0),
(ISBLANK(Table_ChiPhiKD[Tháng]))*
(Table_ChiPhiKD[Phân bổ từ] &lt;= DATE(K$1+1,1,1))*
(Table_ChiPhiKD[Phân bổ đến] &gt; DATE(K$1,1,1))
)
),
0)
-IFERROR(
SUM(
_xlfn._xlws.FILTER(Table_DonMua[Phụ phí]-Table_DonMua[Khuyến mãi],
(Table_DonMua[Ngày lập] &lt; DATE(K$1+1,1,1))
)),
0)
-IFERROR(
SUM(
_xlfn._xlws.FILTER(Table_TSCD_KhauHao[Khấu hao],
(Table_TSCD_KhauHao[Kỳ] &lt; DATE(K$1+1,1,1))
)),
0)
-IFERROR(
SUM(
_xlfn._xlws.FILTER(Table_Main[CK kênh],
(Table_Main[Ngày lên đơn] &lt; DATE(K$1+1,1,1))
)),
0)
-IFERROR(
SUM(
_xlfn._xlws.FILTER(Table_KPI[Thưởng KPI],
(NOT(ISBLANK(Table_KPI[Kênh]))) *
(NOT(ISBLANK(Table_KPI[Tháng]))) *
(Table_KPI[Kỳ] &lt; DATE(K$1+1,1,1))
)),
0)
-IFERROR(
SUM(
_xlfn._xlws.FILTER(Table_KPI[Thưởng KPI],
(NOT(ISBLANK(Table_KPI[Kênh]))) *
(ISBLANK(Table_KPI[Tháng])) *
(Table_KPI[Năm] &lt;= K$1)
)),
0)
-IFERROR(
SUM(
_xlfn._xlws.FILTER(Table_ChiPhiNV[Tổng chi phí],
(NOT(ISBLANK(Table_ChiPhiNV[Tháng])))*
(Table_ChiPhiNV[Kỳ] &lt; DATE(K$1+1,1,1))
)),
0)
-IFERROR(
SUM(
_xlfn._xlws.FILTER(Table_ChiPhiNV[Tổng chi phí],
(ISBLANK(Table_ChiPhiNV[Tháng]))*
(Table_ChiPhiNV[Phân bổ đến] &lt;= DATE(K$1,1,1))
)),
0)
-IFERROR(
SUMPRODUCT(
_xlfn._xlws.FILTER(Table_ChiPhiNV[Tổng chi phí],
(ISBLANK(Table_ChiPhiNV[Tháng]))*
(Table_ChiPhiNV[Phân bổ từ] &lt;= DATE(K$1+1,1,1))*
(Table_ChiPhiNV[Phân bổ đến] &gt; DATE(K$1,1,1))
),
_xlfn._xlws.FILTER(
ROUND(
(IF(DATE(K$1+1,1,1)-1 &gt;Table_ChiPhiNV[Phân bổ đến],
Table_ChiPhiNV[Phân bổ đến],DATE(K$1+1,1,1)-1)
-IF(DATE(K$1,1,1) &gt;Table_ChiPhiNV[Phân bổ từ],
DATE(K$1,1,1),Table_ChiPhiNV[Phân bổ từ]))
/(365.25/12),
0),
(ISBLANK(Table_ChiPhiNV[Tháng]))*
(Table_ChiPhiNV[Phân bổ từ] &lt;= DATE(K$1+1,1,1))*
(Table_ChiPhiNV[Phân bổ đến] &gt; DATE(K$1,1,1))
),
1/_xlfn._xlws.FILTER(
ROUND(
(Table_ChiPhiNV[Phân bổ đến]-Table_ChiPhiNV[Phân bổ từ])
/(365.25/12),
0),
(ISBLANK(Table_ChiPhiNV[Tháng]))*
(Table_ChiPhiNV[Phân bổ từ] &lt;= DATE(K$1+1,1,1))*
(Table_ChiPhiNV[Phân bổ đến] &gt; DATE(K$1,1,1))
)
),
0)
-IFERROR(
SUM(
_xlfn._xlws.FILTER(Table_VanDon[Phí ship],
(Table_VanDon[Bên chịu phí] = "Bên bán") *
(Table_VanDon[Ngày lập] &lt; DATE(K$1+1,1,1))
)),
0)
-IFERROR(
SUM(
_xlfn._xlws.FILTER(Table_ThuChiKD[Phí GD],
(Table_ThuChiKD[Ngày GD] &lt; DATE(K$1+1,1,1))
)),
0)
-IFERROR(
SUM(
_xlfn._xlws.FILTER(Table_VayNo_LichTra[Lãi vay],
(Table_VayNo_LichTra[Kỳ] &lt; DATE(K$1+1,1,1))
)),
0)
+IFERROR(
SUM(
_xlfn._xlws.FILTER(Table_DauTu_LichThu[Nhận lãi],
(Table_DauTu_LichThu[Kỳ] &lt; DATE(K$1+1,1,1))
)),
0)
+IFERROR(
SUM(
_xlfn._xlws.FILTER(Table_LaiKhac[Giá trị],
(NOT(ISBLANK(Table_LaiKhac[Tháng])))*
(Table_LaiKhac[Kỳ] &lt; DATE(K$1+1,1,1))
)),
0)
+IFERROR(
SUM(
_xlfn._xlws.FILTER(Table_LaiKhac[Giá trị],
(ISBLANK(Table_LaiKhac[Tháng]))*
(Table_LaiKhac[Phân bổ đến] &lt;= DATE(K$1,1,1))
)),
0)
+IFERROR(
SUMPRODUCT(
_xlfn._xlws.FILTER(Table_LaiKhac[Giá trị],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(ISBLANK(Table_LaiKhac[Tháng]))*
(Table_LaiKhac[Phân bổ từ] &lt;= DATE(K$1+1,1,1))*
(Table_LaiKhac[Phân bổ đến] &gt; DATE(K$1,1,1))
),
1/_xlfn._xlws.FILTER(
ROUND(
(Table_LaiKhac[Phân bổ đến]-Table_LaiKhac[Phân bổ từ])
/(365.25/12),
0),
(ISBLANK(Table_LaiKhac[Tháng]))*
(Table_LaiKhac[Phân bổ từ] &lt;= DATE(K$1+1,1,1))*
(Table_LaiKhac[Phân bổ đến] &gt; DATE(K$1,1,1))
)
),
0)
-IFERROR(
SUM(
_xlfn._xlws.FILTER(Table_LaiKhac[Giá trị VAT],
(Table_LaiKhac[Giá trị]&gt;0)*
(NOT(ISBLANK(Table_LaiKhac[Tháng])))*
(Table_LaiKhac[Kỳ] &lt; DATE(K$1+1,1,1))
)),
0)
-IFERROR(
SUM(_xlfn._xlws.FILTER(Table_LaiKhac[Giá trị VAT],
(Table_LaiKhac[Giá trị]&gt;0)*
(ISBLANK(Table_LaiKhac[Tháng]))*
(Table_LaiKhac[Phân bổ đến] &lt;= DATE(K$1,1,1))
)),
0)
-IFERROR(
SUMPRODUCT(
_xlfn._xlws.FILTER(Table_LaiKhac[Giá trị VAT],
(Table_LaiKhac[Giá trị]&gt;0)*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(Table_LaiKhac[Giá trị]&gt;0)*
(ISBLANK(Table_LaiKhac[Tháng]))*
(Table_LaiKhac[Phân bổ từ] &lt;= DATE(K$1+1,1,1))*
(Table_LaiKhac[Phân bổ đến] &gt; DATE(K$1,1,1))
),
1/_xlfn._xlws.FILTER(
ROUND(
(Table_LaiKhac[Phân bổ đến]-Table_LaiKhac[Phân bổ từ])
/(365.25/12),
0),
(Table_LaiKhac[Giá trị]&gt;0)*
(ISBLANK(Table_LaiKhac[Tháng]))*
(Table_LaiKhac[Phân bổ từ] &lt;= DATE(K$1+1,1,1))*
(Table_LaiKhac[Phân bổ đến] &gt; DATE(K$1,1,1))
)
),
0)
-IFERROR(
SUM(
_xlfn._xlws.FILTER(Table_ThuChiTC[Giá trị GD],
(Table_ThuChiTC[Loại GD] = "CHI") *
(Table_ThuChiTC[Nội dung GD] = "Cổ tức, lợi nhuận đã trả cho chú sở hữu") *
(Table_ThuChiTC[Ngày GD] &lt; DATE(K$1+1,1,1))
)),
0)
+IFERROR(
SUM(
_xlfn._xlws.FILTER(Table_ThuChiTC[Giá trị GD],
(Table_ThuChiTC[Loại GD] = "THU") *
(Table_ThuChiTC[Nội dung GD] = "Cổ tức, lợi nhuận đã trả cho chú sở hữu") *
(Table_ThuChiTC[Ngày GD] &lt; DATE(K$1+1,1,1))
)),
0)</f>
        <v>0</v>
      </c>
      <c r="L119" s="242"/>
      <c r="M119" s="365">
        <v>420</v>
      </c>
      <c r="N119" s="72" t="s">
        <v>481</v>
      </c>
      <c r="O119" s="312" cm="1">
        <f t="array" ref="O119">Table_BCTC[[#This Row],[Đầu kỳ]]
+IFERROR(
SUM(
_xlfn._xlws.FILTER(Table_Main[Giá trị bán trước VAT],
(Table_Main[Ngày lên đơn] &lt; DATE(YEAR(O$1),MONTH(O$1)+1, 1))
)),
0)
-IFERROR(
SUM(
_xlfn._xlws.FILTER(Table_DonBan[Giá trị CK],
(Table_DonBan[Ngày lập] &lt; DATE(YEAR(O$1),MONTH(O$1)+1, 1))
)),
0)
-IFERROR(
SUM(
_xlfn._xlws.FILTER(Table_TonKho[Chi phí ghi nhận],
(Table_TonKho[Kỳ] &lt; DATE(YEAR(O$1),MONTH(O$1)+1,1)) *
(NOT(ISBLANK(Table_TonKho[Chức năng])))
)),
0)
-IFERROR(
SUM(
_xlfn._xlws.FILTER(Table_ChiPhiKD[Giá trị],
(NOT(ISBLANK(Table_ChiPhiKD[Tháng])))*
(Table_ChiPhiKD[Kỳ] &lt; DATE(YEAR(O$1),MONTH(O$1)+1,1))
)),
0)
-IFERROR(
SUM(
_xlfn._xlws.FILTER(Table_ChiPhiKD[Giá trị],
(ISBLANK(Table_ChiPhiKD[Tháng]))*
(Table_ChiPhiKD[Phân bổ đến] &lt;= O$1)
)),
0)
-IFERROR(
SUMPRODUCT(
_xlfn._xlws.FILTER(Table_ChiPhiKD[Giá trị],
(ISBLANK(Table_ChiPhiKD[Tháng]))*
(Table_ChiPhiKD[Phân bổ từ] &lt;= DATE(YEAR(O$1),MONTH(O$1)+1,1))*
(Table_ChiPhiKD[Phân bổ đến] &gt; O$1)
),
_xlfn._xlws.FILTER(
ROUND(
(DATE(YEAR(O$1),MONTH(O$1)+1,1)-1-Table_ChiPhiKD[Phân bổ từ])
/(365.25/12),
0),
(ISBLANK(Table_ChiPhiKD[Tháng]))*
(Table_ChiPhiKD[Phân bổ từ] &lt;= DATE(YEAR(O$1),MONTH(O$1)+1,1))*
(Table_ChiPhiKD[Phân bổ đến] &gt; O$1)
),
1/_xlfn._xlws.FILTER(
ROUND(
(Table_ChiPhiKD[Phân bổ đến]-Table_ChiPhiKD[Phân bổ từ])
/(365.25/12),
0),
(ISBLANK(Table_ChiPhiKD[Tháng]))*
(Table_ChiPhiKD[Phân bổ từ] &lt;= DATE(YEAR(O$1),MONTH(O$1)+1,1))*
(Table_ChiPhiKD[Phân bổ đến] &gt; O$1)
)
),
0)
-IFERROR(
SUM(
_xlfn._xlws.FILTER(Table_DonMua[Phụ phí]-Table_DonMua[Khuyến mãi],
(Table_DonMua[Ngày lập] &lt; DATE(YEAR(O$1),MONTH(O$1)+1, 1))
)),
0)
-IFERROR(
SUM(
_xlfn._xlws.FILTER(Table_TSCD_KhauHao[Khấu hao],
(Table_TSCD_KhauHao[Kỳ] &lt; DATE(YEAR(O$1),MONTH(O$1)+1, 1))
)),
0)
-IFERROR(
SUM(
_xlfn._xlws.FILTER(Table_Main[CK kênh],
(Table_Main[Ngày lên đơn] &lt; DATE(YEAR(O$1),MONTH(O$1)+1, 1))
)),
0)
-IFERROR(
SUM(
_xlfn._xlws.FILTER(Table_KPI[Thưởng KPI],
(NOT(ISBLANK(Table_KPI[Kênh]))) *
(NOT(ISBLANK(Table_KPI[Tháng]))) *
(Table_KPI[Kỳ] &lt; DATE(YEAR(O$1),MONTH(O$1)+1, 1))
)),
0)
-IFERROR(
SUM(
_xlfn._xlws.FILTER(Table_KPI[Thưởng KPI],
(NOT(ISBLANK(Table_KPI[Kênh]))) *
(ISBLANK(Table_KPI[Tháng])) *
(Table_KPI[Năm] &lt; YEAR(O$1))
)),
0)
-IFERROR(
SUM(
_xlfn._xlws.FILTER(Table_KPI[Thưởng KPI],
(NOT(ISBLANK(Table_KPI[Kênh]))) *
(ISBLANK(Table_KPI[Tháng])) *
(Table_KPI[Năm] = YEAR(O$1))
))*MONTH(O$1)/12,
0)
-IFERROR(
SUM(
_xlfn._xlws.FILTER(Table_ChiPhiNV[Tổng chi phí],
(NOT(ISBLANK(Table_ChiPhiNV[Tháng])))*
(Table_ChiPhiNV[Kỳ] &lt; DATE(YEAR(O$1),MONTH(O$1)+1,1))
)),
0)
-IFERROR(
SUM(
_xlfn._xlws.FILTER(Table_ChiPhiNV[Tổng chi phí],
(ISBLANK(Table_ChiPhiNV[Tháng]))*
(Table_ChiPhiNV[Phân bổ đến] &lt;= O$1)
)),
0)
-IFERROR(
SUMPRODUCT(
_xlfn._xlws.FILTER(Table_ChiPhiNV[Tổng chi phí],
(ISBLANK(Table_ChiPhiNV[Tháng]))*
(Table_ChiPhiNV[Phân bổ từ] &lt;= DATE(YEAR(O$1),MONTH(O$1)+1,1))*
(Table_ChiPhiNV[Phân bổ đến] &gt; O$1)
),
_xlfn._xlws.FILTER(
ROUND(
(DATE(YEAR(O$1),MONTH(O$1)+1,1)-1-Table_ChiPhiNV[Phân bổ từ])
/(365.25/12),
0),
(ISBLANK(Table_ChiPhiNV[Tháng]))*
(Table_ChiPhiNV[Phân bổ từ] &lt;= DATE(YEAR(O$1),MONTH(O$1)+1,1))*
(Table_ChiPhiNV[Phân bổ đến] &gt; O$1)
),
1/_xlfn._xlws.FILTER(
ROUND(
(Table_ChiPhiNV[Phân bổ đến]-Table_ChiPhiNV[Phân bổ từ])
/(365.25/12),
0),
(ISBLANK(Table_ChiPhiNV[Tháng]))*
(Table_ChiPhiNV[Phân bổ từ] &lt;= DATE(YEAR(O$1),MONTH(O$1)+1,1))*
(Table_ChiPhiNV[Phân bổ đến] &gt; O$1)
)
),
0)
-IFERROR(
SUM(
_xlfn._xlws.FILTER(Table_VanDon[Phí ship],
(Table_VanDon[Bên chịu phí] = "Bên bán") *
(Table_VanDon[Ngày lập] &lt; DATE(YEAR(O$1),MONTH(O$1)+1,1))
)),
0)
-IFERROR(
SUM(
_xlfn._xlws.FILTER(Table_ThuChiKD[Phí GD],
(Table_ThuChiKD[Ngày GD] &lt; DATE(YEAR(O$1),MONTH(O$1)+ 1, 1))
)),
0)
-IFERROR(
SUM(
_xlfn._xlws.FILTER(Table_VayNo_LichTra[Lãi vay],
(Table_VayNo_LichTra[Kỳ] &lt; DATE(YEAR(O$1),MONTH(O$1)+1,1))*
(NOT(ISBLANK(Table_VayNo_LichTra[Tháng])))
)),
0)
-IFERROR(
SUM(_xlfn._xlws.FILTER(Table_VayNo_LichTra[Lãi vay],
(Table_VayNo_LichTra[Năm] &lt; YEAR(M$1))*
(ISBLANK(Table_VayNo_LichTra[Tháng]))
)),0)
-IFERROR(
SUMPRODUCT(
_xlfn._xlws.FILTER(Table_VayNo_LichTra[Lãi vay],
(Table_VayNo_LichTra[Năm] = YEAR(M$1)) *
(ISBLANK(Table_VayNo_LichTra[Tháng]))
),
_xlfn._xlws.FILTER(
IF(VLOOKUP(Table_VayNo_LichTra[Khoản vay],
Table_VayNo[], COUNTA(Table_VayNo[[#Headers],[Mã khoản vay]:[Ngày vay]]),
0) &lt; DATE(YEAR(M$1),1,1), MONTH(M$1),
MONTH(M$1) - MONTH(VLOOKUP(Table_VayNo_LichTra[Khoản vay],
Table_VayNo[],COUNTA(Table_VayNo[[#Headers],[Mã khoản vay]:[Ngày vay]]),
0))),
(Table_VayNo_LichTra[Năm] = YEAR(M$1)) *
(ISBLANK(Table_VayNo_LichTra[Tháng]))
),
_xlfn._xlws.FILTER(
IF(VLOOKUP(Table_VayNo_LichTra[Khoản vay],
Table_VayNo[],COUNTA(Table_VayNo[[#Headers],[Mã khoản vay]:[Kết thúc trả gốc]]),
0)&gt;=DATE(YEAR(M$1)+1,1,1),12,
MONTH(VLOOKUP(Table_VayNo_LichTra[Khoản vay],
Table_VayNo[],COUNTA(Table_VayNo[[#Headers],[Mã khoản vay]:[Kết thúc trả gốc]]),
0)))
-IF(VLOOKUP(Table_VayNo_LichTra[Khoản vay],
Table_VayNo[],COUNTA(Table_VayNo[[#Headers],[Mã khoản vay]:[Ngày vay]]),
0) &lt;DATE(YEAR(M$1),1,1),0,
MONTH(VLOOKUP(Table_VayNo_LichTra[Khoản vay],
Table_VayNo[],COUNTA(Table_VayNo[[#Headers],[Mã khoản vay]:[Ngày vay]]),
0))),
(Table_VayNo_LichTra[Năm] = YEAR(M$1)) *
(ISBLANK(Table_VayNo_LichTra[Tháng]))
)),0)
+IFERROR(
SUM(
_xlfn._xlws.FILTER(Table_DauTu_LichThu[Nhận lãi],
(Table_DauTu_LichThu[Kỳ] &lt; DATE(YEAR(O$1),MONTH(O$1)+1,1))
)),
0)
+IFERROR(
SUM(
_xlfn._xlws.FILTER(Table_LaiKhac[Giá trị],
(NOT(ISBLANK(Table_LaiKhac[Tháng])))*
(Table_LaiKhac[Kỳ] &lt; DATE(YEAR(O$1),MONTH(O$1)+1,1))
)),
0)
+IFERROR(
SUM(
_xlfn._xlws.FILTER(Table_LaiKhac[Giá trị],
(ISBLANK(Table_LaiKhac[Tháng]))*
(Table_LaiKhac[Phân bổ đến] &lt;= O$1)
)),
0)
+IFERROR(
SUMPRODUCT(
_xlfn._xlws.FILTER(Table_LaiKhac[Giá trị],
(ISBLANK(Table_LaiKhac[Tháng]))*
(Table_LaiKhac[Phân bổ từ] &lt;= DATE(YEAR(O$1),MONTH(O$1)+1,1))*
(Table_LaiKhac[Phân bổ đến] &gt; O$1)
),
_xlfn._xlws.FILTER(
ROUND(
(DATE(YEAR(O$1),MONTH(O$1)+1,1)-1-Table_LaiKhac[Phân bổ từ])
/(365.25/12),
0),
(ISBLANK(Table_LaiKhac[Tháng]))*
(Table_LaiKhac[Phân bổ từ] &lt;= DATE(YEAR(O$1),MONTH(O$1)+1,1))*
(Table_LaiKhac[Phân bổ đến] &gt; O$1)
),
1/_xlfn._xlws.FILTER(
ROUND(
(Table_LaiKhac[Phân bổ đến]-Table_LaiKhac[Phân bổ từ])
/(365.25/12),
0),
(ISBLANK(Table_LaiKhac[Tháng]))*
(Table_LaiKhac[Phân bổ từ] &lt;= DATE(YEAR(O$1),MONTH(O$1)+1,1))*
(Table_LaiKhac[Phân bổ đến] &gt; O$1)
)
),
0)
-IFERROR(
SUM(
_xlfn._xlws.FILTER(Table_LaiKhac[Giá trị VAT],
(Table_LaiKhac[Giá trị]&gt;0)*
(NOT(ISBLANK(Table_LaiKhac[Tháng])))*
(Table_LaiKhac[Kỳ] &lt; DATE(YEAR(O$1),MONTH(O$1)+1,1))
)),
0)
-IFERROR(
SUM(_xlfn._xlws.FILTER(Table_LaiKhac[Giá trị VAT],
(Table_LaiKhac[Giá trị]&gt;0)*
(ISBLANK(Table_LaiKhac[Tháng]))*
(Table_LaiKhac[Phân bổ đến] &lt;= O$1)
)),
0)
-IFERROR(
SUMPRODUCT(
_xlfn._xlws.FILTER(Table_LaiKhac[Giá trị VAT],
(Table_LaiKhac[Giá trị]&gt;0)*
(ISBLANK(Table_LaiKhac[Tháng]))*
(Table_LaiKhac[Phân bổ từ] &lt;= DATE(YEAR(O$1),MONTH(O$1)+1,1))*
(Table_LaiKhac[Phân bổ đến] &gt; O$1)
),
_xlfn._xlws.FILTER(
ROUND(
(DATE(YEAR(O$1),MONTH(O$1)+1,1)-1-Table_LaiKhac[Phân bổ từ])
/(365.25/12),
0),
(Table_LaiKhac[Giá trị]&gt;0)*
(ISBLANK(Table_LaiKhac[Tháng]))*
(Table_LaiKhac[Phân bổ từ] &lt;= DATE(YEAR(O$1),MONTH(O$1)+1,1))*
(Table_LaiKhac[Phân bổ đến] &gt; O$1)
),
1/_xlfn._xlws.FILTER(
ROUND(
(Table_LaiKhac[Phân bổ đến]-Table_LaiKhac[Phân bổ từ])
/(365.25/12),
0),
(Table_LaiKhac[Giá trị]&gt;0)*
(ISBLANK(Table_LaiKhac[Tháng]))*
(Table_LaiKhac[Phân bổ từ] &lt;= DATE(YEAR(O$1),MONTH(O$1)+1,1))*
(Table_LaiKhac[Phân bổ đến] &gt; O$1)
)
),
0)
-IFERROR(
SUM(
_xlfn._xlws.FILTER(Table_ThuChiTC[Giá trị GD],
(Table_ThuChiTC[Loại GD] = "CHI") *
(Table_ThuChiTC[Nội dung GD] = "Cổ tức, lợi nhuận đã trả cho chú sở hữu") *
(Table_ThuChiTC[Ngày GD] &lt; DATE(YEAR(O$1),MONTH(O$1)+1,1))
)),
0)
+IFERROR(
SUM(
_xlfn._xlws.FILTER(Table_ThuChiTC[Giá trị GD],
(Table_ThuChiTC[Loại GD] = "THU") *
(Table_ThuChiTC[Nội dung GD] = "Cổ tức, lợi nhuận đã trả cho chú sở hữu") *
(Table_ThuChiTC[Ngày GD] &lt; DATE(YEAR(O$1),MONTH(O$1)+1,1))
)),
0)</f>
        <v>0</v>
      </c>
      <c r="P119" s="312" cm="1">
        <f t="array" ref="P119">Table_BCTC[[#This Row],[Đầu kỳ]]
+IFERROR(
SUM(
_xlfn._xlws.FILTER(Table_Main[Giá trị bán trước VAT],
(Table_Main[Ngày lên đơn] &lt; DATE(YEAR(P$1),MONTH(P$1)+1, 1))
)),
0)
-IFERROR(
SUM(
_xlfn._xlws.FILTER(Table_DonBan[Giá trị CK],
(Table_DonBan[Ngày lập] &lt; DATE(YEAR(P$1),MONTH(P$1)+1, 1))
)),
0)
-IFERROR(
SUM(
_xlfn._xlws.FILTER(Table_TonKho[Chi phí ghi nhận],
(Table_TonKho[Kỳ] &lt; DATE(YEAR(P$1),MONTH(P$1)+1,1)) *
(NOT(ISBLANK(Table_TonKho[Chức năng])))
)),
0)
-IFERROR(
SUM(
_xlfn._xlws.FILTER(Table_ChiPhiKD[Giá trị],
(NOT(ISBLANK(Table_ChiPhiKD[Tháng])))*
(Table_ChiPhiKD[Kỳ] &lt; DATE(YEAR(P$1),MONTH(P$1)+1,1))
)),
0)
-IFERROR(
SUM(
_xlfn._xlws.FILTER(Table_ChiPhiKD[Giá trị],
(ISBLANK(Table_ChiPhiKD[Tháng]))*
(Table_ChiPhiKD[Phân bổ đến] &lt;= P$1)
)),
0)
-IFERROR(
SUMPRODUCT(
_xlfn._xlws.FILTER(Table_ChiPhiKD[Giá trị],
(ISBLANK(Table_ChiPhiKD[Tháng]))*
(Table_ChiPhiKD[Phân bổ từ] &lt;= DATE(YEAR(P$1),MONTH(P$1)+1,1))*
(Table_ChiPhiKD[Phân bổ đến] &gt; P$1)
),
_xlfn._xlws.FILTER(
ROUND(
(DATE(YEAR(P$1),MONTH(P$1)+1,1)-1-Table_ChiPhiKD[Phân bổ từ])
/(365.25/12),
0),
(ISBLANK(Table_ChiPhiKD[Tháng]))*
(Table_ChiPhiKD[Phân bổ từ] &lt;= DATE(YEAR(P$1),MONTH(P$1)+1,1))*
(Table_ChiPhiKD[Phân bổ đến] &gt; P$1)
),
1/_xlfn._xlws.FILTER(
ROUND(
(Table_ChiPhiKD[Phân bổ đến]-Table_ChiPhiKD[Phân bổ từ])
/(365.25/12),
0),
(ISBLANK(Table_ChiPhiKD[Tháng]))*
(Table_ChiPhiKD[Phân bổ từ] &lt;= DATE(YEAR(P$1),MONTH(P$1)+1,1))*
(Table_ChiPhiKD[Phân bổ đến] &gt; P$1)
)
),
0)
-IFERROR(
SUM(
_xlfn._xlws.FILTER(Table_DonMua[Phụ phí]-Table_DonMua[Khuyến mãi],
(Table_DonMua[Ngày lập] &lt; DATE(YEAR(P$1),MONTH(P$1)+1, 1))
)),
0)
-IFERROR(
SUM(
_xlfn._xlws.FILTER(Table_TSCD_KhauHao[Khấu hao],
(Table_TSCD_KhauHao[Kỳ] &lt; DATE(YEAR(P$1),MONTH(P$1)+1, 1))
)),
0)
-IFERROR(
SUM(
_xlfn._xlws.FILTER(Table_Main[CK kênh],
(Table_Main[Ngày lên đơn] &lt; DATE(YEAR(P$1),MONTH(P$1)+1, 1))
)),
0)
-IFERROR(
SUM(
_xlfn._xlws.FILTER(Table_KPI[Thưởng KPI],
(NOT(ISBLANK(Table_KPI[Kênh]))) *
(NOT(ISBLANK(Table_KPI[Tháng]))) *
(Table_KPI[Kỳ] &lt; DATE(YEAR(P$1),MONTH(P$1)+1, 1))
)),
0)
-IFERROR(
SUM(
_xlfn._xlws.FILTER(Table_KPI[Thưởng KPI],
(NOT(ISBLANK(Table_KPI[Kênh]))) *
(ISBLANK(Table_KPI[Tháng])) *
(Table_KPI[Năm] &lt; YEAR(P$1))
)),
0)
-IFERROR(
SUM(
_xlfn._xlws.FILTER(Table_KPI[Thưởng KPI],
(NOT(ISBLANK(Table_KPI[Kênh]))) *
(ISBLANK(Table_KPI[Tháng])) *
(Table_KPI[Năm] = YEAR(P$1))
))*MONTH(P$1)/12,
0)
-IFERROR(
SUM(
_xlfn._xlws.FILTER(Table_ChiPhiNV[Tổng chi phí],
(NOT(ISBLANK(Table_ChiPhiNV[Tháng])))*
(Table_ChiPhiNV[Kỳ] &lt; DATE(YEAR(P$1),MONTH(P$1)+1,1))
)),
0)
-IFERROR(
SUM(
_xlfn._xlws.FILTER(Table_ChiPhiNV[Tổng chi phí],
(ISBLANK(Table_ChiPhiNV[Tháng]))*
(Table_ChiPhiNV[Phân bổ đến] &lt;= P$1)
)),
0)
-IFERROR(
SUMPRODUCT(
_xlfn._xlws.FILTER(Table_ChiPhiNV[Tổng chi phí],
(ISBLANK(Table_ChiPhiNV[Tháng]))*
(Table_ChiPhiNV[Phân bổ từ] &lt;= DATE(YEAR(P$1),MONTH(P$1)+1,1))*
(Table_ChiPhiNV[Phân bổ đến] &gt; P$1)
),
_xlfn._xlws.FILTER(
ROUND(
(DATE(YEAR(P$1),MONTH(P$1)+1,1)-1-Table_ChiPhiNV[Phân bổ từ])
/(365.25/12),
0),
(ISBLANK(Table_ChiPhiNV[Tháng]))*
(Table_ChiPhiNV[Phân bổ từ] &lt;= DATE(YEAR(P$1),MONTH(P$1)+1,1))*
(Table_ChiPhiNV[Phân bổ đến] &gt; P$1)
),
1/_xlfn._xlws.FILTER(
ROUND(
(Table_ChiPhiNV[Phân bổ đến]-Table_ChiPhiNV[Phân bổ từ])
/(365.25/12),
0),
(ISBLANK(Table_ChiPhiNV[Tháng]))*
(Table_ChiPhiNV[Phân bổ từ] &lt;= DATE(YEAR(P$1),MONTH(P$1)+1,1))*
(Table_ChiPhiNV[Phân bổ đến] &gt; P$1)
)
),
0)
-IFERROR(
SUM(
_xlfn._xlws.FILTER(Table_VanDon[Phí ship],
(Table_VanDon[Bên chịu phí] = "Bên bán") *
(Table_VanDon[Ngày lập] &lt; DATE(YEAR(P$1),MONTH(P$1)+1,1))
)),
0)
-IFERROR(
SUM(
_xlfn._xlws.FILTER(Table_ThuChiKD[Phí GD],
(Table_ThuChiKD[Ngày GD] &lt; DATE(YEAR(P$1),MONTH(P$1)+ 1, 1))
)),
0)
-IFERROR(
SUM(
_xlfn._xlws.FILTER(Table_VayNo_LichTra[Lãi vay],
(Table_VayNo_LichTra[Kỳ] &lt; DATE(YEAR(P$1),MONTH(P$1)+1,1))*
(NOT(ISBLANK(Table_VayNo_LichTra[Tháng])))
)),
0)
-IFERROR(
SUM(_xlfn._xlws.FILTER(Table_VayNo_LichTra[Lãi vay],
(Table_VayNo_LichTra[Năm] &lt; YEAR(N$1))*
(ISBLANK(Table_VayNo_LichTra[Tháng]))
)),0)
-IFERROR(
SUMPRODUCT(
_xlfn._xlws.FILTER(Table_VayNo_LichTra[Lãi vay],
(Table_VayNo_LichTra[Năm] = YEAR(N$1)) *
(ISBLANK(Table_VayNo_LichTra[Tháng]))
),
_xlfn._xlws.FILTER(
IF(VLOOKUP(Table_VayNo_LichTra[Khoản vay],
Table_VayNo[], COUNTA(Table_VayNo[[#Headers],[Mã khoản vay]:[Ngày vay]]),
0) &lt; DATE(YEAR(N$1),1,1), MONTH(N$1),
MONTH(N$1) - MONTH(VLOOKUP(Table_VayNo_LichTra[Khoản vay],
Table_VayNo[],COUNTA(Table_VayNo[[#Headers],[Mã khoản vay]:[Ngày vay]]),
0))),
(Table_VayNo_LichTra[Năm] = YEAR(N$1)) *
(ISBLANK(Table_VayNo_LichTra[Tháng]))
),
_xlfn._xlws.FILTER(
IF(VLOOKUP(Table_VayNo_LichTra[Khoản vay],
Table_VayNo[],COUNTA(Table_VayNo[[#Headers],[Mã khoản vay]:[Kết thúc trả gốc]]),
0)&gt;=DATE(YEAR(N$1)+1,1,1),12,
MONTH(VLOOKUP(Table_VayNo_LichTra[Khoản vay],
Table_VayNo[],COUNTA(Table_VayNo[[#Headers],[Mã khoản vay]:[Kết thúc trả gốc]]),
0)))
-IF(VLOOKUP(Table_VayNo_LichTra[Khoản vay],
Table_VayNo[],COUNTA(Table_VayNo[[#Headers],[Mã khoản vay]:[Ngày vay]]),
0) &lt;DATE(YEAR(N$1),1,1),0,
MONTH(VLOOKUP(Table_VayNo_LichTra[Khoản vay],
Table_VayNo[],COUNTA(Table_VayNo[[#Headers],[Mã khoản vay]:[Ngày vay]]),
0))),
(Table_VayNo_LichTra[Năm] = YEAR(N$1)) *
(ISBLANK(Table_VayNo_LichTra[Tháng]))
)),0)
+IFERROR(
SUM(
_xlfn._xlws.FILTER(Table_DauTu_LichThu[Nhận lãi],
(Table_DauTu_LichThu[Kỳ] &lt; DATE(YEAR(P$1),MONTH(P$1)+1,1))
)),
0)
+IFERROR(
SUM(
_xlfn._xlws.FILTER(Table_LaiKhac[Giá trị],
(NOT(ISBLANK(Table_LaiKhac[Tháng])))*
(Table_LaiKhac[Kỳ] &lt; DATE(YEAR(P$1),MONTH(P$1)+1,1))
)),
0)
+IFERROR(
SUM(
_xlfn._xlws.FILTER(Table_LaiKhac[Giá trị],
(ISBLANK(Table_LaiKhac[Tháng]))*
(Table_LaiKhac[Phân bổ đến] &lt;= P$1)
)),
0)
+IFERROR(
SUMPRODUCT(
_xlfn._xlws.FILTER(Table_LaiKhac[Giá trị],
(ISBLANK(Table_LaiKhac[Tháng]))*
(Table_LaiKhac[Phân bổ từ] &lt;= DATE(YEAR(P$1),MONTH(P$1)+1,1))*
(Table_LaiKhac[Phân bổ đến] &gt; P$1)
),
_xlfn._xlws.FILTER(
ROUND(
(DATE(YEAR(P$1),MONTH(P$1)+1,1)-1-Table_LaiKhac[Phân bổ từ])
/(365.25/12),
0),
(ISBLANK(Table_LaiKhac[Tháng]))*
(Table_LaiKhac[Phân bổ từ] &lt;= DATE(YEAR(P$1),MONTH(P$1)+1,1))*
(Table_LaiKhac[Phân bổ đến] &gt; P$1)
),
1/_xlfn._xlws.FILTER(
ROUND(
(Table_LaiKhac[Phân bổ đến]-Table_LaiKhac[Phân bổ từ])
/(365.25/12),
0),
(ISBLANK(Table_LaiKhac[Tháng]))*
(Table_LaiKhac[Phân bổ từ] &lt;= DATE(YEAR(P$1),MONTH(P$1)+1,1))*
(Table_LaiKhac[Phân bổ đến] &gt; P$1)
)
),
0)
-IFERROR(
SUM(
_xlfn._xlws.FILTER(Table_LaiKhac[Giá trị VAT],
(Table_LaiKhac[Giá trị]&gt;0)*
(NOT(ISBLANK(Table_LaiKhac[Tháng])))*
(Table_LaiKhac[Kỳ] &lt; DATE(YEAR(P$1),MONTH(P$1)+1,1))
)),
0)
-IFERROR(
SUM(_xlfn._xlws.FILTER(Table_LaiKhac[Giá trị VAT],
(Table_LaiKhac[Giá trị]&gt;0)*
(ISBLANK(Table_LaiKhac[Tháng]))*
(Table_LaiKhac[Phân bổ đến] &lt;= P$1)
)),
0)
-IFERROR(
SUMPRODUCT(
_xlfn._xlws.FILTER(Table_LaiKhac[Giá trị VAT],
(Table_LaiKhac[Giá trị]&gt;0)*
(ISBLANK(Table_LaiKhac[Tháng]))*
(Table_LaiKhac[Phân bổ từ] &lt;= DATE(YEAR(P$1),MONTH(P$1)+1,1))*
(Table_LaiKhac[Phân bổ đến] &gt; P$1)
),
_xlfn._xlws.FILTER(
ROUND(
(DATE(YEAR(P$1),MONTH(P$1)+1,1)-1-Table_LaiKhac[Phân bổ từ])
/(365.25/12),
0),
(Table_LaiKhac[Giá trị]&gt;0)*
(ISBLANK(Table_LaiKhac[Tháng]))*
(Table_LaiKhac[Phân bổ từ] &lt;= DATE(YEAR(P$1),MONTH(P$1)+1,1))*
(Table_LaiKhac[Phân bổ đến] &gt; P$1)
),
1/_xlfn._xlws.FILTER(
ROUND(
(Table_LaiKhac[Phân bổ đến]-Table_LaiKhac[Phân bổ từ])
/(365.25/12),
0),
(Table_LaiKhac[Giá trị]&gt;0)*
(ISBLANK(Table_LaiKhac[Tháng]))*
(Table_LaiKhac[Phân bổ từ] &lt;= DATE(YEAR(P$1),MONTH(P$1)+1,1))*
(Table_LaiKhac[Phân bổ đến] &gt; P$1)
)
),
0)
-IFERROR(
SUM(
_xlfn._xlws.FILTER(Table_ThuChiTC[Giá trị GD],
(Table_ThuChiTC[Loại GD] = "CHI") *
(Table_ThuChiTC[Nội dung GD] = "Cổ tức, lợi nhuận đã trả cho chú sở hữu") *
(Table_ThuChiTC[Ngày GD] &lt; DATE(YEAR(P$1),MONTH(P$1)+1,1))
)),
0)
+IFERROR(
SUM(
_xlfn._xlws.FILTER(Table_ThuChiTC[Giá trị GD],
(Table_ThuChiTC[Loại GD] = "THU") *
(Table_ThuChiTC[Nội dung GD] = "Cổ tức, lợi nhuận đã trả cho chú sở hữu") *
(Table_ThuChiTC[Ngày GD] &lt; DATE(YEAR(P$1),MONTH(P$1)+1,1))
)),
0)</f>
        <v>0</v>
      </c>
      <c r="Q119" s="265"/>
      <c r="R119" s="264"/>
      <c r="S119" s="265"/>
      <c r="T119" s="265"/>
      <c r="U119" s="265"/>
      <c r="V119" s="265"/>
      <c r="W119" s="265"/>
      <c r="X119" s="265"/>
      <c r="Y119" s="265"/>
      <c r="Z119" s="265"/>
      <c r="AA119" s="265"/>
      <c r="AB119" s="265"/>
      <c r="AC119" s="265"/>
      <c r="AD119" s="265"/>
      <c r="AE119" s="265"/>
      <c r="AF119" s="265"/>
      <c r="AG119" s="265"/>
      <c r="AH119" s="265"/>
      <c r="AI119" s="265"/>
      <c r="AJ119" s="265"/>
      <c r="AK119" s="265"/>
      <c r="AL119" s="265"/>
      <c r="AM119" s="244"/>
    </row>
    <row r="120" spans="1:39" ht="18" customHeight="1" outlineLevel="3" x14ac:dyDescent="0.15">
      <c r="A120" s="242">
        <f t="shared" si="1"/>
        <v>117</v>
      </c>
      <c r="B120" s="259"/>
      <c r="C120" s="72" t="s">
        <v>482</v>
      </c>
      <c r="D120" s="362">
        <v>0</v>
      </c>
      <c r="E120" s="312" cm="1">
        <f t="array" ref="E120">Table_BCTC[[#This Row],[Đầu kỳ]]
-IFERROR(
SUMPRODUCT(
_xlfn._xlws.FILTER(Table_ChiPhiNV[Tổng chi phí],
(Table_ChiPhiNV[Năm] = BCTC_Nam) *
(ISBLANK(Table_ChiPhiNV[Tháng]))*
(Table_ChiPhiNV[Phân bổ từ] &lt; DATE(BCTC_Nam,BCTC_Thang,1))*
(Table_ChiPhiNV[Phân bổ đến] &gt; DATE(BCTC_Nam,BCTC_Thang-1,1))
),
_xlfn._xlws.FILTER(ROUND((Table_ChiPhiNV[Phân bổ đến]-DATE(BCTC_Nam,BCTC_Thang,1))/(365.25/12),0),
(Table_ChiPhiNV[Năm] = BCTC_Nam) *
(ISBLANK(Table_ChiPhiNV[Tháng]))*
(Table_ChiPhiNV[Phân bổ từ] &lt; DATE(BCTC_Nam,BCTC_Thang,1))*
(Table_ChiPhiNV[Phân bổ đến] &gt; DATE(BCTC_Nam,BCTC_Thang-1,1))
),
1/_xlfn._xlws.FILTER(ROUND((Table_ChiPhiNV[Phân bổ đến]-Table_ChiPhiNV[Phân bổ từ])/(365.25/12),0),
(Table_ChiPhiNV[Năm] = BCTC_Nam) *
(ISBLANK(Table_ChiPhiNV[Tháng]))*
(Table_ChiPhiNV[Phân bổ từ] &lt; DATE(BCTC_Nam,BCTC_Thang,1))*
(Table_ChiPhiNV[Phân bổ đến] &gt; DATE(BCTC_Nam,BCTC_Thang-1,1))
)),0)
-IFERROR(
SUMPRODUCT(
_xlfn._xlws.FILTER(Table_ChiPhiKD[Giá trị],
(Table_ChiPhiKD[Năm] = BCTC_Nam) *
(ISBLANK(Table_ChiPhiKD[Tháng]))*
(Table_ChiPhiKD[Phân bổ từ] &lt; DATE(BCTC_Nam,BCTC_Thang,1))*
(Table_ChiPhiKD[Phân bổ đến] &gt; DATE(BCTC_Nam,BCTC_Thang-1,1))
),
_xlfn._xlws.FILTER(ROUND((Table_ChiPhiKD[Phân bổ đến]-DATE(BCTC_Nam,BCTC_Thang,1))/(365.25/12),0),
(Table_ChiPhiKD[Năm] = BCTC_Nam) *
(ISBLANK(Table_ChiPhiKD[Tháng]))*
(Table_ChiPhiKD[Phân bổ từ] &lt; DATE(BCTC_Nam,BCTC_Thang,1))*
(Table_ChiPhiKD[Phân bổ đến] &gt; DATE(BCTC_Nam,BCTC_Thang-1,1))
),
1/_xlfn._xlws.FILTER(ROUND((Table_ChiPhiKD[Phân bổ đến]-Table_ChiPhiKD[Phân bổ từ])/(365.25/12),0),
(Table_ChiPhiKD[Năm] = BCTC_Nam) *
(ISBLANK(Table_ChiPhiKD[Tháng]))*
(Table_ChiPhiKD[Phân bổ từ] &lt; DATE(BCTC_Nam,BCTC_Thang,1))*
(Table_ChiPhiKD[Phân bổ đến] &gt; DATE(BCTC_Nam,BCTC_Thang-1,1))
)),0)
-IFERROR(
IF(BCTC_Thang=1,0,
SUM(_xlfn._xlws.FILTER(Table_KPI[Thưởng KPI],
(NOT(ISBLANK(Table_KPI[Kênh]))) *
(ISBLANK(Table_KPI[Tháng])) *
(Table_KPI[Năm]=  BCTC_Nam)
))*(12-BCTC_Thang+1)/12),0)
+IFERROR(
SUMPRODUCT(
_xlfn._xlws.FILTER(Table_LaiKhac[Giá trị],
(Table_LaiKhac[Năm] = BCTC_Nam) *
(ISBLANK(Table_LaiKhac[Tháng]))*
(Table_LaiKhac[Phân bổ từ] &lt; DATE(BCTC_Nam,BCTC_Thang,1))*
(Table_LaiKhac[Phân bổ đến] &gt; DATE(BCTC_Nam,BCTC_Thang-1,1))
),
_xlfn._xlws.FILTER(ROUND((Table_LaiKhac[Phân bổ đến]-DATE(BCTC_Nam,BCTC_Thang,1))/(365.25/12),0),
(Table_LaiKhac[Năm] = BCTC_Nam) *
(ISBLANK(Table_LaiKhac[Tháng]))*
(Table_LaiKhac[Phân bổ từ] &lt; DATE(BCTC_Nam,BCTC_Thang,1))*
(Table_LaiKhac[Phân bổ đến] &gt; DATE(BCTC_Nam,BCTC_Thang-1,1))
),
1/_xlfn._xlws.FILTER(ROUND((Table_LaiKhac[Phân bổ đến]-Table_LaiKhac[Phân bổ từ])/(365.25/12),0),
(Table_LaiKhac[Năm] = BCTC_Nam) *
(ISBLANK(Table_LaiKhac[Tháng]))*
(Table_LaiKhac[Phân bổ từ] &lt; DATE(BCTC_Nam,BCTC_Thang,1))*
(Table_LaiKhac[Phân bổ đến] &gt; DATE(BCTC_Nam,BCTC_Thang-1,1))
)),0)
-IFERROR(
SUMPRODUCT(
_xlfn._xlws.FILTER(Table_LaiKhac[Giá trị VAT],
(Table_LaiKhac[Giá trị] &gt;0)*
(Table_LaiKhac[Năm] = BCTC_Nam) *
(ISBLANK(Table_LaiKhac[Tháng]))*
(Table_LaiKhac[Phân bổ từ] &lt; DATE(BCTC_Nam,BCTC_Thang,1))*
(Table_LaiKhac[Phân bổ đến] &gt; DATE(BCTC_Nam,BCTC_Thang-1,1))
),
_xlfn._xlws.FILTER(ROUND((Table_LaiKhac[Phân bổ đến]-DATE(BCTC_Nam,BCTC_Thang,1))/(365.25/12),0),
(Table_LaiKhac[Giá trị] &gt;0)*
(Table_LaiKhac[Năm] = BCTC_Nam) *
(ISBLANK(Table_LaiKhac[Tháng]))*
(Table_LaiKhac[Phân bổ từ] &lt; DATE(BCTC_Nam,BCTC_Thang,1))*
(Table_LaiKhac[Phân bổ đến] &gt; DATE(BCTC_Nam,BCTC_Thang-1,1))
),
1/_xlfn._xlws.FILTER(ROUND((Table_LaiKhac[Phân bổ đến]-Table_LaiKhac[Phân bổ từ])/(365.25/12),0),
(Table_LaiKhac[Giá trị] &gt;0)*
(Table_LaiKhac[Năm] = BCTC_Nam) *
(ISBLANK(Table_LaiKhac[Tháng]))*
(Table_LaiKhac[Phân bổ từ] &lt; DATE(BCTC_Nam,BCTC_Thang,1))*
(Table_LaiKhac[Phân bổ đến] &gt; DATE(BCTC_Nam,BCTC_Thang-1,1))
)),0)</f>
        <v>0</v>
      </c>
      <c r="F120" s="312" cm="1">
        <f t="array" ref="F120">Table_BCTC[[#This Row],[Đầu kỳ]]
-IFERROR(
SUMPRODUCT(
_xlfn._xlws.FILTER(Table_ChiPhiNV[Tổng chi phí],
(Table_ChiPhiNV[Năm] = BCTC_Nam) *
(ISBLANK(Table_ChiPhiNV[Tháng]))*
(Table_ChiPhiNV[Phân bổ từ] &lt; DATE(BCTC_Nam,BCTC_Thang+1,1))*
(Table_ChiPhiNV[Phân bổ đến] &gt; DATE(BCTC_Nam,BCTC_Thang,1))
),
_xlfn._xlws.FILTER(ROUND((Table_ChiPhiNV[Phân bổ đến]-DATE(BCTC_Nam,BCTC_Thang+1,1))/(365.25/12),0),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(Table_ChiPhiNV[Năm] = BCTC_Nam) *
(ISBLANK(Table_ChiPhiNV[Tháng]))*
(Table_ChiPhiNV[Phân bổ từ] &lt; DATE(BCTC_Nam,BCTC_Thang+1,1))*
(Table_ChiPhiNV[Phân bổ đến] &gt; DATE(BCTC_Nam,BCTC_Thang,1))
)),0)
-IFERROR(
SUMPRODUCT(
_xlfn._xlws.FILTER(Table_ChiPhiKD[Giá trị],
(Table_ChiPhiKD[Năm] = BCTC_Nam) *
(ISBLANK(Table_ChiPhiKD[Tháng]))*
(Table_ChiPhiKD[Phân bổ từ] &lt; DATE(BCTC_Nam,BCTC_Thang+1,1))*
(Table_ChiPhiKD[Phân bổ đến] &gt; DATE(BCTC_Nam,BCTC_Thang,1))
),
_xlfn._xlws.FILTER(ROUND((Table_ChiPhiKD[Phân bổ đến]-DATE(BCTC_Nam,BCTC_Thang+1,1))/(365.25/12),0),
(Table_ChiPhiKD[Năm] = BCTC_Nam) *
(ISBLANK(Table_ChiPhiKD[Tháng]))*
(Table_ChiPhiKD[Phân bổ từ] &lt; DATE(BCTC_Nam,BCTC_Thang+1,1))*
(Table_ChiPhiKD[Phân bổ đến] &gt; DATE(BCTC_Nam,BCTC_Thang,1))
),
1/_xlfn._xlws.FILTER(ROUND((Table_ChiPhiKD[Phân bổ đến]-Table_ChiPhiKD[Phân bổ từ])/(365.25/12),0),
(Table_ChiPhiKD[Năm] = BCTC_Nam) *
(ISBLANK(Table_ChiPhiKD[Tháng]))*
(Table_ChiPhiKD[Phân bổ từ] &lt; DATE(BCTC_Nam,BCTC_Thang+1,1))*
(Table_ChiPhiKD[Phân bổ đến] &gt; DATE(BCTC_Nam,BCTC_Thang,1))
)),0)
-IFERROR(
SUM(_xlfn._xlws.FILTER(Table_KPI[Thưởng KPI],
(NOT(ISBLANK(Table_KPI[Kênh]))) *
(ISBLANK(Table_KPI[Tháng])) *
(Table_KPI[Năm]=  BCTC_Nam)
))*(12-BCTC_Thang)/12,0)
+IFERROR(
SUMPRODUCT(
_xlfn._xlws.FILTER(Table_LaiKhac[Giá trị],
(Table_LaiKhac[Năm] = BCTC_Nam) *
(ISBLANK(Table_LaiKhac[Tháng]))*
(Table_LaiKhac[Phân bổ từ] &lt; DATE(BCTC_Nam,BCTC_Thang+1,1))*
(Table_LaiKhac[Phân bổ đến] &gt; DATE(BCTC_Nam,BCTC_Thang,1))
),
_xlfn._xlws.FILTER(ROUND((Table_LaiKhac[Phân bổ đến]-DATE(BCTC_Nam,BCTC_Thang+1,1))/(365.25/12),0),
(Table_LaiKhac[Năm] = BCTC_Nam) *
(ISBLANK(Table_LaiKhac[Tháng]))*
(Table_LaiKhac[Phân bổ từ] &lt; DATE(BCTC_Nam,BCTC_Thang+1,1))*
(Table_LaiKhac[Phân bổ đến] &gt; DATE(BCTC_Nam,BCTC_Thang,1))
),
1/_xlfn._xlws.FILTER(ROUND((Table_LaiKhac[Phân bổ đến]-Table_LaiKhac[Phân bổ từ])/(365.25/12),0),
(Table_LaiKhac[Năm] = BCTC_Nam) *
(ISBLANK(Table_LaiKhac[Tháng]))*
(Table_LaiKhac[Phân bổ từ] &lt; DATE(BCTC_Nam,BCTC_Thang+1,1))*
(Table_LaiKhac[Phân bổ đến] &gt; DATE(BCTC_Nam,BCTC_Thang,1))
)),0)
-IFERROR(
SUMPRODUCT(
_xlfn._xlws.FILTER(Table_LaiKhac[Giá trị VAT],
(Table_LaiKhac[Giá trị] &gt;0)*
(Table_LaiKhac[Năm] = BCTC_Nam) *
(ISBLANK(Table_LaiKhac[Tháng]))*
(Table_LaiKhac[Phân bổ từ] &lt; DATE(BCTC_Nam,BCTC_Thang+1,1))*
(Table_LaiKhac[Phân bổ đến] &gt; DATE(BCTC_Nam,BCTC_Thang,1))
),
_xlfn._xlws.FILTER(ROUND((Table_LaiKhac[Phân bổ đến]-DATE(BCTC_Nam,BCTC_Thang+1,1))/(365.25/12),0),
(Table_LaiKhac[Giá trị] &gt;0)*
(Table_LaiKhac[Năm] = BCTC_Nam) *
(ISBLANK(Table_LaiKhac[Tháng]))*
(Table_LaiKhac[Phân bổ từ] &lt; DATE(BCTC_Nam,BCTC_Thang+1,1))*
(Table_LaiKhac[Phân bổ đến] &gt; DATE(BCTC_Nam,BCTC_Thang,1))
),
1/_xlfn._xlws.FILTER(ROUND((Table_LaiKhac[Phân bổ đến]-Table_LaiKhac[Phân bổ từ])/(365.25/12),0),
(Table_LaiKhac[Giá trị] &gt;0)*
(Table_LaiKhac[Năm] = BCTC_Nam) *
(ISBLANK(Table_LaiKhac[Tháng]))*
(Table_LaiKhac[Phân bổ từ] &lt; DATE(BCTC_Nam,BCTC_Thang+1,1))*
(Table_LaiKhac[Phân bổ đến] &gt; DATE(BCTC_Nam,BCTC_Thang,1))
)),0)</f>
        <v>0</v>
      </c>
      <c r="G120" s="242"/>
      <c r="H120" s="359"/>
      <c r="I120" s="72" t="s">
        <v>482</v>
      </c>
      <c r="J120" s="312"/>
      <c r="K120" s="312"/>
      <c r="L120" s="242"/>
      <c r="M120" s="365"/>
      <c r="N120" s="72" t="s">
        <v>482</v>
      </c>
      <c r="O120" s="312"/>
      <c r="P120" s="312"/>
      <c r="Q120" s="265"/>
      <c r="R120" s="265"/>
      <c r="S120" s="265"/>
      <c r="T120" s="265"/>
      <c r="U120" s="265"/>
      <c r="V120" s="265"/>
      <c r="W120" s="265"/>
      <c r="X120" s="265"/>
      <c r="Y120" s="265"/>
      <c r="Z120" s="265"/>
      <c r="AA120" s="265"/>
      <c r="AB120" s="265"/>
      <c r="AC120" s="265"/>
      <c r="AD120" s="265"/>
      <c r="AE120" s="265"/>
      <c r="AF120" s="265"/>
      <c r="AG120" s="265"/>
      <c r="AH120" s="265"/>
      <c r="AI120" s="265"/>
      <c r="AJ120" s="265"/>
      <c r="AK120" s="265"/>
      <c r="AL120" s="265"/>
      <c r="AM120" s="244"/>
    </row>
    <row r="121" spans="1:39" ht="18" customHeight="1" outlineLevel="2" x14ac:dyDescent="0.15">
      <c r="A121" s="242">
        <f t="shared" si="1"/>
        <v>118</v>
      </c>
      <c r="B121" s="259">
        <v>430</v>
      </c>
      <c r="C121" s="73" t="s">
        <v>483</v>
      </c>
      <c r="D121" s="244"/>
      <c r="E121" s="312"/>
      <c r="F121" s="244"/>
      <c r="G121" s="242"/>
      <c r="H121" s="259">
        <v>430</v>
      </c>
      <c r="I121" s="73" t="s">
        <v>483</v>
      </c>
      <c r="J121" s="312"/>
      <c r="K121" s="312"/>
      <c r="L121" s="242"/>
      <c r="M121" s="259">
        <v>430</v>
      </c>
      <c r="N121" s="73" t="s">
        <v>483</v>
      </c>
      <c r="O121" s="244"/>
      <c r="P121" s="244"/>
      <c r="Q121" s="265"/>
      <c r="R121" s="265"/>
      <c r="S121" s="265"/>
      <c r="T121" s="265"/>
      <c r="U121" s="265"/>
      <c r="V121" s="265"/>
      <c r="W121" s="265"/>
      <c r="X121" s="265"/>
      <c r="Y121" s="265"/>
      <c r="Z121" s="265"/>
      <c r="AA121" s="265"/>
      <c r="AB121" s="265"/>
      <c r="AC121" s="265"/>
      <c r="AD121" s="265"/>
      <c r="AE121" s="265"/>
      <c r="AF121" s="265"/>
      <c r="AG121" s="265"/>
      <c r="AH121" s="265"/>
      <c r="AI121" s="265"/>
      <c r="AJ121" s="265"/>
      <c r="AK121" s="265"/>
      <c r="AL121" s="265"/>
      <c r="AM121" s="244"/>
    </row>
    <row r="122" spans="1:39" ht="18" customHeight="1" x14ac:dyDescent="0.15">
      <c r="A122" s="242">
        <f t="shared" si="1"/>
        <v>119</v>
      </c>
      <c r="B122" s="259"/>
      <c r="C122" s="368"/>
      <c r="D122" s="242"/>
      <c r="E122" s="358"/>
      <c r="F122" s="358"/>
      <c r="G122" s="242"/>
      <c r="H122" s="359"/>
      <c r="I122" s="368"/>
      <c r="J122" s="358"/>
      <c r="K122" s="358"/>
      <c r="L122" s="242"/>
      <c r="M122" s="365"/>
      <c r="N122" s="361"/>
      <c r="O122" s="358"/>
      <c r="P122" s="358"/>
      <c r="Q122" s="265"/>
      <c r="R122" s="265"/>
      <c r="S122" s="265"/>
      <c r="T122" s="265"/>
      <c r="U122" s="265"/>
      <c r="V122" s="265"/>
      <c r="W122" s="265"/>
      <c r="X122" s="265"/>
      <c r="Y122" s="265"/>
      <c r="Z122" s="265"/>
      <c r="AA122" s="265"/>
      <c r="AB122" s="265"/>
      <c r="AC122" s="265"/>
      <c r="AD122" s="265"/>
      <c r="AE122" s="265"/>
      <c r="AF122" s="265"/>
      <c r="AG122" s="265"/>
      <c r="AH122" s="265"/>
      <c r="AI122" s="265"/>
      <c r="AJ122" s="265"/>
      <c r="AK122" s="265"/>
      <c r="AL122" s="265"/>
      <c r="AM122" s="244"/>
    </row>
    <row r="123" spans="1:39" ht="18" customHeight="1" x14ac:dyDescent="0.15">
      <c r="A123" s="242">
        <f t="shared" si="1"/>
        <v>120</v>
      </c>
      <c r="B123" s="259"/>
      <c r="C123" s="74" t="s">
        <v>484</v>
      </c>
      <c r="D123" s="242"/>
      <c r="E123" s="358"/>
      <c r="F123" s="358"/>
      <c r="G123" s="242"/>
      <c r="H123" s="359"/>
      <c r="I123" s="74" t="s">
        <v>484</v>
      </c>
      <c r="J123" s="358"/>
      <c r="K123" s="358"/>
      <c r="L123" s="242"/>
      <c r="M123" s="365"/>
      <c r="N123" s="74" t="s">
        <v>484</v>
      </c>
      <c r="O123" s="358"/>
      <c r="P123" s="358"/>
      <c r="Q123" s="265"/>
      <c r="R123" s="265"/>
      <c r="S123" s="265"/>
      <c r="T123" s="265"/>
      <c r="U123" s="265"/>
      <c r="V123" s="265"/>
      <c r="W123" s="265"/>
      <c r="X123" s="265"/>
      <c r="Y123" s="265"/>
      <c r="Z123" s="265"/>
      <c r="AA123" s="265"/>
      <c r="AB123" s="265"/>
      <c r="AC123" s="265"/>
      <c r="AD123" s="265"/>
      <c r="AE123" s="265"/>
      <c r="AF123" s="265"/>
      <c r="AG123" s="265"/>
      <c r="AH123" s="265"/>
      <c r="AI123" s="265"/>
      <c r="AJ123" s="265"/>
      <c r="AK123" s="265"/>
      <c r="AL123" s="265"/>
      <c r="AM123" s="244"/>
    </row>
    <row r="124" spans="1:39" ht="18" customHeight="1" outlineLevel="1" x14ac:dyDescent="0.15">
      <c r="A124" s="242">
        <f t="shared" si="1"/>
        <v>121</v>
      </c>
      <c r="B124" s="359"/>
      <c r="C124" s="79" t="s">
        <v>485</v>
      </c>
      <c r="D124" s="265"/>
      <c r="E124" s="358"/>
      <c r="F124" s="358"/>
      <c r="G124" s="242"/>
      <c r="H124" s="359"/>
      <c r="I124" s="79" t="s">
        <v>485</v>
      </c>
      <c r="J124" s="358"/>
      <c r="K124" s="358"/>
      <c r="L124" s="242"/>
      <c r="M124" s="359"/>
      <c r="N124" s="79" t="s">
        <v>485</v>
      </c>
      <c r="O124" s="358"/>
      <c r="P124" s="358"/>
      <c r="Q124" s="265"/>
      <c r="R124" s="265"/>
      <c r="S124" s="265"/>
      <c r="T124" s="265"/>
      <c r="U124" s="265"/>
      <c r="V124" s="265"/>
      <c r="W124" s="265"/>
      <c r="X124" s="265"/>
      <c r="Y124" s="265"/>
      <c r="Z124" s="265"/>
      <c r="AA124" s="265"/>
      <c r="AB124" s="265"/>
      <c r="AC124" s="265"/>
      <c r="AD124" s="265"/>
      <c r="AE124" s="265"/>
      <c r="AF124" s="265"/>
      <c r="AG124" s="265"/>
      <c r="AH124" s="265"/>
      <c r="AI124" s="265"/>
      <c r="AJ124" s="265"/>
      <c r="AK124" s="265"/>
      <c r="AL124" s="265"/>
      <c r="AM124" s="244"/>
    </row>
    <row r="125" spans="1:39" ht="18" customHeight="1" outlineLevel="2" x14ac:dyDescent="0.15">
      <c r="A125" s="242">
        <f t="shared" si="1"/>
        <v>122</v>
      </c>
      <c r="B125" s="359"/>
      <c r="C125" s="78" t="s">
        <v>486</v>
      </c>
      <c r="D125" s="265"/>
      <c r="E125" s="80">
        <f>+IFERROR(E20/E11,0)</f>
        <v>0</v>
      </c>
      <c r="F125" s="80">
        <f>+IFERROR(F20/F11,0)</f>
        <v>0</v>
      </c>
      <c r="G125" s="242"/>
      <c r="H125" s="359"/>
      <c r="I125" s="78" t="s">
        <v>486</v>
      </c>
      <c r="J125" s="80">
        <f>+IFERROR(J20/J11,0)</f>
        <v>0</v>
      </c>
      <c r="K125" s="80">
        <f>+IFERROR(K20/K11,0)</f>
        <v>0</v>
      </c>
      <c r="L125" s="242"/>
      <c r="M125" s="359"/>
      <c r="N125" s="78" t="s">
        <v>486</v>
      </c>
      <c r="O125" s="80">
        <f>+IFERROR(O20/O11,0)</f>
        <v>0</v>
      </c>
      <c r="P125" s="80">
        <f>+IFERROR(P20/P11,0)</f>
        <v>0</v>
      </c>
      <c r="Q125" s="265"/>
      <c r="R125" s="265"/>
      <c r="S125" s="265"/>
      <c r="T125" s="265"/>
      <c r="U125" s="265"/>
      <c r="V125" s="265"/>
      <c r="W125" s="265"/>
      <c r="X125" s="265"/>
      <c r="Y125" s="265"/>
      <c r="Z125" s="265"/>
      <c r="AA125" s="265"/>
      <c r="AB125" s="265"/>
      <c r="AC125" s="265"/>
      <c r="AD125" s="265"/>
      <c r="AE125" s="265"/>
      <c r="AF125" s="265"/>
      <c r="AG125" s="265"/>
      <c r="AH125" s="265"/>
      <c r="AI125" s="265"/>
      <c r="AJ125" s="265"/>
      <c r="AK125" s="265"/>
      <c r="AL125" s="265"/>
      <c r="AM125" s="244"/>
    </row>
    <row r="126" spans="1:39" ht="18" customHeight="1" outlineLevel="2" x14ac:dyDescent="0.15">
      <c r="A126" s="242">
        <f t="shared" si="1"/>
        <v>123</v>
      </c>
      <c r="B126" s="359"/>
      <c r="C126" s="78" t="s">
        <v>487</v>
      </c>
      <c r="D126" s="265"/>
      <c r="E126" s="80">
        <f>+IFERROR(E40/E11,0)</f>
        <v>0</v>
      </c>
      <c r="F126" s="80">
        <f>+IFERROR(F40/F11,0)</f>
        <v>0</v>
      </c>
      <c r="G126" s="242"/>
      <c r="H126" s="359"/>
      <c r="I126" s="78" t="s">
        <v>487</v>
      </c>
      <c r="J126" s="80">
        <f>+IFERROR(J40/J11,0)</f>
        <v>0</v>
      </c>
      <c r="K126" s="80">
        <f>+IFERROR(K40/K11,0)</f>
        <v>0</v>
      </c>
      <c r="L126" s="242"/>
      <c r="M126" s="359"/>
      <c r="N126" s="78" t="s">
        <v>487</v>
      </c>
      <c r="O126" s="80">
        <f>+IFERROR(O40/O11,0)</f>
        <v>0</v>
      </c>
      <c r="P126" s="80">
        <f>+IFERROR(P40/P11,0)</f>
        <v>0</v>
      </c>
      <c r="Q126" s="265"/>
      <c r="R126" s="265"/>
      <c r="S126" s="265"/>
      <c r="T126" s="265"/>
      <c r="U126" s="265"/>
      <c r="V126" s="265"/>
      <c r="W126" s="265"/>
      <c r="X126" s="265"/>
      <c r="Y126" s="265"/>
      <c r="Z126" s="265"/>
      <c r="AA126" s="265"/>
      <c r="AB126" s="265"/>
      <c r="AC126" s="265"/>
      <c r="AD126" s="265"/>
      <c r="AE126" s="265"/>
      <c r="AF126" s="265"/>
      <c r="AG126" s="265"/>
      <c r="AH126" s="265"/>
      <c r="AI126" s="265"/>
      <c r="AJ126" s="265"/>
      <c r="AK126" s="265"/>
      <c r="AL126" s="265"/>
      <c r="AM126" s="244"/>
    </row>
    <row r="127" spans="1:39" ht="18" customHeight="1" outlineLevel="2" x14ac:dyDescent="0.15">
      <c r="A127" s="242">
        <f t="shared" si="1"/>
        <v>124</v>
      </c>
      <c r="B127" s="359"/>
      <c r="C127" s="78" t="s">
        <v>488</v>
      </c>
      <c r="D127" s="265"/>
      <c r="E127" s="80">
        <f>+IFERROR(E50/E11,0)</f>
        <v>0</v>
      </c>
      <c r="F127" s="80">
        <f>+IFERROR(F50/F11,0)</f>
        <v>0</v>
      </c>
      <c r="G127" s="242"/>
      <c r="H127" s="359"/>
      <c r="I127" s="78" t="s">
        <v>488</v>
      </c>
      <c r="J127" s="80">
        <f>+IFERROR(J50/J11,0)</f>
        <v>0</v>
      </c>
      <c r="K127" s="80">
        <f>+IFERROR(K50/K11,0)</f>
        <v>0</v>
      </c>
      <c r="L127" s="242"/>
      <c r="M127" s="359"/>
      <c r="N127" s="78" t="s">
        <v>488</v>
      </c>
      <c r="O127" s="80">
        <f>+IFERROR(O50/O11,0)</f>
        <v>0</v>
      </c>
      <c r="P127" s="80">
        <f>+IFERROR(P50/P11,0)</f>
        <v>0</v>
      </c>
      <c r="Q127" s="265"/>
      <c r="R127" s="265"/>
      <c r="S127" s="265"/>
      <c r="T127" s="265"/>
      <c r="U127" s="265"/>
      <c r="V127" s="265"/>
      <c r="W127" s="265"/>
      <c r="X127" s="265"/>
      <c r="Y127" s="265"/>
      <c r="Z127" s="265"/>
      <c r="AA127" s="265"/>
      <c r="AB127" s="265"/>
      <c r="AC127" s="265"/>
      <c r="AD127" s="265"/>
      <c r="AE127" s="265"/>
      <c r="AF127" s="265"/>
      <c r="AG127" s="265"/>
      <c r="AH127" s="265"/>
      <c r="AI127" s="265"/>
      <c r="AJ127" s="265"/>
      <c r="AK127" s="265"/>
      <c r="AL127" s="265"/>
      <c r="AM127" s="244"/>
    </row>
    <row r="128" spans="1:39" ht="18" customHeight="1" outlineLevel="2" x14ac:dyDescent="0.15">
      <c r="A128" s="242">
        <f t="shared" si="1"/>
        <v>125</v>
      </c>
      <c r="B128" s="359"/>
      <c r="C128" s="78" t="s">
        <v>489</v>
      </c>
      <c r="D128" s="265"/>
      <c r="E128" s="80">
        <f xml:space="preserve">
IFERROR(
E50/
((E77+E90
+ IFERROR(HLOOKUP(E$1-1,Table_BCTC_Nam[],$A$77,0),$D$77)
+ IFERROR(HLOOKUP(E$1-1,Table_BCTC_Nam[],$A$90,0),$D$90)
)/2),0)</f>
        <v>0</v>
      </c>
      <c r="F128" s="80">
        <f>IFERROR(F50/
((F77+F90
+ IFERROR(
HLOOKUP(DATE(YEAR(F$1),MONTH(F$1)-1,1),Table_BCTC_Thang[],$A$77,0),
$D$77)
+ IFERROR(HLOOKUP(DATE(YEAR(F$1),MONTH(F$1)-1,1),Table_BCTC_Thang[],$A$90,0),
$D$90)
)/2),0)</f>
        <v>0</v>
      </c>
      <c r="G128" s="242"/>
      <c r="H128" s="359"/>
      <c r="I128" s="78" t="s">
        <v>489</v>
      </c>
      <c r="J128" s="80">
        <f xml:space="preserve">
IFERROR(
J50/
((J77+J90
+ IFERROR(HLOOKUP(J$1-1,Table_BCTC_Nam[],$A$77,0),$D$77)
+ IFERROR(HLOOKUP(J$1-1,Table_BCTC_Nam[],$A$90,0),$D$90)
)/2),0)</f>
        <v>0</v>
      </c>
      <c r="K128" s="80">
        <f xml:space="preserve">
IFERROR(
K50/
((K77+K90
+ IFERROR(HLOOKUP(K$1-1,Table_BCTC_Nam[],$A$77,0),$D$77)
+ IFERROR(HLOOKUP(K$1-1,Table_BCTC_Nam[],$A$90,0),$D$90)
)/2),0)</f>
        <v>0</v>
      </c>
      <c r="L128" s="242"/>
      <c r="M128" s="359"/>
      <c r="N128" s="78" t="s">
        <v>489</v>
      </c>
      <c r="O128" s="80">
        <f ca="1">IFERROR(O50/
((O77+O90
+ IFERROR(
HLOOKUP(DATE(YEAR(O$1),MONTH(O$1)-1,1),Table_BCTC_Thang[],$A$77,0),
$D$77)
+ IFERROR(HLOOKUP(DATE(YEAR(O$1),MONTH(O$1)-1,1),Table_BCTC_Thang[],$A$90,0),
$D$90)
)/2),0)</f>
        <v>0</v>
      </c>
      <c r="P128" s="80">
        <f ca="1">IFERROR(P50/
((P77+P90
+ IFERROR(
HLOOKUP(DATE(YEAR(P$1),MONTH(P$1)-1,1),Table_BCTC_Thang[],$A$77,0),
$D$77)
+ IFERROR(HLOOKUP(DATE(YEAR(P$1),MONTH(P$1)-1,1),Table_BCTC_Thang[],$A$90,0),
$D$90)
)/2),0)</f>
        <v>0</v>
      </c>
      <c r="Q128" s="265"/>
      <c r="R128" s="265"/>
      <c r="S128" s="265"/>
      <c r="T128" s="265"/>
      <c r="U128" s="265"/>
      <c r="V128" s="265"/>
      <c r="W128" s="265"/>
      <c r="X128" s="265"/>
      <c r="Y128" s="265"/>
      <c r="Z128" s="265"/>
      <c r="AA128" s="265"/>
      <c r="AB128" s="265"/>
      <c r="AC128" s="265"/>
      <c r="AD128" s="265"/>
      <c r="AE128" s="265"/>
      <c r="AF128" s="265"/>
      <c r="AG128" s="265"/>
      <c r="AH128" s="265"/>
      <c r="AI128" s="265"/>
      <c r="AJ128" s="265"/>
      <c r="AK128" s="265"/>
      <c r="AL128" s="265"/>
      <c r="AM128" s="244"/>
    </row>
    <row r="129" spans="1:39" ht="18" customHeight="1" outlineLevel="2" x14ac:dyDescent="0.15">
      <c r="A129" s="242">
        <f t="shared" si="1"/>
        <v>126</v>
      </c>
      <c r="B129" s="359"/>
      <c r="C129" s="78" t="s">
        <v>490</v>
      </c>
      <c r="D129" s="265"/>
      <c r="E129" s="80">
        <f>IFERROR(E50/
((E115
+ IFERROR(HLOOKUP(E$1-1,Table_BCTC_Nam[],$A$115,0),$D$115)
)/2),0)</f>
        <v>0</v>
      </c>
      <c r="F129" s="80" t="e">
        <f>F50/
((F115
+ IFERROR(
HLOOKUP(DATE(YEAR(F$1),MONTH(F$1)-1,1),Table_BCTC_Thang[],$A$115,0),
$D$115)
)/2)</f>
        <v>#DIV/0!</v>
      </c>
      <c r="G129" s="242"/>
      <c r="H129" s="359"/>
      <c r="I129" s="78" t="s">
        <v>490</v>
      </c>
      <c r="J129" s="80">
        <f>IFERROR(J50/
((J115
+ IFERROR(HLOOKUP(J$1-1,Table_BCTC_Nam[],$A$115,0),$D$115)
)/2),0)</f>
        <v>0</v>
      </c>
      <c r="K129" s="80">
        <f>IFERROR(K50/
((K115
+ IFERROR(HLOOKUP(K$1-1,Table_BCTC_Nam[],$A$115,0),$D$115)
)/2),0)</f>
        <v>0</v>
      </c>
      <c r="L129" s="242"/>
      <c r="M129" s="359"/>
      <c r="N129" s="78" t="s">
        <v>490</v>
      </c>
      <c r="O129" s="80" t="e">
        <f>O50/
((O115
+ IFERROR(
HLOOKUP(DATE(YEAR(O$1),MONTH(O$1)-1,1),Table_BCTC_Thang[],$A$115,0),
$D$115)
)/2)</f>
        <v>#DIV/0!</v>
      </c>
      <c r="P129" s="80" t="e">
        <f>P50/
((P115
+ IFERROR(
HLOOKUP(DATE(YEAR(P$1),MONTH(P$1)-1,1),Table_BCTC_Thang[],$A$115,0),
$D$115)
)/2)</f>
        <v>#DIV/0!</v>
      </c>
      <c r="Q129" s="265"/>
      <c r="R129" s="265"/>
      <c r="S129" s="265"/>
      <c r="T129" s="265"/>
      <c r="U129" s="265"/>
      <c r="V129" s="265"/>
      <c r="W129" s="265"/>
      <c r="X129" s="265"/>
      <c r="Y129" s="265"/>
      <c r="Z129" s="265"/>
      <c r="AA129" s="265"/>
      <c r="AB129" s="265"/>
      <c r="AC129" s="265"/>
      <c r="AD129" s="265"/>
      <c r="AE129" s="265"/>
      <c r="AF129" s="265"/>
      <c r="AG129" s="265"/>
      <c r="AH129" s="265"/>
      <c r="AI129" s="265"/>
      <c r="AJ129" s="265"/>
      <c r="AK129" s="265"/>
      <c r="AL129" s="265"/>
      <c r="AM129" s="244"/>
    </row>
    <row r="130" spans="1:39" ht="18" customHeight="1" outlineLevel="2" x14ac:dyDescent="0.15">
      <c r="A130" s="242">
        <f t="shared" si="1"/>
        <v>127</v>
      </c>
      <c r="B130" s="359"/>
      <c r="C130" s="78" t="s">
        <v>491</v>
      </c>
      <c r="D130" s="265"/>
      <c r="E130" s="80">
        <f xml:space="preserve">
IFERROR(
(E$40-E$37-E$30-E$18)/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0" s="219">
        <f>(F$40-F$37-F$30-F$18)/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0" s="242"/>
      <c r="H130" s="359"/>
      <c r="I130" s="78" t="s">
        <v>491</v>
      </c>
      <c r="J130" s="80">
        <f xml:space="preserve">
IFERROR(
(J$40-J$37-J$30-J$18)/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0" s="80">
        <f xml:space="preserve">
IFERROR(
(K$40-K$37-K$30-K$18)/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0" s="242"/>
      <c r="M130" s="359"/>
      <c r="N130" s="78" t="s">
        <v>491</v>
      </c>
      <c r="O130" s="219">
        <f>(O$40-O$37-O$30-O$18)/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0" s="219">
        <f>(P$40-P$37-P$30-P$18)/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0" s="265"/>
      <c r="R130" s="265"/>
      <c r="S130" s="265"/>
      <c r="T130" s="265"/>
      <c r="U130" s="265"/>
      <c r="V130" s="265"/>
      <c r="W130" s="265"/>
      <c r="X130" s="265"/>
      <c r="Y130" s="265"/>
      <c r="Z130" s="265"/>
      <c r="AA130" s="265"/>
      <c r="AB130" s="265"/>
      <c r="AC130" s="265"/>
      <c r="AD130" s="265"/>
      <c r="AE130" s="265"/>
      <c r="AF130" s="265"/>
      <c r="AG130" s="265"/>
      <c r="AH130" s="265"/>
      <c r="AI130" s="265"/>
      <c r="AJ130" s="265"/>
      <c r="AK130" s="265"/>
      <c r="AL130" s="265"/>
      <c r="AM130" s="244"/>
    </row>
    <row r="131" spans="1:39" ht="18" customHeight="1" outlineLevel="2" x14ac:dyDescent="0.15">
      <c r="A131" s="242">
        <f t="shared" si="1"/>
        <v>128</v>
      </c>
      <c r="B131" s="359"/>
      <c r="C131" s="78" t="s">
        <v>492</v>
      </c>
      <c r="D131" s="265"/>
      <c r="E131" s="80" t="e">
        <f>(E40-E37-E30-E18)/-(E12+E21+E32-E37-E30-E18-E23-E27-E25+E42)</f>
        <v>#DIV/0!</v>
      </c>
      <c r="F131" s="80" t="e">
        <f>(F40-F37-F30-F18)/-(F12+F21+F32-F37-F30-F18-F23-F27-F25+F42)</f>
        <v>#DIV/0!</v>
      </c>
      <c r="G131" s="242"/>
      <c r="H131" s="359"/>
      <c r="I131" s="78" t="s">
        <v>492</v>
      </c>
      <c r="J131" s="80" t="e">
        <f>(J40-J37-J30-J18)/-(J12+J21+J32-J37-J30-J18-J23-J27-J25+J42)</f>
        <v>#DIV/0!</v>
      </c>
      <c r="K131" s="80" t="e">
        <f>(K40-K37-K30-K18)/-(K12+K21+K32-K37-K30-K18-K23-K27-K25+K42)</f>
        <v>#DIV/0!</v>
      </c>
      <c r="L131" s="242"/>
      <c r="M131" s="359"/>
      <c r="N131" s="78" t="s">
        <v>492</v>
      </c>
      <c r="O131" s="80" t="e">
        <f>(O40-O37-O30-O18)/-(O12+O21+O32-O37-O30-O18-O23-O27-O25+O42)</f>
        <v>#DIV/0!</v>
      </c>
      <c r="P131" s="80" t="e">
        <f>(P40-P37-P30-P18)/-(P12+P21+P32-P37-P30-P18-P23-P27-P25+P42)</f>
        <v>#DIV/0!</v>
      </c>
      <c r="Q131" s="265"/>
      <c r="R131" s="265"/>
      <c r="S131" s="265"/>
      <c r="T131" s="265"/>
      <c r="U131" s="265"/>
      <c r="V131" s="265"/>
      <c r="W131" s="265"/>
      <c r="X131" s="265"/>
      <c r="Y131" s="265"/>
      <c r="Z131" s="265"/>
      <c r="AA131" s="265"/>
      <c r="AB131" s="265"/>
      <c r="AC131" s="265"/>
      <c r="AD131" s="265"/>
      <c r="AE131" s="265"/>
      <c r="AF131" s="265"/>
      <c r="AG131" s="265"/>
      <c r="AH131" s="265"/>
      <c r="AI131" s="265"/>
      <c r="AJ131" s="265"/>
      <c r="AK131" s="265"/>
      <c r="AL131" s="265"/>
      <c r="AM131" s="244"/>
    </row>
    <row r="132" spans="1:39" ht="18" customHeight="1" outlineLevel="2" x14ac:dyDescent="0.15">
      <c r="A132" s="242">
        <f t="shared" si="1"/>
        <v>129</v>
      </c>
      <c r="B132" s="359"/>
      <c r="C132" s="78" t="s">
        <v>493</v>
      </c>
      <c r="D132" s="265"/>
      <c r="E132" s="80">
        <f>IFERROR((E40-E37-E30-E18)/
(
-(E12+E21+E32-E37-E30-E18-E23-E27-E25+E42)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32" s="219">
        <f>(F40-F37-F30-F18)/
(-(F12+F21+F32-F37-F30-F18-F23-F27-F25+F42)+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2" s="242"/>
      <c r="H132" s="359"/>
      <c r="I132" s="78" t="s">
        <v>493</v>
      </c>
      <c r="J132" s="80">
        <f>IFERROR((J40-J37-J30-J18)/
(
-(J12+J21+J32-J37-J30-J18-J23-J27-J25+J42)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32" s="80">
        <f>IFERROR((K40-K37-K30-K18)/
(
-(K12+K21+K32-K37-K30-K18-K23-K27-K25+K42)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32" s="242"/>
      <c r="M132" s="359"/>
      <c r="N132" s="78" t="s">
        <v>493</v>
      </c>
      <c r="O132" s="219">
        <f>(O40-O37-O30-O18)/
(-(O12+O21+O32-O37-O30-O18-O23-O27-O25+O42)+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2" s="219">
        <f>(P40-P37-P30-P18)/
(-(P12+P21+P32-P37-P30-P18-P23-P27-P25+P42)+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44"/>
    </row>
    <row r="133" spans="1:39" ht="18" customHeight="1" outlineLevel="1" x14ac:dyDescent="0.15">
      <c r="A133" s="242">
        <f t="shared" ref="A133:A170" si="2">+A132+1</f>
        <v>130</v>
      </c>
      <c r="B133" s="359"/>
      <c r="C133" s="79" t="s">
        <v>494</v>
      </c>
      <c r="D133" s="265"/>
      <c r="E133" s="358"/>
      <c r="F133" s="242"/>
      <c r="G133" s="242"/>
      <c r="H133" s="359"/>
      <c r="I133" s="79" t="s">
        <v>494</v>
      </c>
      <c r="J133" s="358"/>
      <c r="K133" s="358"/>
      <c r="L133" s="242"/>
      <c r="M133" s="359"/>
      <c r="N133" s="79" t="s">
        <v>494</v>
      </c>
      <c r="O133" s="242"/>
      <c r="P133" s="242"/>
      <c r="Q133" s="265"/>
      <c r="R133" s="265"/>
      <c r="S133" s="265"/>
      <c r="T133" s="265"/>
      <c r="U133" s="265"/>
      <c r="V133" s="265"/>
      <c r="W133" s="265"/>
      <c r="X133" s="265"/>
      <c r="Y133" s="265"/>
      <c r="Z133" s="265"/>
      <c r="AA133" s="265"/>
      <c r="AB133" s="265"/>
      <c r="AC133" s="265"/>
      <c r="AD133" s="265"/>
      <c r="AE133" s="265"/>
      <c r="AF133" s="265"/>
      <c r="AG133" s="265"/>
      <c r="AH133" s="265"/>
      <c r="AI133" s="265"/>
      <c r="AJ133" s="265"/>
      <c r="AK133" s="265"/>
      <c r="AL133" s="265"/>
      <c r="AM133" s="244"/>
    </row>
    <row r="134" spans="1:39" ht="18" customHeight="1" outlineLevel="2" x14ac:dyDescent="0.15">
      <c r="A134" s="242">
        <f t="shared" si="2"/>
        <v>131</v>
      </c>
      <c r="B134" s="359"/>
      <c r="C134" s="78" t="s">
        <v>495</v>
      </c>
      <c r="D134" s="265"/>
      <c r="E134" s="80" t="e">
        <f>E53/E11</f>
        <v>#DIV/0!</v>
      </c>
      <c r="F134" s="80" t="e">
        <f>F53/F11</f>
        <v>#DIV/0!</v>
      </c>
      <c r="G134" s="242"/>
      <c r="H134" s="359"/>
      <c r="I134" s="78" t="s">
        <v>495</v>
      </c>
      <c r="J134" s="80" t="e">
        <f>J53/J11</f>
        <v>#DIV/0!</v>
      </c>
      <c r="K134" s="80" t="e">
        <f>K53/K11</f>
        <v>#DIV/0!</v>
      </c>
      <c r="L134" s="242"/>
      <c r="M134" s="359"/>
      <c r="N134" s="78" t="s">
        <v>495</v>
      </c>
      <c r="O134" s="80" t="e">
        <f>O53/O11</f>
        <v>#DIV/0!</v>
      </c>
      <c r="P134" s="80" t="e">
        <f>P53/P11</f>
        <v>#DIV/0!</v>
      </c>
      <c r="Q134" s="265"/>
      <c r="R134" s="265"/>
      <c r="S134" s="265"/>
      <c r="T134" s="265"/>
      <c r="U134" s="265"/>
      <c r="V134" s="265"/>
      <c r="W134" s="265"/>
      <c r="X134" s="265"/>
      <c r="Y134" s="265"/>
      <c r="Z134" s="265"/>
      <c r="AA134" s="265"/>
      <c r="AB134" s="265"/>
      <c r="AC134" s="265"/>
      <c r="AD134" s="265"/>
      <c r="AE134" s="265"/>
      <c r="AF134" s="265"/>
      <c r="AG134" s="265"/>
      <c r="AH134" s="265"/>
      <c r="AI134" s="265"/>
      <c r="AJ134" s="265"/>
      <c r="AK134" s="265"/>
      <c r="AL134" s="265"/>
      <c r="AM134" s="244"/>
    </row>
    <row r="135" spans="1:39" ht="18" customHeight="1" outlineLevel="2" x14ac:dyDescent="0.15">
      <c r="A135" s="242">
        <f t="shared" si="2"/>
        <v>132</v>
      </c>
      <c r="B135" s="359"/>
      <c r="C135" s="78" t="s">
        <v>496</v>
      </c>
      <c r="D135" s="265"/>
      <c r="E135" s="81" t="e">
        <f>E53/E40</f>
        <v>#DIV/0!</v>
      </c>
      <c r="F135" s="81" t="e">
        <f>F53/F40</f>
        <v>#DIV/0!</v>
      </c>
      <c r="G135" s="242"/>
      <c r="H135" s="359"/>
      <c r="I135" s="78" t="s">
        <v>496</v>
      </c>
      <c r="J135" s="81" t="e">
        <f>J53/J40</f>
        <v>#DIV/0!</v>
      </c>
      <c r="K135" s="81" t="e">
        <f>K53/K40</f>
        <v>#DIV/0!</v>
      </c>
      <c r="L135" s="242"/>
      <c r="M135" s="359"/>
      <c r="N135" s="78" t="s">
        <v>496</v>
      </c>
      <c r="O135" s="81" t="e">
        <f>O53/O40</f>
        <v>#DIV/0!</v>
      </c>
      <c r="P135" s="81" t="e">
        <f>P53/P40</f>
        <v>#DIV/0!</v>
      </c>
      <c r="Q135" s="265"/>
      <c r="R135" s="265"/>
      <c r="S135" s="265"/>
      <c r="T135" s="265"/>
      <c r="U135" s="265"/>
      <c r="V135" s="265"/>
      <c r="W135" s="265"/>
      <c r="X135" s="265"/>
      <c r="Y135" s="265"/>
      <c r="Z135" s="265"/>
      <c r="AA135" s="265"/>
      <c r="AB135" s="265"/>
      <c r="AC135" s="265"/>
      <c r="AD135" s="265"/>
      <c r="AE135" s="265"/>
      <c r="AF135" s="265"/>
      <c r="AG135" s="265"/>
      <c r="AH135" s="265"/>
      <c r="AI135" s="265"/>
      <c r="AJ135" s="265"/>
      <c r="AK135" s="265"/>
      <c r="AL135" s="265"/>
      <c r="AM135" s="244"/>
    </row>
    <row r="136" spans="1:39" ht="18" customHeight="1" outlineLevel="2" x14ac:dyDescent="0.15">
      <c r="A136" s="242">
        <f t="shared" si="2"/>
        <v>133</v>
      </c>
      <c r="B136" s="359"/>
      <c r="C136" s="78" t="s">
        <v>497</v>
      </c>
      <c r="D136" s="265"/>
      <c r="E136" s="81" t="e">
        <f>E53/(E40-E37-E30-E18)</f>
        <v>#DIV/0!</v>
      </c>
      <c r="F136" s="81" t="e">
        <f>F53/(F40-F37-F30-F18)</f>
        <v>#DIV/0!</v>
      </c>
      <c r="G136" s="242"/>
      <c r="H136" s="359"/>
      <c r="I136" s="78" t="s">
        <v>497</v>
      </c>
      <c r="J136" s="81" t="e">
        <f>J53/(J40-J37-J30-J18)</f>
        <v>#DIV/0!</v>
      </c>
      <c r="K136" s="81" t="e">
        <f>K53/(K40-K37-K30-K18)</f>
        <v>#DIV/0!</v>
      </c>
      <c r="L136" s="242"/>
      <c r="M136" s="359"/>
      <c r="N136" s="78" t="s">
        <v>497</v>
      </c>
      <c r="O136" s="81" t="e">
        <f>O53/(O40-O37-O30-O18)</f>
        <v>#DIV/0!</v>
      </c>
      <c r="P136" s="81" t="e">
        <f>P53/(P40-P37-P30-P18)</f>
        <v>#DIV/0!</v>
      </c>
      <c r="Q136" s="265"/>
      <c r="R136" s="265"/>
      <c r="S136" s="265"/>
      <c r="T136" s="265"/>
      <c r="U136" s="265"/>
      <c r="V136" s="265"/>
      <c r="W136" s="265"/>
      <c r="X136" s="265"/>
      <c r="Y136" s="265"/>
      <c r="Z136" s="265"/>
      <c r="AA136" s="265"/>
      <c r="AB136" s="265"/>
      <c r="AC136" s="265"/>
      <c r="AD136" s="265"/>
      <c r="AE136" s="265"/>
      <c r="AF136" s="265"/>
      <c r="AG136" s="265"/>
      <c r="AH136" s="265"/>
      <c r="AI136" s="265"/>
      <c r="AJ136" s="265"/>
      <c r="AK136" s="265"/>
      <c r="AL136" s="265"/>
      <c r="AM136" s="244"/>
    </row>
    <row r="137" spans="1:39" ht="18" customHeight="1" outlineLevel="2" x14ac:dyDescent="0.15">
      <c r="A137" s="242">
        <f t="shared" si="2"/>
        <v>134</v>
      </c>
      <c r="B137" s="359"/>
      <c r="C137" s="78" t="s">
        <v>498</v>
      </c>
      <c r="D137" s="265"/>
      <c r="E137" s="80">
        <f xml:space="preserve">
IFERROR(E53/
((E77+E90
+ IFERROR(HLOOKUP(E$1-1,Table_BCTC_Nam[],$A$77,0),$D$77)
+ IFERROR(HLOOKUP(E$1-1,Table_BCTC_Nam[],$A$90,0),$D$90)
)/2),0)</f>
        <v>0</v>
      </c>
      <c r="F137" s="80">
        <f>F53/
((F77+F90
+ IFERROR(HLOOKUP(DATE(YEAR(F$1),MONTH(F$1)-1,1),Table_BCTC_Thang[],$A$77,0),
$D$77)
+ IFERROR(HLOOKUP(DATE(YEAR(F$1),MONTH(F$1)-1,1),Table_BCTC_Thang[],$A$90,0),
$D$90)
)/2)</f>
        <v>0</v>
      </c>
      <c r="G137" s="242"/>
      <c r="H137" s="359"/>
      <c r="I137" s="78" t="s">
        <v>498</v>
      </c>
      <c r="J137" s="80">
        <f xml:space="preserve">
IFERROR(J53/
((J77+J90
+ IFERROR(HLOOKUP(J$1-1,Table_BCTC_Nam[],$A$77,0),$D$77)
+ IFERROR(HLOOKUP(J$1-1,Table_BCTC_Nam[],$A$90,0),$D$90)
)/2),0)</f>
        <v>0</v>
      </c>
      <c r="K137" s="80">
        <f xml:space="preserve">
IFERROR(K53/
((K77+K90
+ IFERROR(HLOOKUP(K$1-1,Table_BCTC_Nam[],$A$77,0),$D$77)
+ IFERROR(HLOOKUP(K$1-1,Table_BCTC_Nam[],$A$90,0),$D$90)
)/2),0)</f>
        <v>0</v>
      </c>
      <c r="L137" s="242"/>
      <c r="M137" s="359"/>
      <c r="N137" s="78" t="s">
        <v>498</v>
      </c>
      <c r="O137" s="80">
        <f ca="1">O53/
((O77+O90
+ IFERROR(HLOOKUP(DATE(YEAR(O$1),MONTH(O$1)-1,1),Table_BCTC_Thang[],$A$77,0),
$D$77)
+ IFERROR(HLOOKUP(DATE(YEAR(O$1),MONTH(O$1)-1,1),Table_BCTC_Thang[],$A$90,0),
$D$90)
)/2)</f>
        <v>0</v>
      </c>
      <c r="P137" s="80">
        <f ca="1">P53/
((P77+P90
+ IFERROR(HLOOKUP(DATE(YEAR(P$1),MONTH(P$1)-1,1),Table_BCTC_Thang[],$A$77,0),
$D$77)
+ IFERROR(HLOOKUP(DATE(YEAR(P$1),MONTH(P$1)-1,1),Table_BCTC_Thang[],$A$90,0),
$D$90)
)/2)</f>
        <v>0</v>
      </c>
      <c r="Q137" s="265"/>
      <c r="R137" s="265"/>
      <c r="S137" s="265"/>
      <c r="T137" s="265"/>
      <c r="U137" s="265"/>
      <c r="V137" s="265"/>
      <c r="W137" s="265"/>
      <c r="X137" s="265"/>
      <c r="Y137" s="265"/>
      <c r="Z137" s="265"/>
      <c r="AA137" s="265"/>
      <c r="AB137" s="265"/>
      <c r="AC137" s="265"/>
      <c r="AD137" s="265"/>
      <c r="AE137" s="265"/>
      <c r="AF137" s="265"/>
      <c r="AG137" s="265"/>
      <c r="AH137" s="265"/>
      <c r="AI137" s="265"/>
      <c r="AJ137" s="265"/>
      <c r="AK137" s="265"/>
      <c r="AL137" s="265"/>
      <c r="AM137" s="244"/>
    </row>
    <row r="138" spans="1:39" ht="18" customHeight="1" outlineLevel="2" x14ac:dyDescent="0.15">
      <c r="A138" s="242">
        <f t="shared" si="2"/>
        <v>135</v>
      </c>
      <c r="B138" s="359"/>
      <c r="C138" s="78" t="s">
        <v>499</v>
      </c>
      <c r="D138" s="265"/>
      <c r="E138" s="80">
        <f>IFERROR(E53/
((E115
+ IFERROR(HLOOKUP(E$1-1,Table_BCTC_Nam[],$A$115,0),$D$115)
)/2),0)</f>
        <v>0</v>
      </c>
      <c r="F138" s="80" t="e">
        <f>F53/
((F115
+ IFERROR(HLOOKUP(DATE(YEAR(F$1),MONTH(F$1)-1,1),Table_BCTC_Thang[],$A$115,0),
$D$115)
)/2)</f>
        <v>#DIV/0!</v>
      </c>
      <c r="G138" s="242"/>
      <c r="H138" s="359"/>
      <c r="I138" s="78" t="s">
        <v>499</v>
      </c>
      <c r="J138" s="80">
        <f>IFERROR(J53/
((J115
+ IFERROR(HLOOKUP(J$1-1,Table_BCTC_Nam[],$A$115,0),$D$115)
)/2),0)</f>
        <v>0</v>
      </c>
      <c r="K138" s="80">
        <f>IFERROR(K53/
((K115
+ IFERROR(HLOOKUP(K$1-1,Table_BCTC_Nam[],$A$115,0),$D$115)
)/2),0)</f>
        <v>0</v>
      </c>
      <c r="L138" s="242"/>
      <c r="M138" s="359"/>
      <c r="N138" s="78" t="s">
        <v>499</v>
      </c>
      <c r="O138" s="80" t="e">
        <f>O53/
((O115
+ IFERROR(HLOOKUP(DATE(YEAR(O$1),MONTH(O$1)-1,1),Table_BCTC_Thang[],$A$115,0),
$D$115)
)/2)</f>
        <v>#DIV/0!</v>
      </c>
      <c r="P138" s="80" t="e">
        <f>P53/
((P115
+ IFERROR(HLOOKUP(DATE(YEAR(P$1),MONTH(P$1)-1,1),Table_BCTC_Thang[],$A$115,0),
$D$115)
)/2)</f>
        <v>#DIV/0!</v>
      </c>
      <c r="Q138" s="265"/>
      <c r="R138" s="265"/>
      <c r="S138" s="265"/>
      <c r="T138" s="265"/>
      <c r="U138" s="265"/>
      <c r="V138" s="265"/>
      <c r="W138" s="265"/>
      <c r="X138" s="265"/>
      <c r="Y138" s="265"/>
      <c r="Z138" s="265"/>
      <c r="AA138" s="265"/>
      <c r="AB138" s="265"/>
      <c r="AC138" s="265"/>
      <c r="AD138" s="265"/>
      <c r="AE138" s="265"/>
      <c r="AF138" s="265"/>
      <c r="AG138" s="265"/>
      <c r="AH138" s="265"/>
      <c r="AI138" s="265"/>
      <c r="AJ138" s="265"/>
      <c r="AK138" s="265"/>
      <c r="AL138" s="265"/>
      <c r="AM138" s="244"/>
    </row>
    <row r="139" spans="1:39" ht="18" customHeight="1" outlineLevel="2" x14ac:dyDescent="0.15">
      <c r="A139" s="242">
        <f t="shared" si="2"/>
        <v>136</v>
      </c>
      <c r="B139" s="359"/>
      <c r="C139" s="78" t="s">
        <v>500</v>
      </c>
      <c r="D139" s="265"/>
      <c r="E139" s="80">
        <f>IFERROR(E53/
((E$96+E$87+E$81+E$82+E$83+E$92+E$93+E$94+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9" s="219">
        <f>F53/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9" s="242"/>
      <c r="H139" s="359"/>
      <c r="I139" s="78" t="s">
        <v>500</v>
      </c>
      <c r="J139" s="80">
        <f>IFERROR(J53/
((J$96+J$87+J$81+J$82+J$83+J$92+J$93+J$94+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9" s="80">
        <f>IFERROR(K53/
((K$96+K$87+K$81+K$82+K$83+K$92+K$93+K$94+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9" s="242"/>
      <c r="M139" s="359"/>
      <c r="N139" s="78" t="s">
        <v>500</v>
      </c>
      <c r="O139" s="219">
        <f ca="1">O53/
((O77+O90-O79-O99-O78-O98-O97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39" s="219">
        <f>P53/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9" s="265"/>
      <c r="R139" s="265"/>
      <c r="S139" s="265"/>
      <c r="T139" s="265"/>
      <c r="U139" s="265"/>
      <c r="V139" s="265"/>
      <c r="W139" s="265"/>
      <c r="X139" s="265"/>
      <c r="Y139" s="265"/>
      <c r="Z139" s="265"/>
      <c r="AA139" s="265"/>
      <c r="AB139" s="265"/>
      <c r="AC139" s="265"/>
      <c r="AD139" s="265"/>
      <c r="AE139" s="265"/>
      <c r="AF139" s="265"/>
      <c r="AG139" s="265"/>
      <c r="AH139" s="265"/>
      <c r="AI139" s="265"/>
      <c r="AJ139" s="265"/>
      <c r="AK139" s="265"/>
      <c r="AL139" s="265"/>
      <c r="AM139" s="244"/>
    </row>
    <row r="140" spans="1:39" ht="18" customHeight="1" outlineLevel="2" x14ac:dyDescent="0.15">
      <c r="A140" s="242">
        <f t="shared" si="2"/>
        <v>137</v>
      </c>
      <c r="B140" s="359"/>
      <c r="C140" s="78" t="s">
        <v>903</v>
      </c>
      <c r="D140" s="265"/>
      <c r="E140" s="80" t="e">
        <f>(E53)/
(-(E55+E61+E62+E73))</f>
        <v>#DIV/0!</v>
      </c>
      <c r="F140" s="80" t="e">
        <f>(F53)/
(-(F55+F61+F62+F73))</f>
        <v>#DIV/0!</v>
      </c>
      <c r="G140" s="242"/>
      <c r="H140" s="359"/>
      <c r="I140" s="78" t="s">
        <v>903</v>
      </c>
      <c r="J140" s="80" t="e">
        <f>(J53)/
(-(J55+J61+J62+J73))</f>
        <v>#DIV/0!</v>
      </c>
      <c r="K140" s="80" t="e">
        <f>(K53)/
(-(K55+K61+K62+K73))</f>
        <v>#DIV/0!</v>
      </c>
      <c r="L140" s="242"/>
      <c r="M140" s="359"/>
      <c r="N140" s="78" t="s">
        <v>903</v>
      </c>
      <c r="O140" s="80" t="e">
        <f>(O53)/
(-(O55+O61+O62+O73))</f>
        <v>#DIV/0!</v>
      </c>
      <c r="P140" s="80" t="e">
        <f>(P53)/
(-(P55+P61+P62+P73))</f>
        <v>#DIV/0!</v>
      </c>
      <c r="Q140" s="265"/>
      <c r="R140" s="265"/>
      <c r="S140" s="265"/>
      <c r="T140" s="265"/>
      <c r="U140" s="265"/>
      <c r="V140" s="265"/>
      <c r="W140" s="265"/>
      <c r="X140" s="265"/>
      <c r="Y140" s="265"/>
      <c r="Z140" s="265"/>
      <c r="AA140" s="265"/>
      <c r="AB140" s="265"/>
      <c r="AC140" s="265"/>
      <c r="AD140" s="265"/>
      <c r="AE140" s="265"/>
      <c r="AF140" s="265"/>
      <c r="AG140" s="265"/>
      <c r="AH140" s="265"/>
      <c r="AI140" s="265"/>
      <c r="AJ140" s="265"/>
      <c r="AK140" s="265"/>
      <c r="AL140" s="265"/>
      <c r="AM140" s="244"/>
    </row>
    <row r="141" spans="1:39" ht="18" customHeight="1" outlineLevel="2" x14ac:dyDescent="0.15">
      <c r="A141" s="242">
        <f t="shared" si="2"/>
        <v>138</v>
      </c>
      <c r="B141" s="359"/>
      <c r="C141" s="78" t="s">
        <v>501</v>
      </c>
      <c r="D141" s="265"/>
      <c r="E141" s="80">
        <f>IFERROR(E53/
(
-(E55+E61+E62+E73)
+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41" s="219">
        <f>(F53)/
(-(F55+F61+F62+F73)+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41" s="242"/>
      <c r="H141" s="359"/>
      <c r="I141" s="78" t="s">
        <v>501</v>
      </c>
      <c r="J141" s="80">
        <f>IFERROR(J53/
(
-(J55+J61+J62+J73)
+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41" s="80">
        <f>IFERROR(K53/
(
-(K55+K61+K62+K73)
+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41" s="242"/>
      <c r="M141" s="359"/>
      <c r="N141" s="78" t="s">
        <v>501</v>
      </c>
      <c r="O141" s="219">
        <f ca="1">(O53)/
(-(O55+O61+O62+O73)+((O77+O90-O79-O99-O78-O98-O97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41" s="219">
        <f>(P53)/
(-(P55+P61+P62+P73)+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41" s="265"/>
      <c r="R141" s="265"/>
      <c r="S141" s="265"/>
      <c r="T141" s="265"/>
      <c r="U141" s="265"/>
      <c r="V141" s="265"/>
      <c r="W141" s="265"/>
      <c r="X141" s="265"/>
      <c r="Y141" s="265"/>
      <c r="Z141" s="265"/>
      <c r="AA141" s="265"/>
      <c r="AB141" s="265"/>
      <c r="AC141" s="265"/>
      <c r="AD141" s="265"/>
      <c r="AE141" s="265"/>
      <c r="AF141" s="265"/>
      <c r="AG141" s="265"/>
      <c r="AH141" s="265"/>
      <c r="AI141" s="265"/>
      <c r="AJ141" s="265"/>
      <c r="AK141" s="265"/>
      <c r="AL141" s="265"/>
      <c r="AM141" s="244"/>
    </row>
    <row r="142" spans="1:39" ht="18" customHeight="1" outlineLevel="1" x14ac:dyDescent="0.15">
      <c r="A142" s="242">
        <f t="shared" si="2"/>
        <v>139</v>
      </c>
      <c r="B142" s="259"/>
      <c r="C142" s="79" t="s">
        <v>502</v>
      </c>
      <c r="D142" s="265"/>
      <c r="E142" s="358"/>
      <c r="F142" s="242"/>
      <c r="G142" s="242"/>
      <c r="H142" s="359"/>
      <c r="I142" s="79" t="s">
        <v>502</v>
      </c>
      <c r="J142" s="358"/>
      <c r="K142" s="358"/>
      <c r="L142" s="242"/>
      <c r="M142" s="365"/>
      <c r="N142" s="79" t="s">
        <v>502</v>
      </c>
      <c r="O142" s="242"/>
      <c r="P142" s="242"/>
      <c r="Q142" s="265"/>
      <c r="R142" s="265"/>
      <c r="S142" s="265"/>
      <c r="T142" s="265"/>
      <c r="U142" s="265"/>
      <c r="V142" s="265"/>
      <c r="W142" s="265"/>
      <c r="X142" s="265"/>
      <c r="Y142" s="265"/>
      <c r="Z142" s="265"/>
      <c r="AA142" s="265"/>
      <c r="AB142" s="265"/>
      <c r="AC142" s="265"/>
      <c r="AD142" s="265"/>
      <c r="AE142" s="265"/>
      <c r="AF142" s="265"/>
      <c r="AG142" s="265"/>
      <c r="AH142" s="265"/>
      <c r="AI142" s="265"/>
      <c r="AJ142" s="265"/>
      <c r="AK142" s="265"/>
      <c r="AL142" s="265"/>
      <c r="AM142" s="244"/>
    </row>
    <row r="143" spans="1:39" ht="18" customHeight="1" outlineLevel="2" x14ac:dyDescent="0.15">
      <c r="A143" s="242">
        <f t="shared" si="2"/>
        <v>140</v>
      </c>
      <c r="B143" s="359"/>
      <c r="C143" s="78" t="s">
        <v>503</v>
      </c>
      <c r="D143" s="265"/>
      <c r="E143" s="32">
        <f xml:space="preserve">
IFERROR(
-(E13+E15+E24+E34)/
((E86
+ IFERROR(HLOOKUP(E$1-1,Table_BCTC_Nam[],$A$86,0),$D$86)
)/2),0)</f>
        <v>0</v>
      </c>
      <c r="F143" s="219" t="e">
        <f>-(F13+F15+F24+F34)/
((F86
+ IFERROR(HLOOKUP(DATE(YEAR(F$1),MONTH(F$1)-1,1),Table_BCTC_Thang[],$A$86,0),
$D$86)
)/2)</f>
        <v>#DIV/0!</v>
      </c>
      <c r="G143" s="242"/>
      <c r="H143" s="359"/>
      <c r="I143" s="78" t="s">
        <v>503</v>
      </c>
      <c r="J143" s="32">
        <f xml:space="preserve">
IFERROR(
-(J13+J15+J24+J34)/
((J86
+ IFERROR(HLOOKUP(J$1-1,Table_BCTC_Nam[],$A$86,0),$D$86)
)/2),0)</f>
        <v>0</v>
      </c>
      <c r="K143" s="32">
        <f xml:space="preserve">
IFERROR(
-(K13+K15+K24+K34)/
((K86
+ IFERROR(HLOOKUP(K$1-1,Table_BCTC_Nam[],$A$86,0),$D$86)
)/2),0)</f>
        <v>0</v>
      </c>
      <c r="L143" s="242"/>
      <c r="M143" s="359"/>
      <c r="N143" s="78" t="s">
        <v>503</v>
      </c>
      <c r="O143" s="219" t="e">
        <f>-(O13+O15+O24+O34)/
((O86
+ IFERROR(HLOOKUP(DATE(YEAR(O$1),MONTH(O$1)-1,1),Table_BCTC_Thang[],$A$86,0),
$D$86)
)/2)</f>
        <v>#DIV/0!</v>
      </c>
      <c r="P143" s="219" t="e">
        <f>-(P13+P15+P24+P34)/
((P86
+ IFERROR(HLOOKUP(DATE(YEAR(P$1),MONTH(P$1)-1,1),Table_BCTC_Thang[],$A$86,0),
$D$86)
)/2)</f>
        <v>#DIV/0!</v>
      </c>
      <c r="Q143" s="265"/>
      <c r="R143" s="265"/>
      <c r="S143" s="265"/>
      <c r="T143" s="265"/>
      <c r="U143" s="265"/>
      <c r="V143" s="265"/>
      <c r="W143" s="265"/>
      <c r="X143" s="265"/>
      <c r="Y143" s="265"/>
      <c r="Z143" s="265"/>
      <c r="AA143" s="265"/>
      <c r="AB143" s="265"/>
      <c r="AC143" s="265"/>
      <c r="AD143" s="265"/>
      <c r="AE143" s="265"/>
      <c r="AF143" s="265"/>
      <c r="AG143" s="265"/>
      <c r="AH143" s="265"/>
      <c r="AI143" s="265"/>
      <c r="AJ143" s="265"/>
      <c r="AK143" s="265"/>
      <c r="AL143" s="265"/>
      <c r="AM143" s="244"/>
    </row>
    <row r="144" spans="1:39" ht="18" customHeight="1" outlineLevel="2" x14ac:dyDescent="0.15">
      <c r="A144" s="242">
        <f t="shared" si="2"/>
        <v>141</v>
      </c>
      <c r="B144" s="359"/>
      <c r="C144" s="78" t="s">
        <v>504</v>
      </c>
      <c r="D144" s="265"/>
      <c r="E144" s="32">
        <f>IFERROR(365/E143,0)</f>
        <v>0</v>
      </c>
      <c r="F144" s="81" t="e">
        <f>(365/12)/F143</f>
        <v>#DIV/0!</v>
      </c>
      <c r="G144" s="242"/>
      <c r="H144" s="359"/>
      <c r="I144" s="78" t="s">
        <v>504</v>
      </c>
      <c r="J144" s="32">
        <f>IFERROR(365/J143,0)</f>
        <v>0</v>
      </c>
      <c r="K144" s="32">
        <f>IFERROR(365/K143,0)</f>
        <v>0</v>
      </c>
      <c r="L144" s="242"/>
      <c r="M144" s="359"/>
      <c r="N144" s="78" t="s">
        <v>504</v>
      </c>
      <c r="O144" s="81" t="e">
        <f>(365/12)/O143</f>
        <v>#DIV/0!</v>
      </c>
      <c r="P144" s="81" t="e">
        <f>(365/12)/P143</f>
        <v>#DIV/0!</v>
      </c>
      <c r="Q144" s="265"/>
      <c r="R144" s="265"/>
      <c r="S144" s="265"/>
      <c r="T144" s="265"/>
      <c r="U144" s="265"/>
      <c r="V144" s="265"/>
      <c r="W144" s="265"/>
      <c r="X144" s="265"/>
      <c r="Y144" s="265"/>
      <c r="Z144" s="265"/>
      <c r="AA144" s="265"/>
      <c r="AB144" s="265"/>
      <c r="AC144" s="265"/>
      <c r="AD144" s="265"/>
      <c r="AE144" s="265"/>
      <c r="AF144" s="265"/>
      <c r="AG144" s="265"/>
      <c r="AH144" s="265"/>
      <c r="AI144" s="265"/>
      <c r="AJ144" s="265"/>
      <c r="AK144" s="265"/>
      <c r="AL144" s="265"/>
      <c r="AM144" s="244"/>
    </row>
    <row r="145" spans="1:39" ht="18" customHeight="1" outlineLevel="2" x14ac:dyDescent="0.15">
      <c r="A145" s="242">
        <f t="shared" si="2"/>
        <v>142</v>
      </c>
      <c r="B145" s="359"/>
      <c r="C145" s="78" t="s">
        <v>505</v>
      </c>
      <c r="D145" s="265"/>
      <c r="E145" s="32">
        <f>IFERROR(E11/
((E81+E92
+ IFERROR(HLOOKUP(E$1-1,Table_BCTC_Nam[],$A$81,0),$D$81)
+ IFERROR(HLOOKUP(E$1-1,Table_BCTC_Nam[],$A$92,0),$D$92)
)/2),0)</f>
        <v>0</v>
      </c>
      <c r="F145" s="81" t="e">
        <f>F11/
((F81 + F92
+ IFERROR(HLOOKUP(DATE(YEAR(F$1),MONTH(F$1)-1,1),Table_BCTC_Thang[],$A$81,0),
$D$81)
+ IFERROR(HLOOKUP(DATE(YEAR(F$1),MONTH(F$1)-1,1),Table_BCTC_Thang[],$A$92,0),
$D$92)
)/2)</f>
        <v>#DIV/0!</v>
      </c>
      <c r="G145" s="242"/>
      <c r="H145" s="359"/>
      <c r="I145" s="78" t="s">
        <v>505</v>
      </c>
      <c r="J145" s="32">
        <f>IFERROR(J11/
((J81+J92
+ IFERROR(HLOOKUP(J$1-1,Table_BCTC_Nam[],$A$81,0),$D$81)
+ IFERROR(HLOOKUP(J$1-1,Table_BCTC_Nam[],$A$92,0),$D$92)
)/2),0)</f>
        <v>0</v>
      </c>
      <c r="K145" s="32">
        <f>IFERROR(K11/
((K81+K92
+ IFERROR(HLOOKUP(K$1-1,Table_BCTC_Nam[],$A$81,0),$D$81)
+ IFERROR(HLOOKUP(K$1-1,Table_BCTC_Nam[],$A$92,0),$D$92)
)/2),0)</f>
        <v>0</v>
      </c>
      <c r="L145" s="242"/>
      <c r="M145" s="359"/>
      <c r="N145" s="78" t="s">
        <v>505</v>
      </c>
      <c r="O145" s="81" t="e">
        <f>O11/
((O81 + O92
+ IFERROR(HLOOKUP(DATE(YEAR(O$1),MONTH(O$1)-1,1),Table_BCTC_Thang[],$A$81,0),
$D$81)
+ IFERROR(HLOOKUP(DATE(YEAR(O$1),MONTH(O$1)-1,1),Table_BCTC_Thang[],$A$92,0),
$D$92)
)/2)</f>
        <v>#DIV/0!</v>
      </c>
      <c r="P145" s="81" t="e">
        <f>P11/
((P81 + P92
+ IFERROR(HLOOKUP(DATE(YEAR(P$1),MONTH(P$1)-1,1),Table_BCTC_Thang[],$A$81,0),
$D$81)
+ IFERROR(HLOOKUP(DATE(YEAR(P$1),MONTH(P$1)-1,1),Table_BCTC_Thang[],$A$92,0),
$D$92)
)/2)</f>
        <v>#DIV/0!</v>
      </c>
      <c r="Q145" s="265"/>
      <c r="R145" s="265"/>
      <c r="S145" s="265"/>
      <c r="T145" s="265"/>
      <c r="U145" s="265"/>
      <c r="V145" s="265"/>
      <c r="W145" s="265"/>
      <c r="X145" s="265"/>
      <c r="Y145" s="265"/>
      <c r="Z145" s="265"/>
      <c r="AA145" s="265"/>
      <c r="AB145" s="265"/>
      <c r="AC145" s="265"/>
      <c r="AD145" s="265"/>
      <c r="AE145" s="265"/>
      <c r="AF145" s="265"/>
      <c r="AG145" s="265"/>
      <c r="AH145" s="265"/>
      <c r="AI145" s="265"/>
      <c r="AJ145" s="265"/>
      <c r="AK145" s="265"/>
      <c r="AL145" s="265"/>
      <c r="AM145" s="244"/>
    </row>
    <row r="146" spans="1:39" ht="18" customHeight="1" outlineLevel="2" x14ac:dyDescent="0.15">
      <c r="A146" s="242">
        <f t="shared" si="2"/>
        <v>143</v>
      </c>
      <c r="B146" s="359"/>
      <c r="C146" s="78" t="s">
        <v>506</v>
      </c>
      <c r="D146" s="265"/>
      <c r="E146" s="32">
        <f>IFERROR(365/E145,0)</f>
        <v>0</v>
      </c>
      <c r="F146" s="81" t="e">
        <f>(365/12)/F145</f>
        <v>#DIV/0!</v>
      </c>
      <c r="G146" s="242"/>
      <c r="H146" s="359"/>
      <c r="I146" s="78" t="s">
        <v>506</v>
      </c>
      <c r="J146" s="32">
        <f>IFERROR(365/J145,0)</f>
        <v>0</v>
      </c>
      <c r="K146" s="32">
        <f>IFERROR(365/K145,0)</f>
        <v>0</v>
      </c>
      <c r="L146" s="242"/>
      <c r="M146" s="359"/>
      <c r="N146" s="78" t="s">
        <v>506</v>
      </c>
      <c r="O146" s="81" t="e">
        <f>(365/12)/O145</f>
        <v>#DIV/0!</v>
      </c>
      <c r="P146" s="81" t="e">
        <f>(365/12)/P145</f>
        <v>#DIV/0!</v>
      </c>
      <c r="Q146" s="265"/>
      <c r="R146" s="265"/>
      <c r="S146" s="265"/>
      <c r="T146" s="265"/>
      <c r="U146" s="265"/>
      <c r="V146" s="265"/>
      <c r="W146" s="265"/>
      <c r="X146" s="265"/>
      <c r="Y146" s="265"/>
      <c r="Z146" s="265"/>
      <c r="AA146" s="265"/>
      <c r="AB146" s="265"/>
      <c r="AC146" s="265"/>
      <c r="AD146" s="265"/>
      <c r="AE146" s="265"/>
      <c r="AF146" s="265"/>
      <c r="AG146" s="265"/>
      <c r="AH146" s="265"/>
      <c r="AI146" s="265"/>
      <c r="AJ146" s="265"/>
      <c r="AK146" s="265"/>
      <c r="AL146" s="265"/>
      <c r="AM146" s="244"/>
    </row>
    <row r="147" spans="1:39" ht="18" customHeight="1" outlineLevel="2" x14ac:dyDescent="0.15">
      <c r="A147" s="242">
        <f t="shared" si="2"/>
        <v>144</v>
      </c>
      <c r="B147" s="359"/>
      <c r="C147" s="78" t="s">
        <v>507</v>
      </c>
      <c r="D147" s="265"/>
      <c r="E147" s="32">
        <f xml:space="preserve">
IFERROR(
-(E12+E21+E32-E18-E30-E37-E38)/
((E103+E110+E106+E112
+ IFERROR(HLOOKUP(E$1-1,Table_BCTC_Nam[],$A$103,0),$D$103)
+ IFERROR(HLOOKUP(E$1-1,Table_BCTC_Nam[],$A$110,0),$D$110)
+ IFERROR(HLOOKUP(E$1-1,Table_BCTC_Nam[],$A$106,0),$D$106)
+ IFERROR(HLOOKUP(E$1-1,Table_BCTC_Nam[],$A$112,0),$D$112)
)/2),0)</f>
        <v>0</v>
      </c>
      <c r="F147" s="81" t="e">
        <f>-(F12+F21+F32-F18-F30-F37-F38)/
((F103 + F110 + F106 + F112
+ IFERROR(HLOOKUP(DATE(YEAR(F$1),MONTH(F$1)-1,1),Table_BCTC_Thang[],$A$103,0),
$D$103)
+ IFERROR(HLOOKUP(DATE(YEAR(F$1),MONTH(F$1)-1,1),Table_BCTC_Thang[],$A$110,0),
$D$110)
+ IFERROR(HLOOKUP(DATE(YEAR(F$1),MONTH(F$1)-1,1),Table_BCTC_Thang[],$A$106,0),
$D$106)
+ IFERROR(HLOOKUP(DATE(YEAR(F$1),MONTH(F$1)-1,1),Table_BCTC_Thang[],$A$112,0),
$D$112)
)/2)</f>
        <v>#DIV/0!</v>
      </c>
      <c r="G147" s="242"/>
      <c r="H147" s="359"/>
      <c r="I147" s="78" t="s">
        <v>507</v>
      </c>
      <c r="J147" s="32">
        <f xml:space="preserve">
IFERROR(
-(J12+J21+J32-J18-J30-J37-J38)/
((J103+J110+J106+J112
+ IFERROR(HLOOKUP(J$1-1,Table_BCTC_Nam[],$A$103,0),$D$103)
+ IFERROR(HLOOKUP(J$1-1,Table_BCTC_Nam[],$A$110,0),$D$110)
+ IFERROR(HLOOKUP(J$1-1,Table_BCTC_Nam[],$A$106,0),$D$106)
+ IFERROR(HLOOKUP(J$1-1,Table_BCTC_Nam[],$A$112,0),$D$112)
)/2),0)</f>
        <v>0</v>
      </c>
      <c r="K147" s="32">
        <f xml:space="preserve">
IFERROR(
-(K12+K21+K32-K18-K30-K37-K38)/
((K103+K110+K106+K112
+ IFERROR(HLOOKUP(K$1-1,Table_BCTC_Nam[],$A$103,0),$D$103)
+ IFERROR(HLOOKUP(K$1-1,Table_BCTC_Nam[],$A$110,0),$D$110)
+ IFERROR(HLOOKUP(K$1-1,Table_BCTC_Nam[],$A$106,0),$D$106)
+ IFERROR(HLOOKUP(K$1-1,Table_BCTC_Nam[],$A$112,0),$D$112)
)/2),0)</f>
        <v>0</v>
      </c>
      <c r="L147" s="242"/>
      <c r="M147" s="359"/>
      <c r="N147" s="78" t="s">
        <v>507</v>
      </c>
      <c r="O147" s="81" t="e">
        <f>-(O12+O21+O32-O18-O30-O37-O38)/
((O103 + O110 + O106 + O112
+ IFERROR(HLOOKUP(DATE(YEAR(O$1),MONTH(O$1)-1,1),Table_BCTC_Thang[],$A$103,0),
$D$103)
+ IFERROR(HLOOKUP(DATE(YEAR(O$1),MONTH(O$1)-1,1),Table_BCTC_Thang[],$A$110,0),
$D$110)
+ IFERROR(HLOOKUP(DATE(YEAR(O$1),MONTH(O$1)-1,1),Table_BCTC_Thang[],$A$106,0),
$D$106)
+ IFERROR(HLOOKUP(DATE(YEAR(O$1),MONTH(O$1)-1,1),Table_BCTC_Thang[],$A$112,0),
$D$112)
)/2)</f>
        <v>#DIV/0!</v>
      </c>
      <c r="P147" s="81" t="e">
        <f>-(P12+P21+P32-P18-P30-P37-P38)/
((P103 + P110 + P106 + P112
+ IFERROR(HLOOKUP(DATE(YEAR(P$1),MONTH(P$1)-1,1),Table_BCTC_Thang[],$A$103,0),
$D$103)
+ IFERROR(HLOOKUP(DATE(YEAR(P$1),MONTH(P$1)-1,1),Table_BCTC_Thang[],$A$110,0),
$D$110)
+ IFERROR(HLOOKUP(DATE(YEAR(P$1),MONTH(P$1)-1,1),Table_BCTC_Thang[],$A$106,0),
$D$106)
+ IFERROR(HLOOKUP(DATE(YEAR(P$1),MONTH(P$1)-1,1),Table_BCTC_Thang[],$A$112,0),
$D$112)
)/2)</f>
        <v>#DIV/0!</v>
      </c>
      <c r="Q147" s="265"/>
      <c r="R147" s="265"/>
      <c r="S147" s="265"/>
      <c r="T147" s="265"/>
      <c r="U147" s="265"/>
      <c r="V147" s="265"/>
      <c r="W147" s="265"/>
      <c r="X147" s="265"/>
      <c r="Y147" s="265"/>
      <c r="Z147" s="265"/>
      <c r="AA147" s="265"/>
      <c r="AB147" s="265"/>
      <c r="AC147" s="265"/>
      <c r="AD147" s="265"/>
      <c r="AE147" s="265"/>
      <c r="AF147" s="265"/>
      <c r="AG147" s="265"/>
      <c r="AH147" s="265"/>
      <c r="AI147" s="265"/>
      <c r="AJ147" s="265"/>
      <c r="AK147" s="265"/>
      <c r="AL147" s="265"/>
      <c r="AM147" s="244"/>
    </row>
    <row r="148" spans="1:39" ht="18" customHeight="1" outlineLevel="2" x14ac:dyDescent="0.15">
      <c r="A148" s="242">
        <f t="shared" si="2"/>
        <v>145</v>
      </c>
      <c r="B148" s="359"/>
      <c r="C148" s="78" t="s">
        <v>508</v>
      </c>
      <c r="D148" s="265"/>
      <c r="E148" s="32">
        <f>IFERROR(365/E147,0)</f>
        <v>0</v>
      </c>
      <c r="F148" s="81" t="e">
        <f>(365/12)/F147</f>
        <v>#DIV/0!</v>
      </c>
      <c r="G148" s="242"/>
      <c r="H148" s="359"/>
      <c r="I148" s="78" t="s">
        <v>508</v>
      </c>
      <c r="J148" s="32">
        <f>IFERROR(365/J147,0)</f>
        <v>0</v>
      </c>
      <c r="K148" s="32">
        <f>IFERROR(365/K147,0)</f>
        <v>0</v>
      </c>
      <c r="L148" s="242"/>
      <c r="M148" s="359"/>
      <c r="N148" s="78" t="s">
        <v>508</v>
      </c>
      <c r="O148" s="81" t="e">
        <f>(365/12)/O147</f>
        <v>#DIV/0!</v>
      </c>
      <c r="P148" s="81" t="e">
        <f>(365/12)/P147</f>
        <v>#DIV/0!</v>
      </c>
      <c r="Q148" s="265"/>
      <c r="R148" s="265"/>
      <c r="S148" s="265"/>
      <c r="T148" s="265"/>
      <c r="U148" s="265"/>
      <c r="V148" s="265"/>
      <c r="W148" s="265"/>
      <c r="X148" s="265"/>
      <c r="Y148" s="265"/>
      <c r="Z148" s="265"/>
      <c r="AA148" s="265"/>
      <c r="AB148" s="265"/>
      <c r="AC148" s="265"/>
      <c r="AD148" s="265"/>
      <c r="AE148" s="265"/>
      <c r="AF148" s="265"/>
      <c r="AG148" s="265"/>
      <c r="AH148" s="265"/>
      <c r="AI148" s="265"/>
      <c r="AJ148" s="265"/>
      <c r="AK148" s="265"/>
      <c r="AL148" s="265"/>
      <c r="AM148" s="244"/>
    </row>
    <row r="149" spans="1:39" ht="18" customHeight="1" outlineLevel="2" x14ac:dyDescent="0.15">
      <c r="A149" s="242">
        <f t="shared" si="2"/>
        <v>146</v>
      </c>
      <c r="B149" s="359"/>
      <c r="C149" s="78" t="s">
        <v>509</v>
      </c>
      <c r="D149" s="265"/>
      <c r="E149" s="32">
        <f>+E144+E146-E148</f>
        <v>0</v>
      </c>
      <c r="F149" s="81" t="e">
        <f>+F144+F146-F148</f>
        <v>#DIV/0!</v>
      </c>
      <c r="G149" s="242"/>
      <c r="H149" s="359"/>
      <c r="I149" s="78" t="s">
        <v>509</v>
      </c>
      <c r="J149" s="32">
        <f>+J144+J146-J148</f>
        <v>0</v>
      </c>
      <c r="K149" s="32">
        <f>+K144+K146-K148</f>
        <v>0</v>
      </c>
      <c r="L149" s="242"/>
      <c r="M149" s="359"/>
      <c r="N149" s="78" t="s">
        <v>509</v>
      </c>
      <c r="O149" s="81" t="e">
        <f>+O144+O146-O148</f>
        <v>#DIV/0!</v>
      </c>
      <c r="P149" s="81" t="e">
        <f>+P144+P146-P148</f>
        <v>#DIV/0!</v>
      </c>
      <c r="Q149" s="265"/>
      <c r="R149" s="265"/>
      <c r="S149" s="265"/>
      <c r="T149" s="265"/>
      <c r="U149" s="265"/>
      <c r="V149" s="265"/>
      <c r="W149" s="265"/>
      <c r="X149" s="265"/>
      <c r="Y149" s="265"/>
      <c r="Z149" s="265"/>
      <c r="AA149" s="265"/>
      <c r="AB149" s="265"/>
      <c r="AC149" s="265"/>
      <c r="AD149" s="265"/>
      <c r="AE149" s="265"/>
      <c r="AF149" s="265"/>
      <c r="AG149" s="265"/>
      <c r="AH149" s="265"/>
      <c r="AI149" s="265"/>
      <c r="AJ149" s="265"/>
      <c r="AK149" s="265"/>
      <c r="AL149" s="265"/>
      <c r="AM149" s="244"/>
    </row>
    <row r="150" spans="1:39" ht="18" customHeight="1" outlineLevel="1" x14ac:dyDescent="0.15">
      <c r="A150" s="242">
        <f t="shared" si="2"/>
        <v>147</v>
      </c>
      <c r="B150" s="359"/>
      <c r="C150" s="79" t="s">
        <v>510</v>
      </c>
      <c r="D150" s="265"/>
      <c r="E150" s="349"/>
      <c r="F150" s="242"/>
      <c r="G150" s="242"/>
      <c r="H150" s="359"/>
      <c r="I150" s="79" t="s">
        <v>510</v>
      </c>
      <c r="J150" s="349"/>
      <c r="K150" s="349"/>
      <c r="L150" s="242"/>
      <c r="M150" s="359"/>
      <c r="N150" s="79" t="s">
        <v>510</v>
      </c>
      <c r="O150" s="242"/>
      <c r="P150" s="242"/>
      <c r="Q150" s="265"/>
      <c r="R150" s="265"/>
      <c r="S150" s="265"/>
      <c r="T150" s="265"/>
      <c r="U150" s="265"/>
      <c r="V150" s="265"/>
      <c r="W150" s="265"/>
      <c r="X150" s="265"/>
      <c r="Y150" s="265"/>
      <c r="Z150" s="265"/>
      <c r="AA150" s="265"/>
      <c r="AB150" s="265"/>
      <c r="AC150" s="265"/>
      <c r="AD150" s="265"/>
      <c r="AE150" s="265"/>
      <c r="AF150" s="265"/>
      <c r="AG150" s="265"/>
      <c r="AH150" s="265"/>
      <c r="AI150" s="265"/>
      <c r="AJ150" s="265"/>
      <c r="AK150" s="265"/>
      <c r="AL150" s="265"/>
      <c r="AM150" s="244"/>
    </row>
    <row r="151" spans="1:39" ht="18" customHeight="1" outlineLevel="2" x14ac:dyDescent="0.15">
      <c r="A151" s="242">
        <f t="shared" si="2"/>
        <v>148</v>
      </c>
      <c r="B151" s="359"/>
      <c r="C151" s="78" t="s">
        <v>511</v>
      </c>
      <c r="D151" s="265"/>
      <c r="E151" s="32">
        <f>IFERROR(E78/E102,0)</f>
        <v>0</v>
      </c>
      <c r="F151" s="81">
        <f>F78/F102</f>
        <v>0</v>
      </c>
      <c r="G151" s="242"/>
      <c r="H151" s="359"/>
      <c r="I151" s="78" t="s">
        <v>511</v>
      </c>
      <c r="J151" s="32">
        <f>IFERROR(J78/J102,0)</f>
        <v>0</v>
      </c>
      <c r="K151" s="32">
        <f>IFERROR(K78/K102,0)</f>
        <v>0</v>
      </c>
      <c r="L151" s="242"/>
      <c r="M151" s="359"/>
      <c r="N151" s="78" t="s">
        <v>511</v>
      </c>
      <c r="O151" s="81">
        <f>O78/O102</f>
        <v>0</v>
      </c>
      <c r="P151" s="81">
        <f>P78/P102</f>
        <v>0</v>
      </c>
      <c r="Q151" s="265"/>
      <c r="R151" s="265"/>
      <c r="S151" s="265"/>
      <c r="T151" s="265"/>
      <c r="U151" s="265"/>
      <c r="V151" s="265"/>
      <c r="W151" s="265"/>
      <c r="X151" s="265"/>
      <c r="Y151" s="265"/>
      <c r="Z151" s="265"/>
      <c r="AA151" s="265"/>
      <c r="AB151" s="265"/>
      <c r="AC151" s="265"/>
      <c r="AD151" s="265"/>
      <c r="AE151" s="265"/>
      <c r="AF151" s="265"/>
      <c r="AG151" s="265"/>
      <c r="AH151" s="265"/>
      <c r="AI151" s="265"/>
      <c r="AJ151" s="265"/>
      <c r="AK151" s="265"/>
      <c r="AL151" s="265"/>
      <c r="AM151" s="244"/>
    </row>
    <row r="152" spans="1:39" ht="18" customHeight="1" outlineLevel="2" x14ac:dyDescent="0.15">
      <c r="A152" s="242">
        <f t="shared" si="2"/>
        <v>149</v>
      </c>
      <c r="B152" s="359"/>
      <c r="C152" s="78" t="s">
        <v>512</v>
      </c>
      <c r="D152" s="265"/>
      <c r="E152" s="32">
        <f>IFERROR((E77-E80-E86)/E102,0)</f>
        <v>0</v>
      </c>
      <c r="F152" s="81">
        <f>(F77-F80-F86)/F102</f>
        <v>0</v>
      </c>
      <c r="G152" s="242"/>
      <c r="H152" s="359"/>
      <c r="I152" s="78" t="s">
        <v>512</v>
      </c>
      <c r="J152" s="32">
        <f>IFERROR((J77-J80-J86)/J102,0)</f>
        <v>0</v>
      </c>
      <c r="K152" s="32">
        <f>IFERROR((K77-K80-K86)/K102,0)</f>
        <v>0</v>
      </c>
      <c r="L152" s="242"/>
      <c r="M152" s="359"/>
      <c r="N152" s="78" t="s">
        <v>512</v>
      </c>
      <c r="O152" s="81">
        <f ca="1">(O77-O80-O86)/O102</f>
        <v>0</v>
      </c>
      <c r="P152" s="81">
        <f ca="1">(P77-P80-P86)/P102</f>
        <v>0</v>
      </c>
      <c r="Q152" s="265"/>
      <c r="R152" s="265"/>
      <c r="S152" s="265"/>
      <c r="T152" s="265"/>
      <c r="U152" s="265"/>
      <c r="V152" s="265"/>
      <c r="W152" s="265"/>
      <c r="X152" s="265"/>
      <c r="Y152" s="265"/>
      <c r="Z152" s="265"/>
      <c r="AA152" s="265"/>
      <c r="AB152" s="265"/>
      <c r="AC152" s="265"/>
      <c r="AD152" s="265"/>
      <c r="AE152" s="265"/>
      <c r="AF152" s="265"/>
      <c r="AG152" s="265"/>
      <c r="AH152" s="265"/>
      <c r="AI152" s="265"/>
      <c r="AJ152" s="265"/>
      <c r="AK152" s="265"/>
      <c r="AL152" s="265"/>
      <c r="AM152" s="244"/>
    </row>
    <row r="153" spans="1:39" ht="18" customHeight="1" outlineLevel="2" x14ac:dyDescent="0.15">
      <c r="A153" s="242">
        <f t="shared" si="2"/>
        <v>150</v>
      </c>
      <c r="B153" s="359"/>
      <c r="C153" s="78" t="s">
        <v>513</v>
      </c>
      <c r="D153" s="265"/>
      <c r="E153" s="32">
        <f>IFERROR(E77/E102,0)</f>
        <v>0</v>
      </c>
      <c r="F153" s="81">
        <f>F77/F102</f>
        <v>0</v>
      </c>
      <c r="G153" s="242"/>
      <c r="H153" s="359"/>
      <c r="I153" s="78" t="s">
        <v>513</v>
      </c>
      <c r="J153" s="32">
        <f>IFERROR(J77/J102,0)</f>
        <v>7.4672783575185614E-2</v>
      </c>
      <c r="K153" s="32">
        <f>IFERROR(K77/K102,0)</f>
        <v>7.4672783575185614E-2</v>
      </c>
      <c r="L153" s="242"/>
      <c r="M153" s="359"/>
      <c r="N153" s="78" t="s">
        <v>513</v>
      </c>
      <c r="O153" s="81">
        <f ca="1">O77/O102</f>
        <v>0</v>
      </c>
      <c r="P153" s="81">
        <f ca="1">P77/P102</f>
        <v>0</v>
      </c>
      <c r="Q153" s="265"/>
      <c r="R153" s="265"/>
      <c r="S153" s="265"/>
      <c r="T153" s="265"/>
      <c r="U153" s="265"/>
      <c r="V153" s="265"/>
      <c r="W153" s="265"/>
      <c r="X153" s="265"/>
      <c r="Y153" s="265"/>
      <c r="Z153" s="265"/>
      <c r="AA153" s="265"/>
      <c r="AB153" s="265"/>
      <c r="AC153" s="265"/>
      <c r="AD153" s="265"/>
      <c r="AE153" s="265"/>
      <c r="AF153" s="265"/>
      <c r="AG153" s="265"/>
      <c r="AH153" s="265"/>
      <c r="AI153" s="265"/>
      <c r="AJ153" s="265"/>
      <c r="AK153" s="265"/>
      <c r="AL153" s="265"/>
      <c r="AM153" s="244"/>
    </row>
    <row r="154" spans="1:39" ht="18" customHeight="1" outlineLevel="2" x14ac:dyDescent="0.15">
      <c r="A154" s="242">
        <f t="shared" si="2"/>
        <v>151</v>
      </c>
      <c r="B154" s="359"/>
      <c r="C154" s="78" t="s">
        <v>514</v>
      </c>
      <c r="D154" s="265"/>
      <c r="E154" s="32">
        <f>IFERROR(E53/
((E102
+ IFERROR(HLOOKUP(E$1-1,Table_BCTC_Nam[],$A$102,0),$D$102)
)/2),0)</f>
        <v>0</v>
      </c>
      <c r="F154" s="219">
        <f>F53/
((F102
+ IFERROR(HLOOKUP(DATE(YEAR(F$1),MONTH(F$1)-1,1),Table_BCTC_Thang[],$A$102,0),
$D$102)
)/2)</f>
        <v>0</v>
      </c>
      <c r="G154" s="242"/>
      <c r="H154" s="359"/>
      <c r="I154" s="78" t="s">
        <v>514</v>
      </c>
      <c r="J154" s="32">
        <f>IFERROR(J53/
((J102
+ IFERROR(HLOOKUP(J$1-1,Table_BCTC_Nam[],$A$102,0),$D$102)
)/2),0)</f>
        <v>0</v>
      </c>
      <c r="K154" s="32">
        <f>IFERROR(K53/
((K102
+ IFERROR(HLOOKUP(K$1-1,Table_BCTC_Nam[],$A$102,0),$D$102)
)/2),0)</f>
        <v>0</v>
      </c>
      <c r="L154" s="242"/>
      <c r="M154" s="359"/>
      <c r="N154" s="78" t="s">
        <v>514</v>
      </c>
      <c r="O154" s="219">
        <f>O53/
((O102
+ IFERROR(HLOOKUP(DATE(YEAR(O$1),MONTH(O$1)-1,1),Table_BCTC_Thang[],$A$102,0),
$D$102)
)/2)</f>
        <v>0</v>
      </c>
      <c r="P154" s="219">
        <f>P53/
((P102
+ IFERROR(HLOOKUP(DATE(YEAR(P$1),MONTH(P$1)-1,1),Table_BCTC_Thang[],$A$102,0),
$D$102)
)/2)</f>
        <v>0</v>
      </c>
      <c r="Q154" s="265"/>
      <c r="R154" s="265"/>
      <c r="S154" s="265"/>
      <c r="T154" s="265"/>
      <c r="U154" s="265"/>
      <c r="V154" s="265"/>
      <c r="W154" s="265"/>
      <c r="X154" s="265"/>
      <c r="Y154" s="265"/>
      <c r="Z154" s="265"/>
      <c r="AA154" s="265"/>
      <c r="AB154" s="265"/>
      <c r="AC154" s="265"/>
      <c r="AD154" s="265"/>
      <c r="AE154" s="265"/>
      <c r="AF154" s="265"/>
      <c r="AG154" s="265"/>
      <c r="AH154" s="265"/>
      <c r="AI154" s="265"/>
      <c r="AJ154" s="265"/>
      <c r="AK154" s="265"/>
      <c r="AL154" s="265"/>
      <c r="AM154" s="244"/>
    </row>
    <row r="155" spans="1:39" ht="18" customHeight="1" outlineLevel="1" x14ac:dyDescent="0.15">
      <c r="A155" s="242">
        <f t="shared" si="2"/>
        <v>152</v>
      </c>
      <c r="B155" s="359"/>
      <c r="C155" s="79" t="s">
        <v>515</v>
      </c>
      <c r="D155" s="265"/>
      <c r="E155" s="358"/>
      <c r="F155" s="378"/>
      <c r="G155" s="242"/>
      <c r="H155" s="359"/>
      <c r="I155" s="79" t="s">
        <v>515</v>
      </c>
      <c r="J155" s="358"/>
      <c r="K155" s="358"/>
      <c r="L155" s="242"/>
      <c r="M155" s="359"/>
      <c r="N155" s="79" t="s">
        <v>515</v>
      </c>
      <c r="O155" s="378"/>
      <c r="P155" s="378"/>
      <c r="Q155" s="265"/>
      <c r="R155" s="265"/>
      <c r="S155" s="265"/>
      <c r="T155" s="265"/>
      <c r="U155" s="265"/>
      <c r="V155" s="265"/>
      <c r="W155" s="265"/>
      <c r="X155" s="265"/>
      <c r="Y155" s="265"/>
      <c r="Z155" s="265"/>
      <c r="AA155" s="265"/>
      <c r="AB155" s="265"/>
      <c r="AC155" s="265"/>
      <c r="AD155" s="265"/>
      <c r="AE155" s="265"/>
      <c r="AF155" s="265"/>
      <c r="AG155" s="265"/>
      <c r="AH155" s="265"/>
      <c r="AI155" s="265"/>
      <c r="AJ155" s="265"/>
      <c r="AK155" s="265"/>
      <c r="AL155" s="265"/>
      <c r="AM155" s="244"/>
    </row>
    <row r="156" spans="1:39" ht="18" customHeight="1" outlineLevel="2" x14ac:dyDescent="0.15">
      <c r="A156" s="242">
        <f t="shared" si="2"/>
        <v>153</v>
      </c>
      <c r="B156" s="359"/>
      <c r="C156" s="78" t="s">
        <v>516</v>
      </c>
      <c r="D156" s="265"/>
      <c r="E156" s="80">
        <f>IFERROR(E101/(E90+E77),0)</f>
        <v>0</v>
      </c>
      <c r="F156" s="80" t="e">
        <f>F101/(F90+F77)</f>
        <v>#DIV/0!</v>
      </c>
      <c r="G156" s="242"/>
      <c r="H156" s="359"/>
      <c r="I156" s="78" t="s">
        <v>516</v>
      </c>
      <c r="J156" s="80">
        <f>IFERROR(J101/(J90+J77),0)</f>
        <v>13.391760051279357</v>
      </c>
      <c r="K156" s="80">
        <f>IFERROR(K101/(K90+K77),0)</f>
        <v>13.391760051279357</v>
      </c>
      <c r="L156" s="242"/>
      <c r="M156" s="359"/>
      <c r="N156" s="78" t="s">
        <v>516</v>
      </c>
      <c r="O156" s="80" t="e">
        <f ca="1">O101/(O90+O77)</f>
        <v>#DIV/0!</v>
      </c>
      <c r="P156" s="80" t="e">
        <f ca="1">P101/(P90+P77)</f>
        <v>#DIV/0!</v>
      </c>
      <c r="Q156" s="265"/>
      <c r="R156" s="265"/>
      <c r="S156" s="265"/>
      <c r="T156" s="265"/>
      <c r="U156" s="265"/>
      <c r="V156" s="265"/>
      <c r="W156" s="265"/>
      <c r="X156" s="265"/>
      <c r="Y156" s="265"/>
      <c r="Z156" s="265"/>
      <c r="AA156" s="265"/>
      <c r="AB156" s="265"/>
      <c r="AC156" s="265"/>
      <c r="AD156" s="265"/>
      <c r="AE156" s="265"/>
      <c r="AF156" s="265"/>
      <c r="AG156" s="265"/>
      <c r="AH156" s="265"/>
      <c r="AI156" s="265"/>
      <c r="AJ156" s="265"/>
      <c r="AK156" s="265"/>
      <c r="AL156" s="265"/>
      <c r="AM156" s="244"/>
    </row>
    <row r="157" spans="1:39" ht="18" customHeight="1" outlineLevel="2" x14ac:dyDescent="0.15">
      <c r="A157" s="242">
        <f t="shared" si="2"/>
        <v>154</v>
      </c>
      <c r="B157" s="359"/>
      <c r="C157" s="78" t="s">
        <v>517</v>
      </c>
      <c r="D157" s="265"/>
      <c r="E157" s="80">
        <f>IFERROR((E114+E108)/(E90+E77),0)</f>
        <v>0</v>
      </c>
      <c r="F157" s="80" t="e">
        <f>(F114+F108)/(F90+F77)</f>
        <v>#DIV/0!</v>
      </c>
      <c r="G157" s="242"/>
      <c r="H157" s="359"/>
      <c r="I157" s="78" t="s">
        <v>517</v>
      </c>
      <c r="J157" s="80">
        <f>IFERROR((J114+J108)/(J90+J77),0)</f>
        <v>13.368812714323163</v>
      </c>
      <c r="K157" s="80">
        <f>IFERROR((K114+K108)/(K90+K77),0)</f>
        <v>13.368812714323163</v>
      </c>
      <c r="L157" s="242"/>
      <c r="M157" s="359"/>
      <c r="N157" s="78" t="s">
        <v>517</v>
      </c>
      <c r="O157" s="80" t="e">
        <f ca="1">(O114+O108)/(O90+O77)</f>
        <v>#DIV/0!</v>
      </c>
      <c r="P157" s="80" t="e">
        <f ca="1">(P114+P108)/(P90+P77)</f>
        <v>#DIV/0!</v>
      </c>
      <c r="Q157" s="265"/>
      <c r="R157" s="265"/>
      <c r="S157" s="265"/>
      <c r="T157" s="265"/>
      <c r="U157" s="265"/>
      <c r="V157" s="265"/>
      <c r="W157" s="265"/>
      <c r="X157" s="265"/>
      <c r="Y157" s="265"/>
      <c r="Z157" s="265"/>
      <c r="AA157" s="265"/>
      <c r="AB157" s="265"/>
      <c r="AC157" s="265"/>
      <c r="AD157" s="265"/>
      <c r="AE157" s="265"/>
      <c r="AF157" s="265"/>
      <c r="AG157" s="265"/>
      <c r="AH157" s="265"/>
      <c r="AI157" s="265"/>
      <c r="AJ157" s="265"/>
      <c r="AK157" s="265"/>
      <c r="AL157" s="265"/>
      <c r="AM157" s="244"/>
    </row>
    <row r="158" spans="1:39" ht="18" customHeight="1" outlineLevel="2" x14ac:dyDescent="0.15">
      <c r="A158" s="242">
        <f t="shared" si="2"/>
        <v>155</v>
      </c>
      <c r="B158" s="359"/>
      <c r="C158" s="78" t="s">
        <v>518</v>
      </c>
      <c r="D158" s="265"/>
      <c r="E158" s="80">
        <f>IFERROR((E114+E108)/E115,0)</f>
        <v>0</v>
      </c>
      <c r="F158" s="80" t="e">
        <f>(F114+F108)/F115</f>
        <v>#DIV/0!</v>
      </c>
      <c r="G158" s="242"/>
      <c r="H158" s="359"/>
      <c r="I158" s="78" t="s">
        <v>518</v>
      </c>
      <c r="J158" s="80">
        <f>IFERROR((J114+J108)/J115,0)</f>
        <v>0</v>
      </c>
      <c r="K158" s="80">
        <f>IFERROR((K114+K108)/K115,0)</f>
        <v>0</v>
      </c>
      <c r="L158" s="242"/>
      <c r="M158" s="359"/>
      <c r="N158" s="78" t="s">
        <v>518</v>
      </c>
      <c r="O158" s="80" t="e">
        <f>(O114+O108)/O115</f>
        <v>#DIV/0!</v>
      </c>
      <c r="P158" s="80" t="e">
        <f>(P114+P108)/P115</f>
        <v>#DIV/0!</v>
      </c>
      <c r="Q158" s="265"/>
      <c r="R158" s="265"/>
      <c r="S158" s="265"/>
      <c r="T158" s="265"/>
      <c r="U158" s="265"/>
      <c r="V158" s="265"/>
      <c r="W158" s="265"/>
      <c r="X158" s="265"/>
      <c r="Y158" s="265"/>
      <c r="Z158" s="265"/>
      <c r="AA158" s="265"/>
      <c r="AB158" s="265"/>
      <c r="AC158" s="265"/>
      <c r="AD158" s="265"/>
      <c r="AE158" s="265"/>
      <c r="AF158" s="265"/>
      <c r="AG158" s="265"/>
      <c r="AH158" s="265"/>
      <c r="AI158" s="265"/>
      <c r="AJ158" s="265"/>
      <c r="AK158" s="265"/>
      <c r="AL158" s="265"/>
      <c r="AM158" s="244"/>
    </row>
    <row r="159" spans="1:39" ht="18" customHeight="1" outlineLevel="2" x14ac:dyDescent="0.15">
      <c r="A159" s="242">
        <f t="shared" si="2"/>
        <v>156</v>
      </c>
      <c r="B159" s="359"/>
      <c r="C159" s="78" t="s">
        <v>519</v>
      </c>
      <c r="D159" s="265"/>
      <c r="E159" s="80">
        <f>IFERROR(E53/
((E101
+ IFERROR(HLOOKUP(E$1-1,Table_BCTC_Nam[],$A$101,0),$D$101)
)/2),0)</f>
        <v>0</v>
      </c>
      <c r="F159" s="219">
        <f>F53/
((F101
+  IFERROR(HLOOKUP(DATE(YEAR(F$1),MONTH(F$1)-1,1),Table_BCTC_Thang[],$A$101,0),
$D$101)
)/2)</f>
        <v>0</v>
      </c>
      <c r="G159" s="242"/>
      <c r="H159" s="359"/>
      <c r="I159" s="78" t="s">
        <v>519</v>
      </c>
      <c r="J159" s="80">
        <f>IFERROR(J53/
((J101
+ IFERROR(HLOOKUP(J$1-1,Table_BCTC_Nam[],$A$101,0),$D$101)
)/2),0)</f>
        <v>0</v>
      </c>
      <c r="K159" s="80">
        <f>IFERROR(K53/
((K101
+ IFERROR(HLOOKUP(K$1-1,Table_BCTC_Nam[],$A$101,0),$D$101)
)/2),0)</f>
        <v>0</v>
      </c>
      <c r="L159" s="242"/>
      <c r="M159" s="359"/>
      <c r="N159" s="78" t="s">
        <v>519</v>
      </c>
      <c r="O159" s="219">
        <f>O53/
((O101
+  IFERROR(HLOOKUP(DATE(YEAR(O$1),MONTH(O$1)-1,1),Table_BCTC_Thang[],$A$101,0),
$D$101)
)/2)</f>
        <v>0</v>
      </c>
      <c r="P159" s="219">
        <f>P53/
((P101
+  IFERROR(HLOOKUP(DATE(YEAR(P$1),MONTH(P$1)-1,1),Table_BCTC_Thang[],$A$101,0),
$D$101)
)/2)</f>
        <v>0</v>
      </c>
      <c r="Q159" s="265"/>
      <c r="R159" s="265"/>
      <c r="S159" s="265"/>
      <c r="T159" s="265"/>
      <c r="U159" s="265"/>
      <c r="V159" s="265"/>
      <c r="W159" s="265"/>
      <c r="X159" s="265"/>
      <c r="Y159" s="265"/>
      <c r="Z159" s="265"/>
      <c r="AA159" s="265"/>
      <c r="AB159" s="265"/>
      <c r="AC159" s="265"/>
      <c r="AD159" s="265"/>
      <c r="AE159" s="265"/>
      <c r="AF159" s="265"/>
      <c r="AG159" s="265"/>
      <c r="AH159" s="265"/>
      <c r="AI159" s="265"/>
      <c r="AJ159" s="265"/>
      <c r="AK159" s="265"/>
      <c r="AL159" s="265"/>
      <c r="AM159" s="244"/>
    </row>
    <row r="160" spans="1:39" ht="18" customHeight="1" outlineLevel="2" x14ac:dyDescent="0.15">
      <c r="A160" s="242">
        <f t="shared" si="2"/>
        <v>157</v>
      </c>
      <c r="B160" s="359"/>
      <c r="C160" s="78" t="s">
        <v>520</v>
      </c>
      <c r="D160" s="265"/>
      <c r="E160" s="80">
        <f>IFERROR(E53/
((E114+E108
+ IFERROR(HLOOKUP(E$1-1,Table_BCTC_Nam[],$A$114,0),$D$114)
+ IFERROR(HLOOKUP(E$1-1,Table_BCTC_Nam[],$A$108,0),$D$108)
)/2),0)</f>
        <v>0</v>
      </c>
      <c r="F160" s="80">
        <f>F53/
((F114+F108
+IFERROR(HLOOKUP(DATE(YEAR(F$1),MONTH(F$1)-1,1),Table_BCTC_Thang[],$A$114,0),
$D$114)
+IFERROR(HLOOKUP(DATE(YEAR(F$1),MONTH(F$1)-1,1),Table_BCTC_Thang[],$A$108,0),
$D$108)
)/2)</f>
        <v>0</v>
      </c>
      <c r="G160" s="242"/>
      <c r="H160" s="359"/>
      <c r="I160" s="78" t="s">
        <v>520</v>
      </c>
      <c r="J160" s="80">
        <f>IFERROR(J53/
((J114+J108
+ IFERROR(HLOOKUP(J$1-1,Table_BCTC_Nam[],$A$114,0),$D$114)
+ IFERROR(HLOOKUP(J$1-1,Table_BCTC_Nam[],$A$108,0),$D$108)
)/2),0)</f>
        <v>0</v>
      </c>
      <c r="K160" s="80">
        <f>IFERROR(K53/
((K114+K108
+ IFERROR(HLOOKUP(K$1-1,Table_BCTC_Nam[],$A$114,0),$D$114)
+ IFERROR(HLOOKUP(K$1-1,Table_BCTC_Nam[],$A$108,0),$D$108)
)/2),0)</f>
        <v>0</v>
      </c>
      <c r="L160" s="242"/>
      <c r="M160" s="359"/>
      <c r="N160" s="78" t="s">
        <v>520</v>
      </c>
      <c r="O160" s="80">
        <f>O53/
((O114+O108
+IFERROR(HLOOKUP(DATE(YEAR(O$1),MONTH(O$1)-1,1),Table_BCTC_Thang[],$A$114,0),
$D$114)
+IFERROR(HLOOKUP(DATE(YEAR(O$1),MONTH(O$1)-1,1),Table_BCTC_Thang[],$A$108,0),
$D$108)
)/2)</f>
        <v>0</v>
      </c>
      <c r="P160" s="80">
        <f>P53/
((P114+P108
+IFERROR(HLOOKUP(DATE(YEAR(P$1),MONTH(P$1)-1,1),Table_BCTC_Thang[],$A$114,0),
$D$114)
+IFERROR(HLOOKUP(DATE(YEAR(P$1),MONTH(P$1)-1,1),Table_BCTC_Thang[],$A$108,0),
$D$108)
)/2)</f>
        <v>0</v>
      </c>
      <c r="Q160" s="265"/>
      <c r="R160" s="265"/>
      <c r="S160" s="265"/>
      <c r="T160" s="265"/>
      <c r="U160" s="265"/>
      <c r="V160" s="265"/>
      <c r="W160" s="265"/>
      <c r="X160" s="265"/>
      <c r="Y160" s="265"/>
      <c r="Z160" s="265"/>
      <c r="AA160" s="265"/>
      <c r="AB160" s="265"/>
      <c r="AC160" s="265"/>
      <c r="AD160" s="265"/>
      <c r="AE160" s="265"/>
      <c r="AF160" s="265"/>
      <c r="AG160" s="265"/>
      <c r="AH160" s="265"/>
      <c r="AI160" s="265"/>
      <c r="AJ160" s="265"/>
      <c r="AK160" s="265"/>
      <c r="AL160" s="265"/>
      <c r="AM160" s="244"/>
    </row>
    <row r="161" spans="1:39" ht="18" customHeight="1" outlineLevel="1" x14ac:dyDescent="0.15">
      <c r="A161" s="242">
        <f t="shared" si="2"/>
        <v>158</v>
      </c>
      <c r="B161" s="359"/>
      <c r="C161" s="82" t="s">
        <v>521</v>
      </c>
      <c r="D161" s="265"/>
      <c r="E161" s="312"/>
      <c r="F161" s="242"/>
      <c r="G161" s="242"/>
      <c r="H161" s="359"/>
      <c r="I161" s="82" t="s">
        <v>521</v>
      </c>
      <c r="J161" s="312"/>
      <c r="K161" s="312"/>
      <c r="L161" s="242"/>
      <c r="M161" s="359"/>
      <c r="N161" s="82" t="s">
        <v>521</v>
      </c>
      <c r="O161" s="242"/>
      <c r="P161" s="242"/>
      <c r="Q161" s="265"/>
      <c r="R161" s="265"/>
      <c r="S161" s="265"/>
      <c r="T161" s="265"/>
      <c r="U161" s="265"/>
      <c r="V161" s="265"/>
      <c r="W161" s="265"/>
      <c r="X161" s="265"/>
      <c r="Y161" s="265"/>
      <c r="Z161" s="265"/>
      <c r="AA161" s="265"/>
      <c r="AB161" s="265"/>
      <c r="AC161" s="265"/>
      <c r="AD161" s="265"/>
      <c r="AE161" s="265"/>
      <c r="AF161" s="265"/>
      <c r="AG161" s="265"/>
      <c r="AH161" s="265"/>
      <c r="AI161" s="265"/>
      <c r="AJ161" s="265"/>
      <c r="AK161" s="265"/>
      <c r="AL161" s="265"/>
      <c r="AM161" s="244"/>
    </row>
    <row r="162" spans="1:39" ht="18" customHeight="1" outlineLevel="2" x14ac:dyDescent="0.15">
      <c r="A162" s="242">
        <f t="shared" si="2"/>
        <v>159</v>
      </c>
      <c r="B162" s="359"/>
      <c r="C162" s="78" t="s">
        <v>522</v>
      </c>
      <c r="D162" s="265"/>
      <c r="E162" s="80">
        <f xml:space="preserve">
IFERROR(E6/
HLOOKUP(
E$1 -1,Table_BCTC_Nam[],$A$6,0)-1,
0)</f>
        <v>0</v>
      </c>
      <c r="F162" s="80">
        <f xml:space="preserve">
IFERROR(
F6/
HLOOKUP(DATE(YEAR(F$1),MONTH(F$1)-1,1),Table_BCTC_Thang[],$A$6,0)
-1,
0)</f>
        <v>0</v>
      </c>
      <c r="G162" s="242"/>
      <c r="H162" s="359"/>
      <c r="I162" s="78" t="s">
        <v>522</v>
      </c>
      <c r="J162" s="80">
        <f xml:space="preserve">
IFERROR(J6/
HLOOKUP(
J$1 -1,Table_BCTC_Nam[],$A$6,0)-1,
0)</f>
        <v>0</v>
      </c>
      <c r="K162" s="80">
        <f xml:space="preserve">
IFERROR(K6/
HLOOKUP(
K$1 -1,Table_BCTC_Nam[],$A$6,0)-1,
0)</f>
        <v>0</v>
      </c>
      <c r="L162" s="242"/>
      <c r="M162" s="359"/>
      <c r="N162" s="78" t="s">
        <v>522</v>
      </c>
      <c r="O162" s="80">
        <f xml:space="preserve">
IFERROR(
O6/
HLOOKUP(DATE(YEAR(O$1),MONTH(O$1)-1,1),Table_BCTC_Thang[],$A$6,0)
-1,
0)</f>
        <v>0</v>
      </c>
      <c r="P162" s="80">
        <f xml:space="preserve">
IFERROR(
P6/
HLOOKUP(DATE(YEAR(P$1),MONTH(P$1)-1,1),Table_BCTC_Thang[],$A$6,0)
-1,
0)</f>
        <v>0</v>
      </c>
      <c r="Q162" s="265"/>
      <c r="R162" s="265"/>
      <c r="S162" s="265"/>
      <c r="T162" s="265"/>
      <c r="U162" s="265"/>
      <c r="V162" s="265"/>
      <c r="W162" s="265"/>
      <c r="X162" s="265"/>
      <c r="Y162" s="265"/>
      <c r="Z162" s="265"/>
      <c r="AA162" s="265"/>
      <c r="AB162" s="265"/>
      <c r="AC162" s="265"/>
      <c r="AD162" s="265"/>
      <c r="AE162" s="265"/>
      <c r="AF162" s="265"/>
      <c r="AG162" s="265"/>
      <c r="AH162" s="265"/>
      <c r="AI162" s="265"/>
      <c r="AJ162" s="265"/>
      <c r="AK162" s="265"/>
      <c r="AL162" s="265"/>
      <c r="AM162" s="244"/>
    </row>
    <row r="163" spans="1:39" ht="18" customHeight="1" outlineLevel="2" x14ac:dyDescent="0.15">
      <c r="A163" s="242">
        <f t="shared" si="2"/>
        <v>160</v>
      </c>
      <c r="B163" s="359"/>
      <c r="C163" s="78" t="s">
        <v>523</v>
      </c>
      <c r="D163" s="265"/>
      <c r="E163" s="80">
        <f xml:space="preserve">
IFERROR(E11/
HLOOKUP(
E$1 -1,Table_BCTC_Nam[],$A$11,0)-1,
0)</f>
        <v>0</v>
      </c>
      <c r="F163" s="80">
        <f xml:space="preserve">
IFERROR(
F11/
HLOOKUP(DATE(YEAR(F$1),MONTH(F$1)-1,1),Table_BCTC_Thang[],$A$11,0)-1,
0)</f>
        <v>0</v>
      </c>
      <c r="G163" s="242"/>
      <c r="H163" s="359"/>
      <c r="I163" s="78" t="s">
        <v>523</v>
      </c>
      <c r="J163" s="80">
        <f xml:space="preserve">
IFERROR(J11/
HLOOKUP(
J$1 -1,Table_BCTC_Nam[],$A$11,0)-1,
0)</f>
        <v>0</v>
      </c>
      <c r="K163" s="80">
        <f xml:space="preserve">
IFERROR(K11/
HLOOKUP(
K$1 -1,Table_BCTC_Nam[],$A$11,0)-1,
0)</f>
        <v>0</v>
      </c>
      <c r="L163" s="242"/>
      <c r="M163" s="359"/>
      <c r="N163" s="78" t="s">
        <v>523</v>
      </c>
      <c r="O163" s="80">
        <f xml:space="preserve">
IFERROR(
O11/
HLOOKUP(DATE(YEAR(O$1),MONTH(O$1)-1,1),Table_BCTC_Thang[],$A$11,0)-1,
0)</f>
        <v>0</v>
      </c>
      <c r="P163" s="80">
        <f xml:space="preserve">
IFERROR(
P11/
HLOOKUP(DATE(YEAR(P$1),MONTH(P$1)-1,1),Table_BCTC_Thang[],$A$11,0)-1,
0)</f>
        <v>0</v>
      </c>
      <c r="Q163" s="265"/>
      <c r="R163" s="265"/>
      <c r="S163" s="265"/>
      <c r="T163" s="265"/>
      <c r="U163" s="265"/>
      <c r="V163" s="265"/>
      <c r="W163" s="265"/>
      <c r="X163" s="265"/>
      <c r="Y163" s="265"/>
      <c r="Z163" s="265"/>
      <c r="AA163" s="265"/>
      <c r="AB163" s="265"/>
      <c r="AC163" s="265"/>
      <c r="AD163" s="265"/>
      <c r="AE163" s="265"/>
      <c r="AF163" s="265"/>
      <c r="AG163" s="265"/>
      <c r="AH163" s="265"/>
      <c r="AI163" s="265"/>
      <c r="AJ163" s="265"/>
      <c r="AK163" s="265"/>
      <c r="AL163" s="265"/>
      <c r="AM163" s="244"/>
    </row>
    <row r="164" spans="1:39" ht="18" customHeight="1" outlineLevel="2" x14ac:dyDescent="0.15">
      <c r="A164" s="242">
        <f t="shared" si="2"/>
        <v>161</v>
      </c>
      <c r="B164" s="359"/>
      <c r="C164" s="78" t="s">
        <v>524</v>
      </c>
      <c r="D164" s="265"/>
      <c r="E164" s="80">
        <f xml:space="preserve">
IFERROR(E20/
HLOOKUP(
E$1 -1,Table_BCTC_Nam[],$A$20,0)-1,
0)</f>
        <v>0</v>
      </c>
      <c r="F164" s="80">
        <f xml:space="preserve">
IFERROR(
F20/
HLOOKUP(DATE(YEAR(F$1),MONTH(F$1)-1,1),Table_BCTC_Thang[],$A$20,0)-1,
0)</f>
        <v>0</v>
      </c>
      <c r="G164" s="242"/>
      <c r="H164" s="359"/>
      <c r="I164" s="78" t="s">
        <v>524</v>
      </c>
      <c r="J164" s="80">
        <f xml:space="preserve">
IFERROR(J20/
HLOOKUP(
J$1 -1,Table_BCTC_Nam[],$A$20,0)-1,
0)</f>
        <v>0</v>
      </c>
      <c r="K164" s="80">
        <f xml:space="preserve">
IFERROR(K20/
HLOOKUP(
K$1 -1,Table_BCTC_Nam[],$A$20,0)-1,
0)</f>
        <v>0</v>
      </c>
      <c r="L164" s="242"/>
      <c r="M164" s="359"/>
      <c r="N164" s="78" t="s">
        <v>524</v>
      </c>
      <c r="O164" s="80">
        <f xml:space="preserve">
IFERROR(
O20/
HLOOKUP(DATE(YEAR(O$1),MONTH(O$1)-1,1),Table_BCTC_Thang[],$A$20,0)-1,
0)</f>
        <v>0</v>
      </c>
      <c r="P164" s="80">
        <f xml:space="preserve">
IFERROR(
P20/
HLOOKUP(DATE(YEAR(P$1),MONTH(P$1)-1,1),Table_BCTC_Thang[],$A$20,0)-1,
0)</f>
        <v>0</v>
      </c>
      <c r="Q164" s="265"/>
      <c r="R164" s="265"/>
      <c r="S164" s="265"/>
      <c r="T164" s="265"/>
      <c r="U164" s="265"/>
      <c r="V164" s="265"/>
      <c r="W164" s="265"/>
      <c r="X164" s="265"/>
      <c r="Y164" s="265"/>
      <c r="Z164" s="265"/>
      <c r="AA164" s="265"/>
      <c r="AB164" s="265"/>
      <c r="AC164" s="265"/>
      <c r="AD164" s="265"/>
      <c r="AE164" s="265"/>
      <c r="AF164" s="265"/>
      <c r="AG164" s="265"/>
      <c r="AH164" s="265"/>
      <c r="AI164" s="265"/>
      <c r="AJ164" s="265"/>
      <c r="AK164" s="265"/>
      <c r="AL164" s="265"/>
      <c r="AM164" s="244"/>
    </row>
    <row r="165" spans="1:39" ht="18" customHeight="1" outlineLevel="2" x14ac:dyDescent="0.15">
      <c r="A165" s="242">
        <f t="shared" si="2"/>
        <v>162</v>
      </c>
      <c r="B165" s="359"/>
      <c r="C165" s="78" t="s">
        <v>525</v>
      </c>
      <c r="D165" s="265"/>
      <c r="E165" s="80">
        <f xml:space="preserve">
IFERROR(E40/
HLOOKUP(
E$1 -1,Table_BCTC_Nam[],$A$40,0)-1,
0)</f>
        <v>0</v>
      </c>
      <c r="F165" s="80">
        <f xml:space="preserve">
IFERROR(
F40/
HLOOKUP(DATE(YEAR(F$1),MONTH(F$1)-1,1),Table_BCTC_Thang[],$A$40,0)-1,
0)</f>
        <v>0</v>
      </c>
      <c r="G165" s="242"/>
      <c r="H165" s="359"/>
      <c r="I165" s="78" t="s">
        <v>525</v>
      </c>
      <c r="J165" s="80">
        <f xml:space="preserve">
IFERROR(J40/
HLOOKUP(
J$1 -1,Table_BCTC_Nam[],$A$40,0)-1,
0)</f>
        <v>0</v>
      </c>
      <c r="K165" s="80">
        <f xml:space="preserve">
IFERROR(K40/
HLOOKUP(
K$1 -1,Table_BCTC_Nam[],$A$40,0)-1,
0)</f>
        <v>0</v>
      </c>
      <c r="L165" s="242"/>
      <c r="M165" s="359"/>
      <c r="N165" s="78" t="s">
        <v>525</v>
      </c>
      <c r="O165" s="80">
        <f xml:space="preserve">
IFERROR(
O40/
HLOOKUP(DATE(YEAR(O$1),MONTH(O$1)-1,1),Table_BCTC_Thang[],$A$40,0)-1,
0)</f>
        <v>0</v>
      </c>
      <c r="P165" s="80">
        <f xml:space="preserve">
IFERROR(
P40/
HLOOKUP(DATE(YEAR(P$1),MONTH(P$1)-1,1),Table_BCTC_Thang[],$A$40,0)-1,
0)</f>
        <v>0</v>
      </c>
      <c r="Q165" s="265"/>
      <c r="R165" s="265"/>
      <c r="S165" s="265"/>
      <c r="T165" s="265"/>
      <c r="U165" s="265"/>
      <c r="V165" s="265"/>
      <c r="W165" s="265"/>
      <c r="X165" s="265"/>
      <c r="Y165" s="265"/>
      <c r="Z165" s="265"/>
      <c r="AA165" s="265"/>
      <c r="AB165" s="265"/>
      <c r="AC165" s="265"/>
      <c r="AD165" s="265"/>
      <c r="AE165" s="265"/>
      <c r="AF165" s="265"/>
      <c r="AG165" s="265"/>
      <c r="AH165" s="265"/>
      <c r="AI165" s="265"/>
      <c r="AJ165" s="265"/>
      <c r="AK165" s="265"/>
      <c r="AL165" s="265"/>
      <c r="AM165" s="244"/>
    </row>
    <row r="166" spans="1:39" ht="18" customHeight="1" outlineLevel="2" x14ac:dyDescent="0.15">
      <c r="A166" s="242">
        <f t="shared" si="2"/>
        <v>163</v>
      </c>
      <c r="B166" s="359"/>
      <c r="C166" s="78" t="s">
        <v>526</v>
      </c>
      <c r="D166" s="265"/>
      <c r="E166" s="80">
        <f xml:space="preserve">
IFERROR(E50/
HLOOKUP(
E$1 -1,Table_BCTC_Nam[],$A$50,0)-1,
0)</f>
        <v>0</v>
      </c>
      <c r="F166" s="80">
        <f xml:space="preserve">
IFERROR(
F50/
HLOOKUP(DATE(YEAR(F$1),MONTH(F$1)-1,1),Table_BCTC_Thang[],$A$50,0)-1,
0)</f>
        <v>0</v>
      </c>
      <c r="G166" s="242"/>
      <c r="H166" s="359"/>
      <c r="I166" s="78" t="s">
        <v>526</v>
      </c>
      <c r="J166" s="80">
        <f xml:space="preserve">
IFERROR(J50/
HLOOKUP(
J$1 -1,Table_BCTC_Nam[],$A$50,0)-1,
0)</f>
        <v>0</v>
      </c>
      <c r="K166" s="80">
        <f xml:space="preserve">
IFERROR(K50/
HLOOKUP(
K$1 -1,Table_BCTC_Nam[],$A$50,0)-1,
0)</f>
        <v>0</v>
      </c>
      <c r="L166" s="242"/>
      <c r="M166" s="359"/>
      <c r="N166" s="78" t="s">
        <v>526</v>
      </c>
      <c r="O166" s="80">
        <f xml:space="preserve">
IFERROR(
O50/
HLOOKUP(DATE(YEAR(O$1),MONTH(O$1)-1,1),Table_BCTC_Thang[],$A$50,0)-1,
0)</f>
        <v>0</v>
      </c>
      <c r="P166" s="80">
        <f xml:space="preserve">
IFERROR(
P50/
HLOOKUP(DATE(YEAR(P$1),MONTH(P$1)-1,1),Table_BCTC_Thang[],$A$50,0)-1,
0)</f>
        <v>0</v>
      </c>
      <c r="Q166" s="265"/>
      <c r="R166" s="265"/>
      <c r="S166" s="265"/>
      <c r="T166" s="265"/>
      <c r="U166" s="265"/>
      <c r="V166" s="265"/>
      <c r="W166" s="265"/>
      <c r="X166" s="265"/>
      <c r="Y166" s="265"/>
      <c r="Z166" s="265"/>
      <c r="AA166" s="265"/>
      <c r="AB166" s="265"/>
      <c r="AC166" s="265"/>
      <c r="AD166" s="265"/>
      <c r="AE166" s="265"/>
      <c r="AF166" s="265"/>
      <c r="AG166" s="265"/>
      <c r="AH166" s="265"/>
      <c r="AI166" s="265"/>
      <c r="AJ166" s="265"/>
      <c r="AK166" s="265"/>
      <c r="AL166" s="265"/>
      <c r="AM166" s="244"/>
    </row>
    <row r="167" spans="1:39" ht="18" customHeight="1" outlineLevel="2" x14ac:dyDescent="0.15">
      <c r="A167" s="242">
        <f t="shared" si="2"/>
        <v>164</v>
      </c>
      <c r="B167" s="359"/>
      <c r="C167" s="78" t="s">
        <v>527</v>
      </c>
      <c r="D167" s="265"/>
      <c r="E167" s="80">
        <f xml:space="preserve">
IFERROR(E53/
HLOOKUP(
E$1 -1,Table_BCTC_Nam[],$A$53,0)-1,
0)</f>
        <v>0</v>
      </c>
      <c r="F167" s="80">
        <f xml:space="preserve">
IFERROR(F53/
HLOOKUP(DATE(YEAR(F$1),MONTH(F$1)-1,1),Table_BCTC_Thang[],$A$53,0)-1,
0)</f>
        <v>0</v>
      </c>
      <c r="G167" s="244"/>
      <c r="H167" s="359"/>
      <c r="I167" s="78" t="s">
        <v>527</v>
      </c>
      <c r="J167" s="80">
        <f xml:space="preserve">
IFERROR(J53/
HLOOKUP(
J$1 -1,Table_BCTC_Nam[],$A$53,0)-1,
0)</f>
        <v>0</v>
      </c>
      <c r="K167" s="80">
        <f xml:space="preserve">
IFERROR(K53/
HLOOKUP(
K$1 -1,Table_BCTC_Nam[],$A$53,0)-1,
0)</f>
        <v>0</v>
      </c>
      <c r="L167" s="244"/>
      <c r="M167" s="359"/>
      <c r="N167" s="78" t="s">
        <v>527</v>
      </c>
      <c r="O167" s="80">
        <f xml:space="preserve">
IFERROR(O53/
HLOOKUP(DATE(YEAR(O$1),MONTH(O$1)-1,1),Table_BCTC_Thang[],$A$53,0)-1,
0)</f>
        <v>0</v>
      </c>
      <c r="P167" s="80">
        <f xml:space="preserve">
IFERROR(P53/
HLOOKUP(DATE(YEAR(P$1),MONTH(P$1)-1,1),Table_BCTC_Thang[],$A$53,0)-1,
0)</f>
        <v>0</v>
      </c>
      <c r="Q167" s="265"/>
      <c r="R167" s="265"/>
      <c r="S167" s="265"/>
      <c r="T167" s="265"/>
      <c r="U167" s="265"/>
      <c r="V167" s="265"/>
      <c r="W167" s="265"/>
      <c r="X167" s="265"/>
      <c r="Y167" s="265"/>
      <c r="Z167" s="265"/>
      <c r="AA167" s="265"/>
      <c r="AB167" s="265"/>
      <c r="AC167" s="265"/>
      <c r="AD167" s="265"/>
      <c r="AE167" s="265"/>
      <c r="AF167" s="265"/>
      <c r="AG167" s="265"/>
      <c r="AH167" s="265"/>
      <c r="AI167" s="265"/>
      <c r="AJ167" s="265"/>
      <c r="AK167" s="265"/>
      <c r="AL167" s="265"/>
      <c r="AM167" s="244"/>
    </row>
    <row r="168" spans="1:39" ht="18" customHeight="1" outlineLevel="2" x14ac:dyDescent="0.15">
      <c r="A168" s="242">
        <f t="shared" si="2"/>
        <v>165</v>
      </c>
      <c r="B168" s="359"/>
      <c r="C168" s="78" t="s">
        <v>528</v>
      </c>
      <c r="D168" s="265"/>
      <c r="E168" s="80">
        <f xml:space="preserve">
IFERROR(E74/
HLOOKUP(
E$1 -1,Table_BCTC_Nam[],$A$74,0)-1,
0)</f>
        <v>0</v>
      </c>
      <c r="F168" s="80">
        <f xml:space="preserve">
IFERROR(F74/
HLOOKUP(DATE(YEAR(F$1),MONTH(F$1)-1,1),Table_BCTC_Thang[],$A$74,0)-1,
0)</f>
        <v>0</v>
      </c>
      <c r="G168" s="244"/>
      <c r="H168" s="359"/>
      <c r="I168" s="78" t="s">
        <v>528</v>
      </c>
      <c r="J168" s="80">
        <f xml:space="preserve">
IFERROR(J74/
HLOOKUP(
J$1 -1,Table_BCTC_Nam[],$A$74,0)-1,
0)</f>
        <v>0</v>
      </c>
      <c r="K168" s="80">
        <f xml:space="preserve">
IFERROR(K74/
HLOOKUP(
K$1 -1,Table_BCTC_Nam[],$A$74,0)-1,
0)</f>
        <v>0</v>
      </c>
      <c r="L168" s="244"/>
      <c r="M168" s="359"/>
      <c r="N168" s="78" t="s">
        <v>528</v>
      </c>
      <c r="O168" s="80">
        <f xml:space="preserve">
IFERROR(O74/
HLOOKUP(DATE(YEAR(O$1),MONTH(O$1)-1,1),Table_BCTC_Thang[],$A$74,0)-1,
0)</f>
        <v>0</v>
      </c>
      <c r="P168" s="80">
        <f xml:space="preserve">
IFERROR(P74/
HLOOKUP(DATE(YEAR(P$1),MONTH(P$1)-1,1),Table_BCTC_Thang[],$A$74,0)-1,
0)</f>
        <v>0</v>
      </c>
      <c r="Q168" s="265"/>
      <c r="R168" s="265"/>
      <c r="S168" s="265"/>
      <c r="T168" s="265"/>
      <c r="U168" s="265"/>
      <c r="V168" s="265"/>
      <c r="W168" s="265"/>
      <c r="X168" s="265"/>
      <c r="Y168" s="265"/>
      <c r="Z168" s="265"/>
      <c r="AA168" s="265"/>
      <c r="AB168" s="265"/>
      <c r="AC168" s="265"/>
      <c r="AD168" s="265"/>
      <c r="AE168" s="265"/>
      <c r="AF168" s="265"/>
      <c r="AG168" s="265"/>
      <c r="AH168" s="265"/>
      <c r="AI168" s="265"/>
      <c r="AJ168" s="265"/>
      <c r="AK168" s="265"/>
      <c r="AL168" s="265"/>
      <c r="AM168" s="244"/>
    </row>
    <row r="169" spans="1:39" ht="18" customHeight="1" outlineLevel="2" x14ac:dyDescent="0.15">
      <c r="A169" s="242">
        <f t="shared" si="2"/>
        <v>166</v>
      </c>
      <c r="B169" s="359"/>
      <c r="C169" s="78" t="s">
        <v>529</v>
      </c>
      <c r="D169" s="265"/>
      <c r="E169" s="80">
        <f xml:space="preserve">
IFERROR(
(E77+E90)/
(HLOOKUP(E$1 -1,Table_BCTC_Nam[],$A$77,$D$77)
+ HLOOKUP(E$1 -1,Table_BCTC_Nam[],$A$90,$D$90))-1, 0)</f>
        <v>0</v>
      </c>
      <c r="F169" s="80">
        <f xml:space="preserve">
IFERROR(
(F77+F90)/
(
IFERROR(HLOOKUP(DATE(YEAR(F$1),MONTH(F$1)-1,1),Table_BCTC_Thang[],$A$77,0),
$D$77)
+ IFERROR(HLOOKUP(DATE(YEAR(F$1),MONTH(F$1)-1,1),Table_BCTC_Thang[],$A$90,0),
$D$90)
)-1,0)</f>
        <v>-1</v>
      </c>
      <c r="G169" s="244"/>
      <c r="H169" s="359"/>
      <c r="I169" s="78" t="s">
        <v>529</v>
      </c>
      <c r="J169" s="80">
        <f xml:space="preserve">
IFERROR(
(J77+J90)/
(HLOOKUP(J$1 -1,Table_BCTC_Nam[],$A$77,$D$77)
+ HLOOKUP(J$1 -1,Table_BCTC_Nam[],$A$90,$D$90))-1, 0)</f>
        <v>0</v>
      </c>
      <c r="K169" s="80">
        <f xml:space="preserve">
IFERROR(
(K77+K90)/
(HLOOKUP(K$1 -1,Table_BCTC_Nam[],$A$77,$D$77)
+ HLOOKUP(K$1 -1,Table_BCTC_Nam[],$A$90,$D$90))-1, 0)</f>
        <v>0</v>
      </c>
      <c r="L169" s="244"/>
      <c r="M169" s="359"/>
      <c r="N169" s="78" t="s">
        <v>529</v>
      </c>
      <c r="O169" s="80">
        <f ca="1" xml:space="preserve">
IFERROR(
(O77+O90)/
(
IFERROR(HLOOKUP(DATE(YEAR(O$1),MONTH(O$1)-1,1),Table_BCTC_Thang[],$A$77,0),
$D$77)
+ IFERROR(HLOOKUP(DATE(YEAR(O$1),MONTH(O$1)-1,1),Table_BCTC_Thang[],$A$90,0),
$D$90)
)-1,0)</f>
        <v>-1</v>
      </c>
      <c r="P169" s="80">
        <f ca="1" xml:space="preserve">
IFERROR(
(P77+P90)/
(
IFERROR(HLOOKUP(DATE(YEAR(P$1),MONTH(P$1)-1,1),Table_BCTC_Thang[],$A$77,0),
$D$77)
+ IFERROR(HLOOKUP(DATE(YEAR(P$1),MONTH(P$1)-1,1),Table_BCTC_Thang[],$A$90,0),
$D$90)
)-1,0)</f>
        <v>-1</v>
      </c>
      <c r="Q169" s="265"/>
      <c r="R169" s="265"/>
      <c r="S169" s="265"/>
      <c r="T169" s="265"/>
      <c r="U169" s="265"/>
      <c r="V169" s="265"/>
      <c r="W169" s="265"/>
      <c r="X169" s="265"/>
      <c r="Y169" s="265"/>
      <c r="Z169" s="265"/>
      <c r="AA169" s="265"/>
      <c r="AB169" s="265"/>
      <c r="AC169" s="265"/>
      <c r="AD169" s="265"/>
      <c r="AE169" s="265"/>
      <c r="AF169" s="265"/>
      <c r="AG169" s="265"/>
      <c r="AH169" s="265"/>
      <c r="AI169" s="265"/>
      <c r="AJ169" s="265"/>
      <c r="AK169" s="265"/>
      <c r="AL169" s="265"/>
      <c r="AM169" s="244"/>
    </row>
    <row r="170" spans="1:39" ht="18" customHeight="1" outlineLevel="2" x14ac:dyDescent="0.15">
      <c r="A170" s="242">
        <f t="shared" si="2"/>
        <v>167</v>
      </c>
      <c r="B170" s="359"/>
      <c r="C170" s="78" t="s">
        <v>530</v>
      </c>
      <c r="D170" s="265"/>
      <c r="E170" s="80">
        <f xml:space="preserve">
IFERROR(
E115/
+ HLOOKUP(E$1 -1,Table_BCTC_Nam[],$A$115,$D$115)-1, 0)</f>
        <v>0</v>
      </c>
      <c r="F170" s="80">
        <f xml:space="preserve">
IFERROR(F115/
IFERROR(HLOOKUP(DATE(YEAR(F$1),MONTH(F$1)-1,1),Table_BCTC_Thang[],$A$115,0),
$D$115)-1,0)</f>
        <v>0</v>
      </c>
      <c r="G170" s="244"/>
      <c r="H170" s="359"/>
      <c r="I170" s="78" t="s">
        <v>530</v>
      </c>
      <c r="J170" s="80">
        <f xml:space="preserve">
IFERROR(
J115/
+ HLOOKUP(J$1 -1,Table_BCTC_Nam[],$A$115,$D$115)-1, 0)</f>
        <v>0</v>
      </c>
      <c r="K170" s="80">
        <f xml:space="preserve">
IFERROR(
K115/
+ HLOOKUP(K$1 -1,Table_BCTC_Nam[],$A$115,$D$115)-1, 0)</f>
        <v>0</v>
      </c>
      <c r="L170" s="244"/>
      <c r="M170" s="359"/>
      <c r="N170" s="78" t="s">
        <v>530</v>
      </c>
      <c r="O170" s="80">
        <f xml:space="preserve">
IFERROR(O115/
IFERROR(HLOOKUP(DATE(YEAR(O$1),MONTH(O$1)-1,1),Table_BCTC_Thang[],$A$115,0),
$D$115)-1,0)</f>
        <v>0</v>
      </c>
      <c r="P170" s="80">
        <f xml:space="preserve">
IFERROR(P115/
IFERROR(HLOOKUP(DATE(YEAR(P$1),MONTH(P$1)-1,1),Table_BCTC_Thang[],$A$115,0),
$D$115)-1,0)</f>
        <v>0</v>
      </c>
      <c r="Q170" s="265"/>
      <c r="R170" s="265"/>
      <c r="S170" s="265"/>
      <c r="T170" s="265"/>
      <c r="U170" s="265"/>
      <c r="V170" s="265"/>
      <c r="W170" s="265"/>
      <c r="X170" s="265"/>
      <c r="Y170" s="265"/>
      <c r="Z170" s="265"/>
      <c r="AA170" s="265"/>
      <c r="AB170" s="265"/>
      <c r="AC170" s="265"/>
      <c r="AD170" s="265"/>
      <c r="AE170" s="265"/>
      <c r="AF170" s="265"/>
      <c r="AG170" s="265"/>
      <c r="AH170" s="265"/>
      <c r="AI170" s="265"/>
      <c r="AJ170" s="265"/>
      <c r="AK170" s="265"/>
      <c r="AL170" s="265"/>
      <c r="AM170" s="244"/>
    </row>
    <row r="171" spans="1:39" ht="18" customHeight="1" x14ac:dyDescent="0.15">
      <c r="A171" s="242"/>
      <c r="B171" s="244"/>
      <c r="C171" s="242"/>
      <c r="D171" s="265"/>
      <c r="E171" s="244"/>
      <c r="F171" s="244"/>
      <c r="G171" s="244"/>
      <c r="H171" s="242"/>
      <c r="I171" s="265"/>
      <c r="J171" s="265"/>
      <c r="K171" s="265"/>
      <c r="L171" s="244"/>
      <c r="M171" s="244"/>
      <c r="N171" s="242"/>
      <c r="O171" s="242"/>
      <c r="P171" s="242"/>
      <c r="Q171" s="265"/>
      <c r="R171" s="265"/>
      <c r="S171" s="265"/>
      <c r="T171" s="265"/>
      <c r="U171" s="265"/>
      <c r="V171" s="265"/>
      <c r="W171" s="265"/>
      <c r="X171" s="265"/>
      <c r="Y171" s="265"/>
      <c r="Z171" s="265"/>
      <c r="AA171" s="265"/>
      <c r="AB171" s="265"/>
      <c r="AC171" s="265"/>
      <c r="AD171" s="265"/>
      <c r="AE171" s="265"/>
      <c r="AF171" s="265"/>
      <c r="AG171" s="265"/>
      <c r="AH171" s="265"/>
      <c r="AI171" s="265"/>
      <c r="AJ171" s="265"/>
      <c r="AK171" s="265"/>
      <c r="AL171" s="265"/>
      <c r="AM171" s="244"/>
    </row>
    <row r="172" spans="1:39" ht="18" customHeight="1" x14ac:dyDescent="0.15">
      <c r="A172" s="242"/>
      <c r="B172" s="244"/>
      <c r="C172" s="242"/>
      <c r="D172" s="265"/>
      <c r="E172" s="244"/>
      <c r="F172" s="244"/>
      <c r="G172" s="244"/>
      <c r="H172" s="242"/>
      <c r="I172" s="242"/>
      <c r="J172" s="242"/>
      <c r="K172" s="242"/>
      <c r="L172" s="244"/>
      <c r="M172" s="242"/>
      <c r="N172" s="265"/>
      <c r="O172" s="265"/>
      <c r="P172" s="265"/>
      <c r="Q172" s="265"/>
      <c r="R172" s="265"/>
      <c r="S172" s="265"/>
      <c r="T172" s="265"/>
      <c r="U172" s="265"/>
      <c r="V172" s="265"/>
      <c r="W172" s="265"/>
      <c r="X172" s="265"/>
      <c r="Y172" s="265"/>
      <c r="Z172" s="265"/>
      <c r="AA172" s="265"/>
      <c r="AB172" s="265"/>
      <c r="AC172" s="265"/>
      <c r="AD172" s="265"/>
      <c r="AE172" s="265"/>
      <c r="AF172" s="265"/>
      <c r="AG172" s="265"/>
      <c r="AH172" s="265"/>
      <c r="AI172" s="265"/>
      <c r="AJ172" s="265"/>
      <c r="AK172" s="265"/>
      <c r="AL172" s="265"/>
      <c r="AM172" s="244"/>
    </row>
    <row r="173" spans="1:39" ht="18" customHeight="1" x14ac:dyDescent="0.15">
      <c r="A173" s="242"/>
      <c r="B173" s="244"/>
      <c r="C173" s="242"/>
      <c r="D173" s="265"/>
      <c r="E173" s="244"/>
      <c r="F173" s="244"/>
      <c r="G173" s="244"/>
      <c r="H173" s="242"/>
      <c r="I173" s="242"/>
      <c r="J173" s="242"/>
      <c r="K173" s="242"/>
      <c r="L173" s="244"/>
      <c r="M173" s="242"/>
      <c r="N173" s="265"/>
      <c r="O173" s="265"/>
      <c r="P173" s="265"/>
      <c r="Q173" s="265"/>
      <c r="R173" s="265"/>
      <c r="S173" s="265"/>
      <c r="T173" s="265"/>
      <c r="U173" s="265"/>
      <c r="V173" s="265"/>
      <c r="W173" s="265"/>
      <c r="X173" s="265"/>
      <c r="Y173" s="265"/>
      <c r="Z173" s="265"/>
      <c r="AA173" s="265"/>
      <c r="AB173" s="265"/>
      <c r="AC173" s="265"/>
      <c r="AD173" s="265"/>
      <c r="AE173" s="265"/>
      <c r="AF173" s="265"/>
      <c r="AG173" s="265"/>
      <c r="AH173" s="265"/>
      <c r="AI173" s="265"/>
      <c r="AJ173" s="265"/>
      <c r="AK173" s="265"/>
      <c r="AL173" s="265"/>
      <c r="AM173" s="244"/>
    </row>
    <row r="174" spans="1:39" ht="18" customHeight="1" x14ac:dyDescent="0.15">
      <c r="A174" s="242"/>
      <c r="B174" s="244"/>
      <c r="C174" s="242"/>
      <c r="D174" s="265"/>
      <c r="E174" s="244"/>
      <c r="F174" s="244"/>
      <c r="G174" s="244"/>
      <c r="H174" s="242"/>
      <c r="I174" s="242"/>
      <c r="J174" s="242"/>
      <c r="K174" s="242"/>
      <c r="L174" s="244"/>
      <c r="M174" s="242"/>
      <c r="N174" s="265"/>
      <c r="O174" s="265"/>
      <c r="P174" s="265"/>
      <c r="Q174" s="265"/>
      <c r="R174" s="265"/>
      <c r="S174" s="265"/>
      <c r="T174" s="265"/>
      <c r="U174" s="265"/>
      <c r="V174" s="265"/>
      <c r="W174" s="265"/>
      <c r="X174" s="265"/>
      <c r="Y174" s="265"/>
      <c r="Z174" s="265"/>
      <c r="AA174" s="265"/>
      <c r="AB174" s="265"/>
      <c r="AC174" s="265"/>
      <c r="AD174" s="265"/>
      <c r="AE174" s="265"/>
      <c r="AF174" s="265"/>
      <c r="AG174" s="265"/>
      <c r="AH174" s="265"/>
      <c r="AI174" s="265"/>
      <c r="AJ174" s="265"/>
      <c r="AK174" s="265"/>
      <c r="AL174" s="265"/>
      <c r="AM174" s="244"/>
    </row>
    <row r="175" spans="1:39" ht="18" customHeight="1" x14ac:dyDescent="0.15">
      <c r="A175" s="242"/>
      <c r="B175" s="244"/>
      <c r="C175" s="242"/>
      <c r="D175" s="265"/>
      <c r="E175" s="244"/>
      <c r="F175" s="244"/>
      <c r="G175" s="244"/>
      <c r="H175" s="242"/>
      <c r="I175" s="242"/>
      <c r="J175" s="242"/>
      <c r="K175" s="242"/>
      <c r="L175" s="244"/>
      <c r="M175" s="242"/>
      <c r="N175" s="265"/>
      <c r="O175" s="265"/>
      <c r="P175" s="265"/>
      <c r="Q175" s="265"/>
      <c r="R175" s="265"/>
      <c r="S175" s="265"/>
      <c r="T175" s="265"/>
      <c r="U175" s="265"/>
      <c r="V175" s="265"/>
      <c r="W175" s="265"/>
      <c r="X175" s="265"/>
      <c r="Y175" s="265"/>
      <c r="Z175" s="265"/>
      <c r="AA175" s="265"/>
      <c r="AB175" s="265"/>
      <c r="AC175" s="265"/>
      <c r="AD175" s="265"/>
      <c r="AE175" s="265"/>
      <c r="AF175" s="265"/>
      <c r="AG175" s="265"/>
      <c r="AH175" s="265"/>
      <c r="AI175" s="265"/>
      <c r="AJ175" s="265"/>
      <c r="AK175" s="265"/>
      <c r="AL175" s="265"/>
      <c r="AM175" s="244"/>
    </row>
    <row r="176" spans="1:39" ht="18" customHeight="1" x14ac:dyDescent="0.15">
      <c r="A176" s="242"/>
      <c r="B176" s="244"/>
      <c r="C176" s="242"/>
      <c r="D176" s="265"/>
      <c r="E176" s="244"/>
      <c r="F176" s="244"/>
      <c r="G176" s="244"/>
      <c r="H176" s="242"/>
      <c r="I176" s="242"/>
      <c r="J176" s="242"/>
      <c r="K176" s="242"/>
      <c r="L176" s="244"/>
      <c r="M176" s="242"/>
      <c r="N176" s="265"/>
      <c r="O176" s="265"/>
      <c r="P176" s="265"/>
      <c r="Q176" s="265"/>
      <c r="R176" s="265"/>
      <c r="S176" s="265"/>
      <c r="T176" s="265"/>
      <c r="U176" s="265"/>
      <c r="V176" s="265"/>
      <c r="W176" s="265"/>
      <c r="X176" s="265"/>
      <c r="Y176" s="265"/>
      <c r="Z176" s="265"/>
      <c r="AA176" s="265"/>
      <c r="AB176" s="265"/>
      <c r="AC176" s="265"/>
      <c r="AD176" s="265"/>
      <c r="AE176" s="265"/>
      <c r="AF176" s="265"/>
      <c r="AG176" s="265"/>
      <c r="AH176" s="265"/>
      <c r="AI176" s="265"/>
      <c r="AJ176" s="265"/>
      <c r="AK176" s="265"/>
      <c r="AL176" s="265"/>
      <c r="AM176" s="244"/>
    </row>
    <row r="177" spans="1:39" ht="18" customHeight="1" x14ac:dyDescent="0.15">
      <c r="A177" s="242"/>
      <c r="B177" s="244"/>
      <c r="C177" s="242"/>
      <c r="D177" s="265"/>
      <c r="E177" s="244"/>
      <c r="F177" s="244"/>
      <c r="G177" s="244"/>
      <c r="H177" s="242"/>
      <c r="I177" s="242"/>
      <c r="J177" s="242"/>
      <c r="K177" s="242"/>
      <c r="L177" s="244"/>
      <c r="M177" s="242"/>
      <c r="N177" s="265"/>
      <c r="O177" s="265"/>
      <c r="P177" s="265"/>
      <c r="Q177" s="265"/>
      <c r="R177" s="265"/>
      <c r="S177" s="265"/>
      <c r="T177" s="265"/>
      <c r="U177" s="265"/>
      <c r="V177" s="265"/>
      <c r="W177" s="265"/>
      <c r="X177" s="265"/>
      <c r="Y177" s="265"/>
      <c r="Z177" s="265"/>
      <c r="AA177" s="265"/>
      <c r="AB177" s="265"/>
      <c r="AC177" s="265"/>
      <c r="AD177" s="265"/>
      <c r="AE177" s="265"/>
      <c r="AF177" s="265"/>
      <c r="AG177" s="265"/>
      <c r="AH177" s="265"/>
      <c r="AI177" s="265"/>
      <c r="AJ177" s="265"/>
      <c r="AK177" s="265"/>
      <c r="AL177" s="265"/>
      <c r="AM177" s="244"/>
    </row>
    <row r="178" spans="1:39" ht="18" customHeight="1" x14ac:dyDescent="0.15">
      <c r="A178" s="242"/>
      <c r="B178" s="244"/>
      <c r="C178" s="242"/>
      <c r="D178" s="265"/>
      <c r="E178" s="244"/>
      <c r="F178" s="244"/>
      <c r="G178" s="244"/>
      <c r="H178" s="242"/>
      <c r="I178" s="242"/>
      <c r="J178" s="242"/>
      <c r="K178" s="242"/>
      <c r="L178" s="244"/>
      <c r="M178" s="242"/>
      <c r="N178" s="265"/>
      <c r="O178" s="265"/>
      <c r="P178" s="265"/>
      <c r="Q178" s="265"/>
      <c r="R178" s="265"/>
      <c r="S178" s="265"/>
      <c r="T178" s="265"/>
      <c r="U178" s="265"/>
      <c r="V178" s="265"/>
      <c r="W178" s="265"/>
      <c r="X178" s="265"/>
      <c r="Y178" s="265"/>
      <c r="Z178" s="265"/>
      <c r="AA178" s="265"/>
      <c r="AB178" s="265"/>
      <c r="AC178" s="265"/>
      <c r="AD178" s="265"/>
      <c r="AE178" s="265"/>
      <c r="AF178" s="265"/>
      <c r="AG178" s="265"/>
      <c r="AH178" s="265"/>
      <c r="AI178" s="265"/>
      <c r="AJ178" s="265"/>
      <c r="AK178" s="265"/>
      <c r="AL178" s="265"/>
      <c r="AM178" s="244"/>
    </row>
    <row r="179" spans="1:39" ht="18" customHeight="1" x14ac:dyDescent="0.15">
      <c r="A179" s="242"/>
      <c r="B179" s="244"/>
      <c r="C179" s="242"/>
      <c r="D179" s="265"/>
      <c r="E179" s="244"/>
      <c r="F179" s="244"/>
      <c r="G179" s="244"/>
      <c r="H179" s="242"/>
      <c r="I179" s="242"/>
      <c r="J179" s="242"/>
      <c r="K179" s="242"/>
      <c r="L179" s="244"/>
      <c r="M179" s="242"/>
      <c r="O179" s="265"/>
      <c r="P179" s="265"/>
      <c r="Q179" s="265"/>
      <c r="R179" s="265"/>
      <c r="S179" s="265"/>
      <c r="T179" s="265"/>
      <c r="U179" s="265"/>
      <c r="V179" s="265"/>
      <c r="W179" s="265"/>
      <c r="X179" s="265"/>
      <c r="Y179" s="265"/>
      <c r="Z179" s="265"/>
      <c r="AA179" s="265"/>
      <c r="AB179" s="265"/>
      <c r="AC179" s="265"/>
      <c r="AD179" s="265"/>
      <c r="AE179" s="265"/>
      <c r="AF179" s="265"/>
      <c r="AG179" s="265"/>
      <c r="AH179" s="265"/>
      <c r="AI179" s="265"/>
      <c r="AJ179" s="265"/>
      <c r="AK179" s="265"/>
      <c r="AL179" s="265"/>
      <c r="AM179" s="244"/>
    </row>
    <row r="180" spans="1:39" ht="18" customHeight="1" x14ac:dyDescent="0.15">
      <c r="A180" s="242"/>
      <c r="B180" s="244"/>
      <c r="C180" s="242"/>
      <c r="D180" s="265"/>
      <c r="E180" s="244"/>
      <c r="F180" s="244"/>
      <c r="G180" s="244"/>
      <c r="H180" s="242"/>
      <c r="I180" s="242"/>
      <c r="J180" s="242"/>
      <c r="K180" s="242"/>
      <c r="L180" s="244"/>
      <c r="M180" s="242"/>
      <c r="N180" s="265"/>
      <c r="O180" s="265"/>
      <c r="P180" s="265"/>
      <c r="Q180" s="265"/>
      <c r="R180" s="265"/>
      <c r="S180" s="265"/>
      <c r="T180" s="265"/>
      <c r="U180" s="265"/>
      <c r="V180" s="265"/>
      <c r="W180" s="265"/>
      <c r="X180" s="265"/>
      <c r="Y180" s="265"/>
      <c r="Z180" s="265"/>
      <c r="AA180" s="265"/>
      <c r="AB180" s="265"/>
      <c r="AC180" s="265"/>
      <c r="AD180" s="265"/>
      <c r="AE180" s="265"/>
      <c r="AF180" s="265"/>
      <c r="AG180" s="265"/>
      <c r="AH180" s="265"/>
      <c r="AI180" s="265"/>
      <c r="AJ180" s="265"/>
      <c r="AK180" s="265"/>
      <c r="AL180" s="265"/>
      <c r="AM180" s="244"/>
    </row>
    <row r="181" spans="1:39" ht="18" customHeight="1" x14ac:dyDescent="0.15">
      <c r="A181" s="265"/>
      <c r="B181" s="244"/>
      <c r="C181" s="242"/>
      <c r="D181" s="265"/>
      <c r="E181" s="244"/>
      <c r="F181" s="244"/>
      <c r="G181" s="244"/>
      <c r="H181" s="242"/>
      <c r="I181" s="242"/>
      <c r="J181" s="242"/>
      <c r="K181" s="242"/>
      <c r="L181" s="244"/>
      <c r="M181" s="242"/>
      <c r="N181" s="265"/>
      <c r="O181" s="265"/>
      <c r="P181" s="265"/>
      <c r="Q181" s="265"/>
      <c r="R181" s="265"/>
      <c r="S181" s="265"/>
      <c r="T181" s="265"/>
      <c r="U181" s="265"/>
      <c r="V181" s="265"/>
      <c r="W181" s="265"/>
      <c r="X181" s="265"/>
      <c r="Y181" s="265"/>
      <c r="Z181" s="265"/>
      <c r="AA181" s="265"/>
      <c r="AB181" s="265"/>
      <c r="AC181" s="265"/>
      <c r="AD181" s="265"/>
      <c r="AE181" s="265"/>
      <c r="AF181" s="265"/>
      <c r="AG181" s="265"/>
      <c r="AH181" s="265"/>
      <c r="AI181" s="265"/>
      <c r="AJ181" s="265"/>
      <c r="AK181" s="265"/>
      <c r="AL181" s="265"/>
      <c r="AM181" s="244"/>
    </row>
    <row r="182" spans="1:39" ht="18" customHeight="1" x14ac:dyDescent="0.15">
      <c r="A182" s="242"/>
      <c r="B182" s="244"/>
      <c r="C182" s="242"/>
      <c r="D182" s="265"/>
      <c r="E182" s="244"/>
      <c r="F182" s="244"/>
      <c r="G182" s="244"/>
      <c r="H182" s="242"/>
      <c r="I182" s="242"/>
      <c r="J182" s="242"/>
      <c r="K182" s="242"/>
      <c r="L182" s="244"/>
      <c r="M182" s="242"/>
      <c r="N182" s="265"/>
      <c r="O182" s="265"/>
      <c r="P182" s="265"/>
      <c r="Q182" s="265"/>
      <c r="R182" s="265"/>
      <c r="S182" s="265"/>
      <c r="T182" s="265"/>
      <c r="U182" s="265"/>
      <c r="V182" s="265"/>
      <c r="W182" s="265"/>
      <c r="X182" s="265"/>
      <c r="Y182" s="265"/>
      <c r="Z182" s="265"/>
      <c r="AA182" s="265"/>
      <c r="AB182" s="265"/>
      <c r="AC182" s="265"/>
      <c r="AD182" s="265"/>
      <c r="AE182" s="265"/>
      <c r="AF182" s="265"/>
      <c r="AG182" s="265"/>
      <c r="AH182" s="265"/>
      <c r="AI182" s="265"/>
      <c r="AJ182" s="265"/>
      <c r="AK182" s="265"/>
      <c r="AL182" s="265"/>
      <c r="AM182" s="244"/>
    </row>
    <row r="183" spans="1:39" ht="18" customHeight="1" x14ac:dyDescent="0.15">
      <c r="A183" s="242"/>
      <c r="B183" s="244"/>
      <c r="C183" s="242"/>
      <c r="D183" s="265"/>
      <c r="E183" s="244"/>
      <c r="F183" s="244"/>
      <c r="G183" s="244"/>
      <c r="H183" s="242"/>
      <c r="I183" s="242"/>
      <c r="J183" s="242"/>
      <c r="K183" s="242"/>
      <c r="L183" s="244"/>
      <c r="M183" s="242"/>
      <c r="N183" s="265"/>
      <c r="O183" s="265"/>
      <c r="P183" s="265"/>
      <c r="Q183" s="265"/>
      <c r="R183" s="265"/>
      <c r="S183" s="265"/>
      <c r="T183" s="265"/>
      <c r="U183" s="265"/>
      <c r="V183" s="265"/>
      <c r="W183" s="265"/>
      <c r="X183" s="265"/>
      <c r="Y183" s="265"/>
      <c r="Z183" s="265"/>
      <c r="AA183" s="265"/>
      <c r="AB183" s="265"/>
      <c r="AC183" s="265"/>
      <c r="AD183" s="265"/>
      <c r="AE183" s="265"/>
      <c r="AF183" s="265"/>
      <c r="AG183" s="265"/>
      <c r="AH183" s="265"/>
      <c r="AI183" s="265"/>
      <c r="AJ183" s="265"/>
      <c r="AK183" s="265"/>
      <c r="AL183" s="265"/>
      <c r="AM183" s="244"/>
    </row>
    <row r="184" spans="1:39" ht="18" customHeight="1" x14ac:dyDescent="0.15">
      <c r="A184" s="242"/>
      <c r="B184" s="244"/>
      <c r="C184" s="242"/>
      <c r="D184" s="265"/>
      <c r="E184" s="244"/>
      <c r="F184" s="244"/>
      <c r="G184" s="244"/>
      <c r="H184" s="242"/>
      <c r="I184" s="242"/>
      <c r="J184" s="242"/>
      <c r="K184" s="242"/>
      <c r="L184" s="244"/>
      <c r="M184" s="242"/>
      <c r="N184" s="265"/>
      <c r="O184" s="265"/>
      <c r="P184" s="265"/>
      <c r="Q184" s="265"/>
      <c r="R184" s="265"/>
      <c r="S184" s="265"/>
      <c r="T184" s="265"/>
      <c r="U184" s="265"/>
      <c r="V184" s="265"/>
      <c r="W184" s="265"/>
      <c r="X184" s="265"/>
      <c r="Y184" s="265"/>
      <c r="Z184" s="265"/>
      <c r="AA184" s="265"/>
      <c r="AB184" s="265"/>
      <c r="AC184" s="265"/>
      <c r="AD184" s="265"/>
      <c r="AE184" s="265"/>
      <c r="AF184" s="265"/>
      <c r="AG184" s="265"/>
      <c r="AH184" s="265"/>
      <c r="AI184" s="265"/>
      <c r="AJ184" s="265"/>
      <c r="AK184" s="265"/>
      <c r="AL184" s="265"/>
      <c r="AM184" s="244"/>
    </row>
    <row r="185" spans="1:39" ht="18" customHeight="1" x14ac:dyDescent="0.15">
      <c r="A185" s="242"/>
      <c r="B185" s="244"/>
      <c r="C185" s="242"/>
      <c r="D185" s="265"/>
      <c r="E185" s="244"/>
      <c r="F185" s="244"/>
      <c r="G185" s="244"/>
      <c r="H185" s="242"/>
      <c r="I185" s="242"/>
      <c r="J185" s="242"/>
      <c r="K185" s="242"/>
      <c r="L185" s="244"/>
      <c r="M185" s="242"/>
      <c r="N185" s="265"/>
      <c r="O185" s="265"/>
      <c r="P185" s="265"/>
      <c r="Q185" s="265"/>
      <c r="R185" s="265"/>
      <c r="S185" s="265"/>
      <c r="T185" s="265"/>
      <c r="U185" s="265"/>
      <c r="V185" s="265"/>
      <c r="W185" s="265"/>
      <c r="X185" s="265"/>
      <c r="Y185" s="265"/>
      <c r="Z185" s="265"/>
      <c r="AA185" s="265"/>
      <c r="AB185" s="265"/>
      <c r="AC185" s="265"/>
      <c r="AD185" s="265"/>
      <c r="AE185" s="265"/>
      <c r="AF185" s="265"/>
      <c r="AG185" s="265"/>
      <c r="AH185" s="265"/>
      <c r="AI185" s="265"/>
      <c r="AJ185" s="265"/>
      <c r="AK185" s="265"/>
      <c r="AL185" s="265"/>
      <c r="AM185" s="244"/>
    </row>
    <row r="186" spans="1:39" ht="18" customHeight="1" x14ac:dyDescent="0.15">
      <c r="A186" s="242"/>
      <c r="B186" s="244"/>
      <c r="C186" s="242"/>
      <c r="D186" s="265"/>
      <c r="E186" s="244"/>
      <c r="F186" s="244"/>
      <c r="G186" s="244"/>
      <c r="H186" s="242"/>
      <c r="I186" s="242"/>
      <c r="J186" s="242"/>
      <c r="K186" s="242"/>
      <c r="L186" s="244"/>
      <c r="M186" s="242"/>
      <c r="N186" s="265"/>
      <c r="O186" s="265"/>
      <c r="P186" s="265"/>
      <c r="Q186" s="265"/>
      <c r="R186" s="265"/>
      <c r="S186" s="265"/>
      <c r="T186" s="265"/>
      <c r="U186" s="265"/>
      <c r="V186" s="265"/>
      <c r="W186" s="265"/>
      <c r="X186" s="265"/>
      <c r="Y186" s="265"/>
      <c r="Z186" s="265"/>
      <c r="AA186" s="265"/>
      <c r="AB186" s="265"/>
      <c r="AC186" s="265"/>
      <c r="AD186" s="265"/>
      <c r="AE186" s="265"/>
      <c r="AF186" s="265"/>
      <c r="AG186" s="265"/>
      <c r="AH186" s="265"/>
      <c r="AI186" s="265"/>
      <c r="AJ186" s="265"/>
      <c r="AK186" s="265"/>
      <c r="AL186" s="265"/>
      <c r="AM186" s="244"/>
    </row>
    <row r="187" spans="1:39" ht="18" customHeight="1" x14ac:dyDescent="0.15">
      <c r="A187" s="242"/>
      <c r="B187" s="244"/>
      <c r="C187" s="242"/>
      <c r="D187" s="265"/>
      <c r="E187" s="244"/>
      <c r="F187" s="244"/>
      <c r="G187" s="244"/>
      <c r="H187" s="242"/>
      <c r="I187" s="242"/>
      <c r="J187" s="242"/>
      <c r="K187" s="242"/>
      <c r="L187" s="244"/>
      <c r="M187" s="242"/>
      <c r="N187" s="265"/>
      <c r="O187" s="265"/>
      <c r="P187" s="265"/>
      <c r="Q187" s="265"/>
      <c r="R187" s="265"/>
      <c r="S187" s="265"/>
      <c r="T187" s="265"/>
      <c r="U187" s="265"/>
      <c r="V187" s="265"/>
      <c r="W187" s="265"/>
      <c r="X187" s="265"/>
      <c r="Y187" s="265"/>
      <c r="Z187" s="265"/>
      <c r="AA187" s="265"/>
      <c r="AB187" s="265"/>
      <c r="AC187" s="265"/>
      <c r="AD187" s="265"/>
      <c r="AE187" s="265"/>
      <c r="AF187" s="265"/>
      <c r="AG187" s="265"/>
      <c r="AH187" s="265"/>
      <c r="AI187" s="265"/>
      <c r="AJ187" s="265"/>
      <c r="AK187" s="265"/>
      <c r="AL187" s="265"/>
      <c r="AM187" s="244"/>
    </row>
    <row r="188" spans="1:39" ht="18" customHeight="1" x14ac:dyDescent="0.15">
      <c r="A188" s="242"/>
      <c r="B188" s="244"/>
      <c r="C188" s="242"/>
      <c r="D188" s="265"/>
      <c r="E188" s="244"/>
      <c r="F188" s="244"/>
      <c r="G188" s="244"/>
      <c r="H188" s="242"/>
      <c r="I188" s="242"/>
      <c r="J188" s="242"/>
      <c r="K188" s="242"/>
      <c r="L188" s="244"/>
      <c r="M188" s="242"/>
      <c r="N188" s="265"/>
      <c r="O188" s="265"/>
      <c r="P188" s="265"/>
      <c r="Q188" s="265"/>
      <c r="R188" s="265"/>
      <c r="S188" s="265"/>
      <c r="T188" s="265"/>
      <c r="U188" s="265"/>
      <c r="V188" s="265"/>
      <c r="W188" s="265"/>
      <c r="X188" s="265"/>
      <c r="Y188" s="265"/>
      <c r="Z188" s="265"/>
      <c r="AA188" s="265"/>
      <c r="AB188" s="265"/>
      <c r="AC188" s="265"/>
      <c r="AD188" s="265"/>
      <c r="AE188" s="265"/>
      <c r="AF188" s="265"/>
      <c r="AG188" s="265"/>
      <c r="AH188" s="265"/>
      <c r="AI188" s="265"/>
      <c r="AJ188" s="265"/>
      <c r="AK188" s="265"/>
      <c r="AL188" s="265"/>
      <c r="AM188" s="244"/>
    </row>
    <row r="189" spans="1:39" ht="18" customHeight="1" x14ac:dyDescent="0.15">
      <c r="A189" s="242"/>
      <c r="B189" s="244"/>
      <c r="C189" s="242"/>
      <c r="D189" s="265"/>
      <c r="E189" s="244"/>
      <c r="F189" s="244"/>
      <c r="G189" s="244"/>
      <c r="H189" s="242"/>
      <c r="I189" s="242"/>
      <c r="J189" s="242"/>
      <c r="K189" s="242"/>
      <c r="L189" s="244"/>
      <c r="M189" s="242"/>
      <c r="N189" s="265"/>
      <c r="O189" s="265"/>
      <c r="P189" s="265"/>
      <c r="Q189" s="265"/>
      <c r="R189" s="265"/>
      <c r="S189" s="265"/>
      <c r="T189" s="265"/>
      <c r="U189" s="265"/>
      <c r="V189" s="265"/>
      <c r="W189" s="265"/>
      <c r="X189" s="265"/>
      <c r="Y189" s="265"/>
      <c r="Z189" s="265"/>
      <c r="AA189" s="265"/>
      <c r="AB189" s="265"/>
      <c r="AC189" s="265"/>
      <c r="AD189" s="265"/>
      <c r="AE189" s="265"/>
      <c r="AF189" s="265"/>
      <c r="AG189" s="265"/>
      <c r="AH189" s="265"/>
      <c r="AI189" s="265"/>
      <c r="AJ189" s="265"/>
      <c r="AK189" s="265"/>
      <c r="AL189" s="265"/>
      <c r="AM189" s="244"/>
    </row>
    <row r="190" spans="1:39" ht="18" customHeight="1" x14ac:dyDescent="0.15">
      <c r="A190" s="242"/>
      <c r="B190" s="244"/>
      <c r="C190" s="242"/>
      <c r="D190" s="265"/>
      <c r="E190" s="244"/>
      <c r="F190" s="244"/>
      <c r="G190" s="244"/>
      <c r="H190" s="242"/>
      <c r="I190" s="242"/>
      <c r="J190" s="242"/>
      <c r="K190" s="242"/>
      <c r="L190" s="244"/>
      <c r="M190" s="242"/>
      <c r="N190" s="265"/>
      <c r="O190" s="265"/>
      <c r="P190" s="265"/>
      <c r="Q190" s="265"/>
      <c r="R190" s="265"/>
      <c r="S190" s="265"/>
      <c r="T190" s="265"/>
      <c r="U190" s="265"/>
      <c r="V190" s="265"/>
      <c r="W190" s="265"/>
      <c r="X190" s="265"/>
      <c r="Y190" s="265"/>
      <c r="Z190" s="265"/>
      <c r="AA190" s="265"/>
      <c r="AB190" s="265"/>
      <c r="AC190" s="265"/>
      <c r="AD190" s="265"/>
      <c r="AE190" s="265"/>
      <c r="AF190" s="265"/>
      <c r="AG190" s="265"/>
      <c r="AH190" s="265"/>
      <c r="AI190" s="265"/>
      <c r="AJ190" s="265"/>
      <c r="AK190" s="265"/>
      <c r="AL190" s="265"/>
      <c r="AM190" s="244"/>
    </row>
    <row r="191" spans="1:39" ht="18" customHeight="1" x14ac:dyDescent="0.15">
      <c r="A191" s="242"/>
      <c r="B191" s="244"/>
      <c r="C191" s="242"/>
      <c r="D191" s="265"/>
      <c r="E191" s="244"/>
      <c r="F191" s="244"/>
      <c r="G191" s="244"/>
      <c r="H191" s="242"/>
      <c r="I191" s="242"/>
      <c r="J191" s="242"/>
      <c r="K191" s="242"/>
      <c r="L191" s="244"/>
      <c r="M191" s="242"/>
      <c r="N191" s="265"/>
      <c r="O191" s="265"/>
      <c r="P191" s="265"/>
      <c r="Q191" s="265"/>
      <c r="R191" s="265"/>
      <c r="S191" s="265"/>
      <c r="T191" s="265"/>
      <c r="U191" s="265"/>
      <c r="V191" s="265"/>
      <c r="W191" s="265"/>
      <c r="X191" s="265"/>
      <c r="Y191" s="265"/>
      <c r="Z191" s="265"/>
      <c r="AA191" s="265"/>
      <c r="AB191" s="265"/>
      <c r="AC191" s="265"/>
      <c r="AD191" s="265"/>
      <c r="AE191" s="265"/>
      <c r="AF191" s="265"/>
      <c r="AG191" s="265"/>
      <c r="AH191" s="265"/>
      <c r="AI191" s="265"/>
      <c r="AJ191" s="265"/>
      <c r="AK191" s="265"/>
      <c r="AL191" s="265"/>
      <c r="AM191" s="244"/>
    </row>
    <row r="192" spans="1:39" ht="18" customHeight="1" x14ac:dyDescent="0.15">
      <c r="A192" s="242"/>
      <c r="B192" s="244"/>
      <c r="C192" s="242"/>
      <c r="D192" s="265"/>
      <c r="E192" s="244"/>
      <c r="F192" s="244"/>
      <c r="G192" s="244"/>
      <c r="H192" s="242"/>
      <c r="I192" s="242"/>
      <c r="J192" s="242"/>
      <c r="K192" s="242"/>
      <c r="L192" s="244"/>
      <c r="M192" s="242"/>
      <c r="N192" s="265"/>
      <c r="O192" s="265"/>
      <c r="P192" s="265"/>
      <c r="Q192" s="265"/>
      <c r="R192" s="265"/>
      <c r="S192" s="265"/>
      <c r="T192" s="265"/>
      <c r="U192" s="265"/>
      <c r="V192" s="265"/>
      <c r="W192" s="265"/>
      <c r="X192" s="265"/>
      <c r="Y192" s="265"/>
      <c r="Z192" s="265"/>
      <c r="AA192" s="265"/>
      <c r="AB192" s="265"/>
      <c r="AC192" s="265"/>
      <c r="AD192" s="265"/>
      <c r="AE192" s="265"/>
      <c r="AF192" s="265"/>
      <c r="AG192" s="265"/>
      <c r="AH192" s="265"/>
      <c r="AI192" s="265"/>
      <c r="AJ192" s="265"/>
      <c r="AK192" s="265"/>
      <c r="AL192" s="265"/>
      <c r="AM192" s="244"/>
    </row>
    <row r="193" spans="1:39" ht="18" customHeight="1" x14ac:dyDescent="0.15">
      <c r="A193" s="242"/>
      <c r="B193" s="244"/>
      <c r="C193" s="242"/>
      <c r="D193" s="265"/>
      <c r="E193" s="244"/>
      <c r="F193" s="244"/>
      <c r="G193" s="244"/>
      <c r="H193" s="242"/>
      <c r="I193" s="242"/>
      <c r="J193" s="242"/>
      <c r="K193" s="242"/>
      <c r="L193" s="244"/>
      <c r="M193" s="242"/>
      <c r="N193" s="265"/>
      <c r="O193" s="265"/>
      <c r="P193" s="265"/>
      <c r="Q193" s="265"/>
      <c r="R193" s="265"/>
      <c r="S193" s="265"/>
      <c r="T193" s="265"/>
      <c r="U193" s="265"/>
      <c r="V193" s="265"/>
      <c r="W193" s="265"/>
      <c r="X193" s="265"/>
      <c r="Y193" s="265"/>
      <c r="Z193" s="265"/>
      <c r="AA193" s="265"/>
      <c r="AB193" s="265"/>
      <c r="AC193" s="265"/>
      <c r="AD193" s="265"/>
      <c r="AE193" s="265"/>
      <c r="AF193" s="265"/>
      <c r="AG193" s="265"/>
      <c r="AH193" s="265"/>
      <c r="AI193" s="265"/>
      <c r="AJ193" s="265"/>
      <c r="AK193" s="265"/>
      <c r="AL193" s="265"/>
      <c r="AM193" s="244"/>
    </row>
    <row r="194" spans="1:39" ht="18" customHeight="1" x14ac:dyDescent="0.15">
      <c r="A194" s="242"/>
      <c r="B194" s="244"/>
      <c r="C194" s="242"/>
      <c r="D194" s="265"/>
      <c r="E194" s="244"/>
      <c r="F194" s="244"/>
      <c r="G194" s="244"/>
      <c r="H194" s="242"/>
      <c r="I194" s="242"/>
      <c r="J194" s="242"/>
      <c r="K194" s="242"/>
      <c r="L194" s="244"/>
      <c r="M194" s="242"/>
      <c r="N194" s="265"/>
      <c r="O194" s="265"/>
      <c r="P194" s="265"/>
      <c r="Q194" s="265"/>
      <c r="R194" s="265"/>
      <c r="S194" s="265"/>
      <c r="T194" s="265"/>
      <c r="U194" s="265"/>
      <c r="V194" s="265"/>
      <c r="W194" s="265"/>
      <c r="X194" s="265"/>
      <c r="Y194" s="265"/>
      <c r="Z194" s="265"/>
      <c r="AA194" s="265"/>
      <c r="AB194" s="265"/>
      <c r="AC194" s="265"/>
      <c r="AD194" s="265"/>
      <c r="AE194" s="265"/>
      <c r="AF194" s="265"/>
      <c r="AG194" s="265"/>
      <c r="AH194" s="265"/>
      <c r="AI194" s="265"/>
      <c r="AJ194" s="265"/>
      <c r="AK194" s="265"/>
      <c r="AL194" s="265"/>
      <c r="AM194" s="244"/>
    </row>
    <row r="195" spans="1:39" ht="18" customHeight="1" x14ac:dyDescent="0.15">
      <c r="A195" s="242"/>
      <c r="B195" s="244"/>
      <c r="C195" s="242"/>
      <c r="D195" s="265"/>
      <c r="E195" s="244"/>
      <c r="F195" s="244"/>
      <c r="G195" s="244"/>
      <c r="H195" s="242"/>
      <c r="I195" s="242"/>
      <c r="J195" s="242"/>
      <c r="K195" s="242"/>
      <c r="L195" s="244"/>
      <c r="M195" s="242"/>
      <c r="N195" s="265"/>
      <c r="O195" s="265"/>
      <c r="P195" s="265"/>
      <c r="Q195" s="265"/>
      <c r="R195" s="265"/>
      <c r="S195" s="265"/>
      <c r="T195" s="265"/>
      <c r="U195" s="265"/>
      <c r="V195" s="265"/>
      <c r="W195" s="265"/>
      <c r="X195" s="265"/>
      <c r="Y195" s="265"/>
      <c r="Z195" s="265"/>
      <c r="AA195" s="265"/>
      <c r="AB195" s="265"/>
      <c r="AC195" s="265"/>
      <c r="AD195" s="265"/>
      <c r="AE195" s="265"/>
      <c r="AF195" s="265"/>
      <c r="AG195" s="265"/>
      <c r="AH195" s="265"/>
      <c r="AI195" s="265"/>
      <c r="AJ195" s="265"/>
      <c r="AK195" s="265"/>
      <c r="AL195" s="265"/>
      <c r="AM195" s="244"/>
    </row>
    <row r="196" spans="1:39" ht="18" customHeight="1" x14ac:dyDescent="0.15">
      <c r="A196" s="242"/>
      <c r="B196" s="244"/>
      <c r="C196" s="242"/>
      <c r="D196" s="265"/>
      <c r="E196" s="244"/>
      <c r="F196" s="244"/>
      <c r="G196" s="244"/>
      <c r="H196" s="242"/>
      <c r="I196" s="242"/>
      <c r="J196" s="242"/>
      <c r="K196" s="242"/>
      <c r="L196" s="244"/>
      <c r="M196" s="242"/>
      <c r="N196" s="265"/>
      <c r="O196" s="265"/>
      <c r="P196" s="265"/>
      <c r="Q196" s="265"/>
      <c r="R196" s="265"/>
      <c r="S196" s="265"/>
      <c r="T196" s="265"/>
      <c r="U196" s="265"/>
      <c r="V196" s="265"/>
      <c r="W196" s="265"/>
      <c r="X196" s="265"/>
      <c r="Y196" s="265"/>
      <c r="Z196" s="265"/>
      <c r="AA196" s="265"/>
      <c r="AB196" s="265"/>
      <c r="AC196" s="265"/>
      <c r="AD196" s="265"/>
      <c r="AE196" s="265"/>
      <c r="AF196" s="265"/>
      <c r="AG196" s="265"/>
      <c r="AH196" s="265"/>
      <c r="AI196" s="265"/>
      <c r="AJ196" s="265"/>
      <c r="AK196" s="265"/>
      <c r="AL196" s="265"/>
      <c r="AM196" s="244"/>
    </row>
    <row r="197" spans="1:39" ht="18" customHeight="1" x14ac:dyDescent="0.15">
      <c r="A197" s="242"/>
      <c r="B197" s="244"/>
      <c r="C197" s="242"/>
      <c r="D197" s="265"/>
      <c r="E197" s="244"/>
      <c r="F197" s="244"/>
      <c r="G197" s="244"/>
      <c r="H197" s="242"/>
      <c r="I197" s="242"/>
      <c r="J197" s="242"/>
      <c r="K197" s="242"/>
      <c r="L197" s="244"/>
      <c r="M197" s="242"/>
      <c r="N197" s="265"/>
      <c r="O197" s="265"/>
      <c r="P197" s="265"/>
      <c r="Q197" s="265"/>
      <c r="R197" s="265"/>
      <c r="S197" s="265"/>
      <c r="T197" s="265"/>
      <c r="U197" s="265"/>
      <c r="V197" s="265"/>
      <c r="W197" s="265"/>
      <c r="X197" s="265"/>
      <c r="Y197" s="265"/>
      <c r="Z197" s="265"/>
      <c r="AA197" s="265"/>
      <c r="AB197" s="265"/>
      <c r="AC197" s="265"/>
      <c r="AD197" s="265"/>
      <c r="AE197" s="265"/>
      <c r="AF197" s="265"/>
      <c r="AG197" s="265"/>
      <c r="AH197" s="265"/>
      <c r="AI197" s="265"/>
      <c r="AJ197" s="265"/>
      <c r="AK197" s="265"/>
      <c r="AL197" s="265"/>
      <c r="AM197" s="244"/>
    </row>
    <row r="198" spans="1:39" ht="18" customHeight="1" x14ac:dyDescent="0.15">
      <c r="A198" s="242"/>
      <c r="B198" s="244"/>
      <c r="C198" s="242"/>
      <c r="D198" s="265"/>
      <c r="E198" s="244"/>
      <c r="F198" s="244"/>
      <c r="G198" s="244"/>
      <c r="H198" s="242"/>
      <c r="I198" s="242"/>
      <c r="J198" s="242"/>
      <c r="K198" s="242"/>
      <c r="L198" s="244"/>
      <c r="M198" s="242"/>
      <c r="N198" s="265"/>
      <c r="O198" s="265"/>
      <c r="P198" s="265"/>
      <c r="Q198" s="265"/>
      <c r="R198" s="265"/>
      <c r="S198" s="265"/>
      <c r="T198" s="265"/>
      <c r="U198" s="265"/>
      <c r="V198" s="265"/>
      <c r="W198" s="265"/>
      <c r="X198" s="265"/>
      <c r="Y198" s="265"/>
      <c r="Z198" s="265"/>
      <c r="AA198" s="265"/>
      <c r="AB198" s="265"/>
      <c r="AC198" s="265"/>
      <c r="AD198" s="265"/>
      <c r="AE198" s="265"/>
      <c r="AF198" s="265"/>
      <c r="AG198" s="265"/>
      <c r="AH198" s="265"/>
      <c r="AI198" s="265"/>
      <c r="AJ198" s="265"/>
      <c r="AK198" s="265"/>
      <c r="AL198" s="265"/>
      <c r="AM198" s="244"/>
    </row>
    <row r="199" spans="1:39" ht="18" customHeight="1" x14ac:dyDescent="0.15">
      <c r="A199" s="242"/>
      <c r="B199" s="244"/>
      <c r="C199" s="242"/>
      <c r="D199" s="265"/>
      <c r="E199" s="244"/>
      <c r="F199" s="244"/>
      <c r="G199" s="244"/>
      <c r="H199" s="242"/>
      <c r="I199" s="242"/>
      <c r="J199" s="242"/>
      <c r="K199" s="242"/>
      <c r="L199" s="244"/>
      <c r="M199" s="242"/>
      <c r="N199" s="265"/>
      <c r="O199" s="265"/>
      <c r="P199" s="265"/>
      <c r="Q199" s="265"/>
      <c r="R199" s="265"/>
      <c r="S199" s="265"/>
      <c r="T199" s="265"/>
      <c r="U199" s="265"/>
      <c r="V199" s="265"/>
      <c r="W199" s="265"/>
      <c r="X199" s="265"/>
      <c r="Y199" s="265"/>
      <c r="Z199" s="265"/>
      <c r="AA199" s="265"/>
      <c r="AB199" s="265"/>
      <c r="AC199" s="265"/>
      <c r="AD199" s="265"/>
      <c r="AE199" s="265"/>
      <c r="AF199" s="265"/>
      <c r="AG199" s="265"/>
      <c r="AH199" s="265"/>
      <c r="AI199" s="265"/>
      <c r="AJ199" s="265"/>
      <c r="AK199" s="265"/>
      <c r="AL199" s="265"/>
      <c r="AM199" s="244"/>
    </row>
    <row r="200" spans="1:39" ht="18" customHeight="1" x14ac:dyDescent="0.15">
      <c r="A200" s="242"/>
      <c r="B200" s="244"/>
      <c r="C200" s="242"/>
      <c r="D200" s="265"/>
      <c r="E200" s="244"/>
      <c r="F200" s="244"/>
      <c r="G200" s="244"/>
      <c r="H200" s="242"/>
      <c r="I200" s="242"/>
      <c r="J200" s="242"/>
      <c r="K200" s="242"/>
      <c r="L200" s="244"/>
      <c r="M200" s="242"/>
      <c r="N200" s="265"/>
      <c r="O200" s="265"/>
      <c r="P200" s="265"/>
      <c r="Q200" s="265"/>
      <c r="R200" s="265"/>
      <c r="S200" s="265"/>
      <c r="T200" s="265"/>
      <c r="U200" s="265"/>
      <c r="V200" s="265"/>
      <c r="W200" s="265"/>
      <c r="X200" s="265"/>
      <c r="Y200" s="265"/>
      <c r="Z200" s="265"/>
      <c r="AA200" s="265"/>
      <c r="AB200" s="265"/>
      <c r="AC200" s="265"/>
      <c r="AD200" s="265"/>
      <c r="AE200" s="265"/>
      <c r="AF200" s="265"/>
      <c r="AG200" s="265"/>
      <c r="AH200" s="265"/>
      <c r="AI200" s="265"/>
      <c r="AJ200" s="265"/>
      <c r="AK200" s="265"/>
      <c r="AL200" s="265"/>
      <c r="AM200" s="244"/>
    </row>
    <row r="201" spans="1:39" ht="18" customHeight="1" x14ac:dyDescent="0.15">
      <c r="A201" s="242"/>
      <c r="B201" s="244"/>
      <c r="C201" s="242"/>
      <c r="D201" s="265"/>
      <c r="E201" s="244"/>
      <c r="F201" s="244"/>
      <c r="G201" s="244"/>
      <c r="H201" s="242"/>
      <c r="I201" s="242"/>
      <c r="J201" s="242"/>
      <c r="K201" s="242"/>
      <c r="L201" s="244"/>
      <c r="M201" s="242"/>
      <c r="N201" s="265"/>
      <c r="O201" s="265"/>
      <c r="P201" s="265"/>
      <c r="Q201" s="265"/>
      <c r="R201" s="265"/>
      <c r="S201" s="265"/>
      <c r="T201" s="265"/>
      <c r="U201" s="265"/>
      <c r="V201" s="265"/>
      <c r="W201" s="265"/>
      <c r="X201" s="265"/>
      <c r="Y201" s="265"/>
      <c r="Z201" s="265"/>
      <c r="AA201" s="265"/>
      <c r="AB201" s="265"/>
      <c r="AC201" s="265"/>
      <c r="AD201" s="265"/>
      <c r="AE201" s="265"/>
      <c r="AF201" s="265"/>
      <c r="AG201" s="265"/>
      <c r="AH201" s="265"/>
      <c r="AI201" s="265"/>
      <c r="AJ201" s="265"/>
      <c r="AK201" s="265"/>
      <c r="AL201" s="265"/>
      <c r="AM201" s="244"/>
    </row>
    <row r="202" spans="1:39" ht="18" customHeight="1" x14ac:dyDescent="0.15">
      <c r="A202" s="242"/>
      <c r="B202" s="244"/>
      <c r="C202" s="242"/>
      <c r="D202" s="265"/>
      <c r="E202" s="244"/>
      <c r="F202" s="244"/>
      <c r="G202" s="244"/>
      <c r="H202" s="242"/>
      <c r="I202" s="242"/>
      <c r="J202" s="242"/>
      <c r="K202" s="242"/>
      <c r="L202" s="244"/>
      <c r="M202" s="242"/>
      <c r="N202" s="265"/>
      <c r="O202" s="265"/>
      <c r="P202" s="265"/>
      <c r="Q202" s="265"/>
      <c r="R202" s="265"/>
      <c r="S202" s="265"/>
      <c r="T202" s="265"/>
      <c r="U202" s="265"/>
      <c r="V202" s="265"/>
      <c r="W202" s="265"/>
      <c r="X202" s="265"/>
      <c r="Y202" s="265"/>
      <c r="Z202" s="265"/>
      <c r="AA202" s="265"/>
      <c r="AB202" s="265"/>
      <c r="AC202" s="265"/>
      <c r="AD202" s="265"/>
      <c r="AE202" s="265"/>
      <c r="AF202" s="265"/>
      <c r="AG202" s="265"/>
      <c r="AH202" s="265"/>
      <c r="AI202" s="265"/>
      <c r="AJ202" s="265"/>
      <c r="AK202" s="265"/>
      <c r="AL202" s="265"/>
      <c r="AM202" s="244"/>
    </row>
    <row r="203" spans="1:39" ht="18" customHeight="1" x14ac:dyDescent="0.15">
      <c r="A203" s="242"/>
      <c r="B203" s="244"/>
      <c r="C203" s="242"/>
      <c r="D203" s="265"/>
      <c r="E203" s="244"/>
      <c r="F203" s="244"/>
      <c r="G203" s="244"/>
      <c r="H203" s="242"/>
      <c r="I203" s="242"/>
      <c r="J203" s="242"/>
      <c r="K203" s="242"/>
      <c r="L203" s="244"/>
      <c r="M203" s="242"/>
      <c r="N203" s="265"/>
      <c r="O203" s="265"/>
      <c r="P203" s="265"/>
      <c r="Q203" s="265"/>
      <c r="R203" s="265"/>
      <c r="S203" s="265"/>
      <c r="T203" s="265"/>
      <c r="U203" s="265"/>
      <c r="V203" s="265"/>
      <c r="W203" s="265"/>
      <c r="X203" s="265"/>
      <c r="Y203" s="265"/>
      <c r="Z203" s="265"/>
      <c r="AA203" s="265"/>
      <c r="AB203" s="265"/>
      <c r="AC203" s="265"/>
      <c r="AD203" s="265"/>
      <c r="AE203" s="265"/>
      <c r="AF203" s="265"/>
      <c r="AG203" s="265"/>
      <c r="AH203" s="265"/>
      <c r="AI203" s="265"/>
      <c r="AJ203" s="265"/>
      <c r="AK203" s="265"/>
      <c r="AL203" s="265"/>
      <c r="AM203" s="244"/>
    </row>
    <row r="204" spans="1:39" ht="18" customHeight="1" x14ac:dyDescent="0.15">
      <c r="A204" s="242"/>
      <c r="B204" s="244"/>
      <c r="C204" s="242"/>
      <c r="D204" s="265"/>
      <c r="E204" s="244"/>
      <c r="F204" s="244"/>
      <c r="G204" s="244"/>
      <c r="H204" s="242"/>
      <c r="I204" s="242"/>
      <c r="J204" s="242"/>
      <c r="K204" s="242"/>
      <c r="L204" s="244"/>
      <c r="M204" s="242"/>
      <c r="N204" s="265"/>
      <c r="O204" s="265"/>
      <c r="P204" s="265"/>
      <c r="Q204" s="265"/>
      <c r="R204" s="265"/>
      <c r="S204" s="265"/>
      <c r="T204" s="265"/>
      <c r="U204" s="265"/>
      <c r="V204" s="265"/>
      <c r="W204" s="265"/>
      <c r="X204" s="265"/>
      <c r="Y204" s="265"/>
      <c r="Z204" s="265"/>
      <c r="AA204" s="265"/>
      <c r="AB204" s="265"/>
      <c r="AC204" s="265"/>
      <c r="AD204" s="265"/>
      <c r="AE204" s="265"/>
      <c r="AF204" s="265"/>
      <c r="AG204" s="265"/>
      <c r="AH204" s="265"/>
      <c r="AI204" s="265"/>
      <c r="AJ204" s="265"/>
      <c r="AK204" s="265"/>
      <c r="AL204" s="265"/>
      <c r="AM204" s="244"/>
    </row>
    <row r="205" spans="1:39" ht="18" customHeight="1" x14ac:dyDescent="0.15">
      <c r="A205" s="242"/>
      <c r="B205" s="244"/>
      <c r="C205" s="242"/>
      <c r="D205" s="265"/>
      <c r="E205" s="244"/>
      <c r="F205" s="244"/>
      <c r="G205" s="244"/>
      <c r="H205" s="242"/>
      <c r="I205" s="242"/>
      <c r="J205" s="242"/>
      <c r="K205" s="242"/>
      <c r="L205" s="244"/>
      <c r="M205" s="242"/>
      <c r="N205" s="265"/>
      <c r="O205" s="265"/>
      <c r="P205" s="265"/>
      <c r="Q205" s="265"/>
      <c r="R205" s="265"/>
      <c r="S205" s="265"/>
      <c r="T205" s="265"/>
      <c r="U205" s="265"/>
      <c r="V205" s="265"/>
      <c r="W205" s="265"/>
      <c r="X205" s="265"/>
      <c r="Y205" s="265"/>
      <c r="Z205" s="265"/>
      <c r="AA205" s="265"/>
      <c r="AB205" s="265"/>
      <c r="AC205" s="265"/>
      <c r="AD205" s="265"/>
      <c r="AE205" s="265"/>
      <c r="AF205" s="265"/>
      <c r="AG205" s="265"/>
      <c r="AH205" s="265"/>
      <c r="AI205" s="265"/>
      <c r="AJ205" s="265"/>
      <c r="AK205" s="265"/>
      <c r="AL205" s="265"/>
      <c r="AM205" s="244"/>
    </row>
    <row r="206" spans="1:39" ht="18" customHeight="1" x14ac:dyDescent="0.15">
      <c r="A206" s="242"/>
      <c r="B206" s="244"/>
      <c r="C206" s="242"/>
      <c r="D206" s="265"/>
      <c r="E206" s="244"/>
      <c r="F206" s="244"/>
      <c r="G206" s="244"/>
      <c r="H206" s="242"/>
      <c r="I206" s="242"/>
      <c r="J206" s="242"/>
      <c r="K206" s="242"/>
      <c r="L206" s="244"/>
      <c r="M206" s="242"/>
      <c r="N206" s="265"/>
      <c r="O206" s="265"/>
      <c r="P206" s="265"/>
      <c r="Q206" s="265"/>
      <c r="R206" s="265"/>
      <c r="S206" s="265"/>
      <c r="T206" s="265"/>
      <c r="U206" s="265"/>
      <c r="V206" s="265"/>
      <c r="W206" s="265"/>
      <c r="X206" s="265"/>
      <c r="Y206" s="265"/>
      <c r="Z206" s="265"/>
      <c r="AA206" s="265"/>
      <c r="AB206" s="265"/>
      <c r="AC206" s="265"/>
      <c r="AD206" s="265"/>
      <c r="AE206" s="265"/>
      <c r="AF206" s="265"/>
      <c r="AG206" s="265"/>
      <c r="AH206" s="265"/>
      <c r="AI206" s="265"/>
      <c r="AJ206" s="265"/>
      <c r="AK206" s="265"/>
      <c r="AL206" s="265"/>
      <c r="AM206" s="244"/>
    </row>
    <row r="207" spans="1:39" ht="18" customHeight="1" x14ac:dyDescent="0.15">
      <c r="A207" s="242"/>
      <c r="B207" s="244"/>
      <c r="C207" s="242"/>
      <c r="D207" s="265"/>
      <c r="E207" s="244"/>
      <c r="F207" s="244"/>
      <c r="G207" s="244"/>
      <c r="H207" s="242"/>
      <c r="I207" s="242"/>
      <c r="J207" s="242"/>
      <c r="K207" s="242"/>
      <c r="L207" s="244"/>
      <c r="M207" s="242"/>
      <c r="N207" s="265"/>
      <c r="O207" s="265"/>
      <c r="P207" s="265"/>
      <c r="Q207" s="265"/>
      <c r="R207" s="265"/>
      <c r="S207" s="265"/>
      <c r="T207" s="265"/>
      <c r="U207" s="265"/>
      <c r="V207" s="265"/>
      <c r="W207" s="265"/>
      <c r="X207" s="265"/>
      <c r="Y207" s="265"/>
      <c r="Z207" s="265"/>
      <c r="AA207" s="265"/>
      <c r="AB207" s="265"/>
      <c r="AC207" s="265"/>
      <c r="AD207" s="265"/>
      <c r="AE207" s="265"/>
      <c r="AF207" s="265"/>
      <c r="AG207" s="265"/>
      <c r="AH207" s="265"/>
      <c r="AI207" s="265"/>
      <c r="AJ207" s="265"/>
      <c r="AK207" s="265"/>
      <c r="AL207" s="265"/>
      <c r="AM207" s="244"/>
    </row>
    <row r="208" spans="1:39" ht="18" customHeight="1" x14ac:dyDescent="0.15">
      <c r="A208" s="242"/>
      <c r="B208" s="244"/>
      <c r="C208" s="242"/>
      <c r="D208" s="265"/>
      <c r="E208" s="244"/>
      <c r="F208" s="244"/>
      <c r="G208" s="244"/>
      <c r="H208" s="242"/>
      <c r="I208" s="242"/>
      <c r="J208" s="242"/>
      <c r="K208" s="242"/>
      <c r="L208" s="244"/>
      <c r="M208" s="242"/>
      <c r="N208" s="265"/>
      <c r="O208" s="265"/>
      <c r="P208" s="265"/>
      <c r="Q208" s="265"/>
      <c r="R208" s="265"/>
      <c r="S208" s="265"/>
      <c r="T208" s="265"/>
      <c r="U208" s="265"/>
      <c r="V208" s="265"/>
      <c r="W208" s="265"/>
      <c r="X208" s="265"/>
      <c r="Y208" s="265"/>
      <c r="Z208" s="265"/>
      <c r="AA208" s="265"/>
      <c r="AB208" s="265"/>
      <c r="AC208" s="265"/>
      <c r="AD208" s="265"/>
      <c r="AE208" s="265"/>
      <c r="AF208" s="265"/>
      <c r="AG208" s="265"/>
      <c r="AH208" s="265"/>
      <c r="AI208" s="265"/>
      <c r="AJ208" s="265"/>
      <c r="AK208" s="265"/>
      <c r="AL208" s="265"/>
      <c r="AM208" s="244"/>
    </row>
    <row r="209" spans="1:39" ht="18" customHeight="1" x14ac:dyDescent="0.15">
      <c r="A209" s="242"/>
      <c r="B209" s="244"/>
      <c r="C209" s="242"/>
      <c r="D209" s="265"/>
      <c r="E209" s="244"/>
      <c r="F209" s="244"/>
      <c r="G209" s="244"/>
      <c r="H209" s="242"/>
      <c r="I209" s="242"/>
      <c r="J209" s="242"/>
      <c r="K209" s="242"/>
      <c r="L209" s="244"/>
      <c r="M209" s="242"/>
      <c r="N209" s="265"/>
      <c r="O209" s="265"/>
      <c r="P209" s="265"/>
      <c r="Q209" s="265"/>
      <c r="R209" s="265"/>
      <c r="S209" s="265"/>
      <c r="T209" s="265"/>
      <c r="U209" s="265"/>
      <c r="V209" s="265"/>
      <c r="W209" s="265"/>
      <c r="X209" s="265"/>
      <c r="Y209" s="265"/>
      <c r="Z209" s="265"/>
      <c r="AA209" s="265"/>
      <c r="AB209" s="265"/>
      <c r="AC209" s="265"/>
      <c r="AD209" s="265"/>
      <c r="AE209" s="265"/>
      <c r="AF209" s="265"/>
      <c r="AG209" s="265"/>
      <c r="AH209" s="265"/>
      <c r="AI209" s="265"/>
      <c r="AJ209" s="265"/>
      <c r="AK209" s="265"/>
      <c r="AL209" s="265"/>
      <c r="AM209" s="244"/>
    </row>
    <row r="210" spans="1:39" ht="18" customHeight="1" x14ac:dyDescent="0.15">
      <c r="A210" s="242"/>
      <c r="B210" s="244"/>
      <c r="C210" s="242"/>
      <c r="D210" s="265"/>
      <c r="E210" s="244"/>
      <c r="F210" s="244"/>
      <c r="G210" s="244"/>
      <c r="H210" s="242"/>
      <c r="I210" s="242"/>
      <c r="J210" s="242"/>
      <c r="K210" s="242"/>
      <c r="L210" s="244"/>
      <c r="M210" s="242"/>
      <c r="N210" s="265"/>
      <c r="O210" s="265"/>
      <c r="P210" s="265"/>
      <c r="Q210" s="265"/>
      <c r="R210" s="265"/>
      <c r="S210" s="265"/>
      <c r="T210" s="265"/>
      <c r="U210" s="265"/>
      <c r="V210" s="265"/>
      <c r="W210" s="265"/>
      <c r="X210" s="265"/>
      <c r="Y210" s="265"/>
      <c r="Z210" s="265"/>
      <c r="AA210" s="265"/>
      <c r="AB210" s="265"/>
      <c r="AC210" s="265"/>
      <c r="AD210" s="265"/>
      <c r="AE210" s="265"/>
      <c r="AF210" s="265"/>
      <c r="AG210" s="265"/>
      <c r="AH210" s="265"/>
      <c r="AI210" s="265"/>
      <c r="AJ210" s="265"/>
      <c r="AK210" s="265"/>
      <c r="AL210" s="265"/>
      <c r="AM210" s="244"/>
    </row>
    <row r="211" spans="1:39" ht="18" customHeight="1" x14ac:dyDescent="0.15">
      <c r="A211" s="242"/>
      <c r="B211" s="244"/>
      <c r="C211" s="242"/>
      <c r="D211" s="265"/>
      <c r="E211" s="244"/>
      <c r="F211" s="244"/>
      <c r="G211" s="244"/>
      <c r="H211" s="242"/>
      <c r="I211" s="242"/>
      <c r="J211" s="242"/>
      <c r="K211" s="242"/>
      <c r="L211" s="244"/>
      <c r="M211" s="242"/>
      <c r="N211" s="265"/>
      <c r="O211" s="265"/>
      <c r="P211" s="265"/>
      <c r="Q211" s="265"/>
      <c r="R211" s="265"/>
      <c r="S211" s="265"/>
      <c r="T211" s="265"/>
      <c r="U211" s="265"/>
      <c r="V211" s="265"/>
      <c r="W211" s="265"/>
      <c r="X211" s="265"/>
      <c r="Y211" s="265"/>
      <c r="Z211" s="265"/>
      <c r="AA211" s="265"/>
      <c r="AB211" s="265"/>
      <c r="AC211" s="265"/>
      <c r="AD211" s="265"/>
      <c r="AE211" s="265"/>
      <c r="AF211" s="265"/>
      <c r="AG211" s="265"/>
      <c r="AH211" s="265"/>
      <c r="AI211" s="265"/>
      <c r="AJ211" s="265"/>
      <c r="AK211" s="265"/>
      <c r="AL211" s="265"/>
      <c r="AM211" s="244"/>
    </row>
    <row r="212" spans="1:39" ht="18" customHeight="1" x14ac:dyDescent="0.15">
      <c r="A212" s="242"/>
      <c r="B212" s="244"/>
      <c r="C212" s="242"/>
      <c r="D212" s="265"/>
      <c r="E212" s="244"/>
      <c r="F212" s="244"/>
      <c r="G212" s="244"/>
      <c r="H212" s="242"/>
      <c r="I212" s="242"/>
      <c r="J212" s="242"/>
      <c r="K212" s="242"/>
      <c r="L212" s="244"/>
      <c r="M212" s="242"/>
      <c r="N212" s="265"/>
      <c r="O212" s="265"/>
      <c r="P212" s="265"/>
      <c r="Q212" s="265"/>
      <c r="R212" s="265"/>
      <c r="S212" s="265"/>
      <c r="T212" s="265"/>
      <c r="U212" s="265"/>
      <c r="V212" s="265"/>
      <c r="W212" s="265"/>
      <c r="X212" s="265"/>
      <c r="Y212" s="265"/>
      <c r="Z212" s="265"/>
      <c r="AA212" s="265"/>
      <c r="AB212" s="265"/>
      <c r="AC212" s="265"/>
      <c r="AD212" s="265"/>
      <c r="AE212" s="265"/>
      <c r="AF212" s="265"/>
      <c r="AG212" s="265"/>
      <c r="AH212" s="265"/>
      <c r="AI212" s="265"/>
      <c r="AJ212" s="265"/>
      <c r="AK212" s="265"/>
      <c r="AL212" s="265"/>
      <c r="AM212" s="244"/>
    </row>
    <row r="213" spans="1:39" ht="18" customHeight="1" x14ac:dyDescent="0.15">
      <c r="A213" s="242"/>
      <c r="B213" s="244"/>
      <c r="C213" s="242"/>
      <c r="D213" s="265"/>
      <c r="E213" s="244"/>
      <c r="F213" s="244"/>
      <c r="G213" s="244"/>
      <c r="H213" s="242"/>
      <c r="I213" s="242"/>
      <c r="J213" s="242"/>
      <c r="K213" s="242"/>
      <c r="L213" s="244"/>
      <c r="M213" s="242"/>
      <c r="N213" s="265"/>
      <c r="O213" s="265"/>
      <c r="P213" s="265"/>
      <c r="Q213" s="265"/>
      <c r="R213" s="265"/>
      <c r="S213" s="265"/>
      <c r="T213" s="265"/>
      <c r="U213" s="265"/>
      <c r="V213" s="265"/>
      <c r="W213" s="265"/>
      <c r="X213" s="265"/>
      <c r="Y213" s="265"/>
      <c r="Z213" s="265"/>
      <c r="AA213" s="265"/>
      <c r="AB213" s="265"/>
      <c r="AC213" s="265"/>
      <c r="AD213" s="265"/>
      <c r="AE213" s="265"/>
      <c r="AF213" s="265"/>
      <c r="AG213" s="265"/>
      <c r="AH213" s="265"/>
      <c r="AI213" s="265"/>
      <c r="AJ213" s="265"/>
      <c r="AK213" s="265"/>
      <c r="AL213" s="265"/>
      <c r="AM213" s="244"/>
    </row>
    <row r="214" spans="1:39" ht="18" customHeight="1" x14ac:dyDescent="0.15">
      <c r="A214" s="242"/>
      <c r="B214" s="244"/>
      <c r="C214" s="242"/>
      <c r="D214" s="265"/>
      <c r="E214" s="244"/>
      <c r="F214" s="244"/>
      <c r="G214" s="244"/>
      <c r="H214" s="242"/>
      <c r="I214" s="242"/>
      <c r="J214" s="242"/>
      <c r="K214" s="242"/>
      <c r="L214" s="244"/>
      <c r="M214" s="242"/>
      <c r="N214" s="265"/>
      <c r="O214" s="265"/>
      <c r="P214" s="265"/>
      <c r="Q214" s="265"/>
      <c r="R214" s="265"/>
      <c r="S214" s="265"/>
      <c r="T214" s="265"/>
      <c r="U214" s="265"/>
      <c r="V214" s="265"/>
      <c r="W214" s="265"/>
      <c r="X214" s="265"/>
      <c r="Y214" s="265"/>
      <c r="Z214" s="265"/>
      <c r="AA214" s="265"/>
      <c r="AB214" s="265"/>
      <c r="AC214" s="265"/>
      <c r="AD214" s="265"/>
      <c r="AE214" s="265"/>
      <c r="AF214" s="265"/>
      <c r="AG214" s="265"/>
      <c r="AH214" s="265"/>
      <c r="AI214" s="265"/>
      <c r="AJ214" s="265"/>
      <c r="AK214" s="265"/>
      <c r="AL214" s="265"/>
      <c r="AM214" s="244"/>
    </row>
    <row r="215" spans="1:39" ht="18" customHeight="1" x14ac:dyDescent="0.15">
      <c r="A215" s="242"/>
      <c r="B215" s="244"/>
      <c r="C215" s="242"/>
      <c r="D215" s="265"/>
      <c r="E215" s="244"/>
      <c r="F215" s="244"/>
      <c r="G215" s="244"/>
      <c r="H215" s="242"/>
      <c r="I215" s="242"/>
      <c r="J215" s="242"/>
      <c r="K215" s="242"/>
      <c r="L215" s="244"/>
      <c r="M215" s="242"/>
      <c r="N215" s="265"/>
      <c r="O215" s="265"/>
      <c r="P215" s="265"/>
      <c r="Q215" s="265"/>
      <c r="R215" s="265"/>
      <c r="S215" s="265"/>
      <c r="T215" s="265"/>
      <c r="U215" s="265"/>
      <c r="V215" s="265"/>
      <c r="W215" s="265"/>
      <c r="X215" s="265"/>
      <c r="Y215" s="265"/>
      <c r="Z215" s="265"/>
      <c r="AA215" s="265"/>
      <c r="AB215" s="265"/>
      <c r="AC215" s="265"/>
      <c r="AD215" s="265"/>
      <c r="AE215" s="265"/>
      <c r="AF215" s="265"/>
      <c r="AG215" s="265"/>
      <c r="AH215" s="265"/>
      <c r="AI215" s="265"/>
      <c r="AJ215" s="265"/>
      <c r="AK215" s="265"/>
      <c r="AL215" s="265"/>
      <c r="AM215" s="244"/>
    </row>
    <row r="216" spans="1:39" ht="18" customHeight="1" x14ac:dyDescent="0.15">
      <c r="A216" s="242"/>
      <c r="B216" s="244"/>
      <c r="C216" s="242"/>
      <c r="D216" s="265"/>
      <c r="E216" s="244"/>
      <c r="F216" s="244"/>
      <c r="G216" s="244"/>
      <c r="H216" s="242"/>
      <c r="I216" s="242"/>
      <c r="J216" s="242"/>
      <c r="K216" s="242"/>
      <c r="L216" s="244"/>
      <c r="M216" s="242"/>
      <c r="N216" s="265"/>
      <c r="O216" s="265"/>
      <c r="P216" s="265"/>
      <c r="Q216" s="265"/>
      <c r="R216" s="265"/>
      <c r="S216" s="265"/>
      <c r="T216" s="265"/>
      <c r="U216" s="265"/>
      <c r="V216" s="265"/>
      <c r="W216" s="265"/>
      <c r="X216" s="265"/>
      <c r="Y216" s="265"/>
      <c r="Z216" s="265"/>
      <c r="AA216" s="265"/>
      <c r="AB216" s="265"/>
      <c r="AC216" s="265"/>
      <c r="AD216" s="265"/>
      <c r="AE216" s="265"/>
      <c r="AF216" s="265"/>
      <c r="AG216" s="265"/>
      <c r="AH216" s="265"/>
      <c r="AI216" s="265"/>
      <c r="AJ216" s="265"/>
      <c r="AK216" s="265"/>
      <c r="AL216" s="265"/>
      <c r="AM216" s="244"/>
    </row>
    <row r="217" spans="1:39" ht="18" customHeight="1" x14ac:dyDescent="0.15">
      <c r="A217" s="242"/>
      <c r="B217" s="244"/>
      <c r="C217" s="242"/>
      <c r="D217" s="265"/>
      <c r="E217" s="244"/>
      <c r="F217" s="244"/>
      <c r="G217" s="244"/>
      <c r="H217" s="242"/>
      <c r="I217" s="242"/>
      <c r="J217" s="242"/>
      <c r="K217" s="242"/>
      <c r="L217" s="244"/>
      <c r="M217" s="242"/>
      <c r="N217" s="265"/>
      <c r="O217" s="265"/>
      <c r="P217" s="265"/>
      <c r="Q217" s="265"/>
      <c r="R217" s="265"/>
      <c r="S217" s="265"/>
      <c r="T217" s="265"/>
      <c r="U217" s="265"/>
      <c r="V217" s="265"/>
      <c r="W217" s="265"/>
      <c r="X217" s="265"/>
      <c r="Y217" s="265"/>
      <c r="Z217" s="265"/>
      <c r="AA217" s="265"/>
      <c r="AB217" s="265"/>
      <c r="AC217" s="265"/>
      <c r="AD217" s="265"/>
      <c r="AE217" s="265"/>
      <c r="AF217" s="265"/>
      <c r="AG217" s="265"/>
      <c r="AH217" s="265"/>
      <c r="AI217" s="265"/>
      <c r="AJ217" s="265"/>
      <c r="AK217" s="265"/>
      <c r="AL217" s="265"/>
      <c r="AM217" s="244"/>
    </row>
    <row r="218" spans="1:39" ht="18" customHeight="1" x14ac:dyDescent="0.15">
      <c r="A218" s="242"/>
      <c r="B218" s="244"/>
      <c r="C218" s="242"/>
      <c r="D218" s="265"/>
      <c r="E218" s="244"/>
      <c r="F218" s="244"/>
      <c r="G218" s="244"/>
      <c r="H218" s="242"/>
      <c r="I218" s="242"/>
      <c r="J218" s="242"/>
      <c r="K218" s="242"/>
      <c r="L218" s="244"/>
      <c r="M218" s="242"/>
      <c r="N218" s="265"/>
      <c r="O218" s="265"/>
      <c r="P218" s="265"/>
      <c r="Q218" s="265"/>
      <c r="R218" s="265"/>
      <c r="S218" s="265"/>
      <c r="T218" s="265"/>
      <c r="U218" s="265"/>
      <c r="V218" s="265"/>
      <c r="W218" s="265"/>
      <c r="X218" s="265"/>
      <c r="Y218" s="265"/>
      <c r="Z218" s="265"/>
      <c r="AA218" s="265"/>
      <c r="AB218" s="265"/>
      <c r="AC218" s="265"/>
      <c r="AD218" s="265"/>
      <c r="AE218" s="265"/>
      <c r="AF218" s="265"/>
      <c r="AG218" s="265"/>
      <c r="AH218" s="265"/>
      <c r="AI218" s="265"/>
      <c r="AJ218" s="265"/>
      <c r="AK218" s="265"/>
      <c r="AL218" s="265"/>
      <c r="AM218" s="244"/>
    </row>
    <row r="219" spans="1:39" ht="18" customHeight="1" x14ac:dyDescent="0.15">
      <c r="A219" s="242"/>
      <c r="B219" s="244"/>
      <c r="C219" s="242"/>
      <c r="D219" s="265"/>
      <c r="E219" s="244"/>
      <c r="F219" s="244"/>
      <c r="G219" s="244"/>
      <c r="H219" s="242"/>
      <c r="I219" s="242"/>
      <c r="J219" s="242"/>
      <c r="K219" s="242"/>
      <c r="L219" s="244"/>
      <c r="M219" s="242"/>
      <c r="N219" s="265"/>
      <c r="O219" s="265"/>
      <c r="P219" s="265"/>
      <c r="Q219" s="265"/>
      <c r="R219" s="265"/>
      <c r="S219" s="265"/>
      <c r="T219" s="265"/>
      <c r="U219" s="265"/>
      <c r="V219" s="265"/>
      <c r="W219" s="265"/>
      <c r="X219" s="265"/>
      <c r="Y219" s="265"/>
      <c r="Z219" s="265"/>
      <c r="AA219" s="265"/>
      <c r="AB219" s="265"/>
      <c r="AC219" s="265"/>
      <c r="AD219" s="265"/>
      <c r="AE219" s="265"/>
      <c r="AF219" s="265"/>
      <c r="AG219" s="265"/>
      <c r="AH219" s="265"/>
      <c r="AI219" s="265"/>
      <c r="AJ219" s="265"/>
      <c r="AK219" s="265"/>
      <c r="AL219" s="265"/>
      <c r="AM219" s="244"/>
    </row>
    <row r="220" spans="1:39" ht="18" customHeight="1" x14ac:dyDescent="0.15">
      <c r="A220" s="242"/>
      <c r="B220" s="244"/>
      <c r="C220" s="242"/>
      <c r="D220" s="265"/>
      <c r="E220" s="244"/>
      <c r="F220" s="244"/>
      <c r="G220" s="244"/>
      <c r="H220" s="242"/>
      <c r="I220" s="242"/>
      <c r="J220" s="242"/>
      <c r="K220" s="242"/>
      <c r="L220" s="244"/>
      <c r="M220" s="242"/>
      <c r="N220" s="265"/>
      <c r="O220" s="265"/>
      <c r="P220" s="265"/>
      <c r="Q220" s="265"/>
      <c r="R220" s="265"/>
      <c r="S220" s="265"/>
      <c r="T220" s="265"/>
      <c r="U220" s="265"/>
      <c r="V220" s="265"/>
      <c r="W220" s="265"/>
      <c r="X220" s="265"/>
      <c r="Y220" s="265"/>
      <c r="Z220" s="265"/>
      <c r="AA220" s="265"/>
      <c r="AB220" s="265"/>
      <c r="AC220" s="265"/>
      <c r="AD220" s="265"/>
      <c r="AE220" s="265"/>
      <c r="AF220" s="265"/>
      <c r="AG220" s="265"/>
      <c r="AH220" s="265"/>
      <c r="AI220" s="265"/>
      <c r="AJ220" s="265"/>
      <c r="AK220" s="265"/>
      <c r="AL220" s="265"/>
      <c r="AM220" s="244"/>
    </row>
    <row r="221" spans="1:39" ht="18" customHeight="1" x14ac:dyDescent="0.15">
      <c r="A221" s="242"/>
      <c r="B221" s="244"/>
      <c r="C221" s="242"/>
      <c r="D221" s="265"/>
      <c r="E221" s="244"/>
      <c r="F221" s="244"/>
      <c r="G221" s="244"/>
      <c r="H221" s="242"/>
      <c r="I221" s="242"/>
      <c r="J221" s="242"/>
      <c r="K221" s="242"/>
      <c r="L221" s="244"/>
      <c r="M221" s="242"/>
      <c r="N221" s="265"/>
      <c r="O221" s="265"/>
      <c r="P221" s="265"/>
      <c r="Q221" s="265"/>
      <c r="R221" s="265"/>
      <c r="S221" s="265"/>
      <c r="T221" s="265"/>
      <c r="U221" s="265"/>
      <c r="V221" s="265"/>
      <c r="W221" s="265"/>
      <c r="X221" s="265"/>
      <c r="Y221" s="265"/>
      <c r="Z221" s="265"/>
      <c r="AA221" s="265"/>
      <c r="AB221" s="265"/>
      <c r="AC221" s="265"/>
      <c r="AD221" s="265"/>
      <c r="AE221" s="265"/>
      <c r="AF221" s="265"/>
      <c r="AG221" s="265"/>
      <c r="AH221" s="265"/>
      <c r="AI221" s="265"/>
      <c r="AJ221" s="265"/>
      <c r="AK221" s="265"/>
      <c r="AL221" s="265"/>
      <c r="AM221" s="244"/>
    </row>
    <row r="222" spans="1:39" ht="18" customHeight="1" x14ac:dyDescent="0.15">
      <c r="A222" s="242"/>
      <c r="B222" s="244"/>
      <c r="C222" s="242"/>
      <c r="D222" s="265"/>
      <c r="E222" s="244"/>
      <c r="F222" s="244"/>
      <c r="G222" s="244"/>
      <c r="H222" s="242"/>
      <c r="I222" s="242"/>
      <c r="J222" s="242"/>
      <c r="K222" s="242"/>
      <c r="L222" s="244"/>
      <c r="M222" s="242"/>
      <c r="N222" s="265"/>
      <c r="O222" s="265"/>
      <c r="P222" s="265"/>
      <c r="Q222" s="265"/>
      <c r="R222" s="265"/>
      <c r="S222" s="265"/>
      <c r="T222" s="265"/>
      <c r="U222" s="265"/>
      <c r="V222" s="265"/>
      <c r="W222" s="265"/>
      <c r="X222" s="265"/>
      <c r="Y222" s="265"/>
      <c r="Z222" s="265"/>
      <c r="AA222" s="265"/>
      <c r="AB222" s="265"/>
      <c r="AC222" s="265"/>
      <c r="AD222" s="265"/>
      <c r="AE222" s="265"/>
      <c r="AF222" s="265"/>
      <c r="AG222" s="265"/>
      <c r="AH222" s="265"/>
      <c r="AI222" s="265"/>
      <c r="AJ222" s="265"/>
      <c r="AK222" s="265"/>
      <c r="AL222" s="265"/>
      <c r="AM222" s="244"/>
    </row>
    <row r="223" spans="1:39" ht="18" customHeight="1" x14ac:dyDescent="0.15">
      <c r="A223" s="242"/>
      <c r="B223" s="244"/>
      <c r="C223" s="242"/>
      <c r="D223" s="265"/>
      <c r="E223" s="244"/>
      <c r="F223" s="244"/>
      <c r="G223" s="244"/>
      <c r="H223" s="242"/>
      <c r="I223" s="242"/>
      <c r="J223" s="242"/>
      <c r="K223" s="242"/>
      <c r="L223" s="244"/>
      <c r="M223" s="242"/>
      <c r="N223" s="265"/>
      <c r="O223" s="265"/>
      <c r="P223" s="265"/>
      <c r="Q223" s="265"/>
      <c r="R223" s="265"/>
      <c r="S223" s="265"/>
      <c r="T223" s="265"/>
      <c r="U223" s="265"/>
      <c r="V223" s="265"/>
      <c r="W223" s="265"/>
      <c r="X223" s="265"/>
      <c r="Y223" s="265"/>
      <c r="Z223" s="265"/>
      <c r="AA223" s="265"/>
      <c r="AB223" s="265"/>
      <c r="AC223" s="265"/>
      <c r="AD223" s="265"/>
      <c r="AE223" s="265"/>
      <c r="AF223" s="265"/>
      <c r="AG223" s="265"/>
      <c r="AH223" s="265"/>
      <c r="AI223" s="265"/>
      <c r="AJ223" s="265"/>
      <c r="AK223" s="265"/>
      <c r="AL223" s="265"/>
      <c r="AM223" s="244"/>
    </row>
    <row r="224" spans="1:39" ht="18" customHeight="1" x14ac:dyDescent="0.15">
      <c r="A224" s="242"/>
      <c r="B224" s="244"/>
      <c r="C224" s="242"/>
      <c r="D224" s="265"/>
      <c r="E224" s="244"/>
      <c r="F224" s="244"/>
      <c r="G224" s="244"/>
      <c r="H224" s="242"/>
      <c r="I224" s="242"/>
      <c r="J224" s="242"/>
      <c r="K224" s="242"/>
      <c r="L224" s="244"/>
      <c r="M224" s="242"/>
      <c r="N224" s="265"/>
      <c r="O224" s="265"/>
      <c r="P224" s="265"/>
      <c r="Q224" s="265"/>
      <c r="R224" s="265"/>
      <c r="S224" s="265"/>
      <c r="T224" s="265"/>
      <c r="U224" s="265"/>
      <c r="V224" s="265"/>
      <c r="W224" s="265"/>
      <c r="X224" s="265"/>
      <c r="Y224" s="265"/>
      <c r="Z224" s="265"/>
      <c r="AA224" s="265"/>
      <c r="AB224" s="265"/>
      <c r="AC224" s="265"/>
      <c r="AD224" s="265"/>
      <c r="AE224" s="265"/>
      <c r="AF224" s="265"/>
      <c r="AG224" s="265"/>
      <c r="AH224" s="265"/>
      <c r="AI224" s="265"/>
      <c r="AJ224" s="265"/>
      <c r="AK224" s="265"/>
      <c r="AL224" s="265"/>
      <c r="AM224" s="244"/>
    </row>
    <row r="225" spans="1:39" ht="18" customHeight="1" x14ac:dyDescent="0.15">
      <c r="A225" s="242"/>
      <c r="B225" s="244"/>
      <c r="C225" s="242"/>
      <c r="D225" s="265"/>
      <c r="E225" s="244"/>
      <c r="F225" s="244"/>
      <c r="G225" s="244"/>
      <c r="H225" s="242"/>
      <c r="I225" s="242"/>
      <c r="J225" s="242"/>
      <c r="K225" s="242"/>
      <c r="L225" s="244"/>
      <c r="M225" s="242"/>
      <c r="N225" s="265"/>
      <c r="O225" s="265"/>
      <c r="P225" s="265"/>
      <c r="Q225" s="265"/>
      <c r="R225" s="265"/>
      <c r="S225" s="265"/>
      <c r="T225" s="265"/>
      <c r="U225" s="265"/>
      <c r="V225" s="265"/>
      <c r="W225" s="265"/>
      <c r="X225" s="265"/>
      <c r="Y225" s="265"/>
      <c r="Z225" s="265"/>
      <c r="AA225" s="265"/>
      <c r="AB225" s="265"/>
      <c r="AC225" s="265"/>
      <c r="AD225" s="265"/>
      <c r="AE225" s="265"/>
      <c r="AF225" s="265"/>
      <c r="AG225" s="265"/>
      <c r="AH225" s="265"/>
      <c r="AI225" s="265"/>
      <c r="AJ225" s="265"/>
      <c r="AK225" s="265"/>
      <c r="AL225" s="265"/>
      <c r="AM225" s="244"/>
    </row>
    <row r="226" spans="1:39" ht="18" customHeight="1" x14ac:dyDescent="0.15">
      <c r="A226" s="242"/>
      <c r="B226" s="244"/>
      <c r="C226" s="242"/>
      <c r="D226" s="265"/>
      <c r="E226" s="244"/>
      <c r="F226" s="244"/>
      <c r="G226" s="244"/>
      <c r="H226" s="242"/>
      <c r="I226" s="242"/>
      <c r="J226" s="242"/>
      <c r="K226" s="242"/>
      <c r="L226" s="244"/>
      <c r="M226" s="242"/>
      <c r="N226" s="265"/>
      <c r="O226" s="265"/>
      <c r="P226" s="265"/>
      <c r="Q226" s="265"/>
      <c r="R226" s="265"/>
      <c r="S226" s="265"/>
      <c r="T226" s="265"/>
      <c r="U226" s="265"/>
      <c r="V226" s="265"/>
      <c r="W226" s="265"/>
      <c r="X226" s="265"/>
      <c r="Y226" s="265"/>
      <c r="Z226" s="265"/>
      <c r="AA226" s="265"/>
      <c r="AB226" s="265"/>
      <c r="AC226" s="265"/>
      <c r="AD226" s="265"/>
      <c r="AE226" s="265"/>
      <c r="AF226" s="265"/>
      <c r="AG226" s="265"/>
      <c r="AH226" s="265"/>
      <c r="AI226" s="265"/>
      <c r="AJ226" s="265"/>
      <c r="AK226" s="265"/>
      <c r="AL226" s="265"/>
      <c r="AM226" s="244"/>
    </row>
    <row r="227" spans="1:39" ht="18" customHeight="1" x14ac:dyDescent="0.15">
      <c r="A227" s="242"/>
      <c r="B227" s="244"/>
      <c r="C227" s="242"/>
      <c r="D227" s="265"/>
      <c r="E227" s="244"/>
      <c r="F227" s="244"/>
      <c r="G227" s="244"/>
      <c r="H227" s="242"/>
      <c r="I227" s="242"/>
      <c r="J227" s="242"/>
      <c r="K227" s="242"/>
      <c r="L227" s="244"/>
      <c r="M227" s="242"/>
      <c r="N227" s="265"/>
      <c r="O227" s="265"/>
      <c r="P227" s="265"/>
      <c r="Q227" s="265"/>
      <c r="R227" s="265"/>
      <c r="S227" s="265"/>
      <c r="T227" s="265"/>
      <c r="U227" s="265"/>
      <c r="V227" s="265"/>
      <c r="W227" s="265"/>
      <c r="X227" s="265"/>
      <c r="Y227" s="265"/>
      <c r="Z227" s="265"/>
      <c r="AA227" s="265"/>
      <c r="AB227" s="265"/>
      <c r="AC227" s="265"/>
      <c r="AD227" s="265"/>
      <c r="AE227" s="265"/>
      <c r="AF227" s="265"/>
      <c r="AG227" s="265"/>
      <c r="AH227" s="265"/>
      <c r="AI227" s="265"/>
      <c r="AJ227" s="265"/>
      <c r="AK227" s="265"/>
      <c r="AL227" s="265"/>
      <c r="AM227" s="244"/>
    </row>
    <row r="228" spans="1:39" ht="18" customHeight="1" x14ac:dyDescent="0.15">
      <c r="A228" s="242"/>
      <c r="B228" s="244"/>
      <c r="C228" s="242"/>
      <c r="D228" s="265"/>
      <c r="E228" s="244"/>
      <c r="F228" s="244"/>
      <c r="G228" s="244"/>
      <c r="H228" s="242"/>
      <c r="I228" s="242"/>
      <c r="J228" s="242"/>
      <c r="K228" s="242"/>
      <c r="L228" s="244"/>
      <c r="M228" s="242"/>
      <c r="N228" s="265"/>
      <c r="O228" s="265"/>
      <c r="P228" s="265"/>
      <c r="Q228" s="265"/>
      <c r="R228" s="265"/>
      <c r="S228" s="265"/>
      <c r="T228" s="265"/>
      <c r="U228" s="265"/>
      <c r="V228" s="265"/>
      <c r="W228" s="265"/>
      <c r="X228" s="265"/>
      <c r="Y228" s="265"/>
      <c r="Z228" s="265"/>
      <c r="AA228" s="265"/>
      <c r="AB228" s="265"/>
      <c r="AC228" s="265"/>
      <c r="AD228" s="265"/>
      <c r="AE228" s="265"/>
      <c r="AF228" s="265"/>
      <c r="AG228" s="265"/>
      <c r="AH228" s="265"/>
      <c r="AI228" s="265"/>
      <c r="AJ228" s="265"/>
      <c r="AK228" s="265"/>
      <c r="AL228" s="265"/>
      <c r="AM228" s="244"/>
    </row>
    <row r="229" spans="1:39" ht="18" customHeight="1" x14ac:dyDescent="0.15">
      <c r="A229" s="242"/>
      <c r="B229" s="244"/>
      <c r="C229" s="242"/>
      <c r="D229" s="265"/>
      <c r="E229" s="244"/>
      <c r="F229" s="244"/>
      <c r="G229" s="244"/>
      <c r="H229" s="242"/>
      <c r="I229" s="242"/>
      <c r="J229" s="242"/>
      <c r="K229" s="242"/>
      <c r="L229" s="244"/>
      <c r="M229" s="242"/>
      <c r="N229" s="265"/>
      <c r="O229" s="265"/>
      <c r="P229" s="265"/>
      <c r="Q229" s="265"/>
      <c r="R229" s="265"/>
      <c r="S229" s="265"/>
      <c r="T229" s="265"/>
      <c r="U229" s="265"/>
      <c r="V229" s="265"/>
      <c r="W229" s="265"/>
      <c r="X229" s="265"/>
      <c r="Y229" s="265"/>
      <c r="Z229" s="265"/>
      <c r="AA229" s="265"/>
      <c r="AB229" s="265"/>
      <c r="AC229" s="265"/>
      <c r="AD229" s="265"/>
      <c r="AE229" s="265"/>
      <c r="AF229" s="265"/>
      <c r="AG229" s="265"/>
      <c r="AH229" s="265"/>
      <c r="AI229" s="265"/>
      <c r="AJ229" s="265"/>
      <c r="AK229" s="265"/>
      <c r="AL229" s="265"/>
      <c r="AM229" s="244"/>
    </row>
    <row r="230" spans="1:39" ht="18" customHeight="1" x14ac:dyDescent="0.15">
      <c r="A230" s="242"/>
      <c r="B230" s="244"/>
      <c r="C230" s="242"/>
      <c r="D230" s="265"/>
      <c r="E230" s="244"/>
      <c r="F230" s="244"/>
      <c r="G230" s="244"/>
      <c r="H230" s="242"/>
      <c r="I230" s="242"/>
      <c r="J230" s="242"/>
      <c r="K230" s="242"/>
      <c r="L230" s="244"/>
      <c r="M230" s="242"/>
      <c r="N230" s="265"/>
      <c r="O230" s="265"/>
      <c r="P230" s="265"/>
      <c r="Q230" s="265"/>
      <c r="R230" s="265"/>
      <c r="S230" s="265"/>
      <c r="T230" s="265"/>
      <c r="U230" s="265"/>
      <c r="V230" s="265"/>
      <c r="W230" s="265"/>
      <c r="X230" s="265"/>
      <c r="Y230" s="265"/>
      <c r="Z230" s="265"/>
      <c r="AA230" s="265"/>
      <c r="AB230" s="265"/>
      <c r="AC230" s="265"/>
      <c r="AD230" s="265"/>
      <c r="AE230" s="265"/>
      <c r="AF230" s="265"/>
      <c r="AG230" s="265"/>
      <c r="AH230" s="265"/>
      <c r="AI230" s="265"/>
      <c r="AJ230" s="265"/>
      <c r="AK230" s="265"/>
      <c r="AL230" s="265"/>
      <c r="AM230" s="244"/>
    </row>
    <row r="231" spans="1:39" ht="18" customHeight="1" x14ac:dyDescent="0.15">
      <c r="A231" s="242"/>
      <c r="B231" s="244"/>
      <c r="C231" s="242"/>
      <c r="D231" s="265"/>
      <c r="E231" s="244"/>
      <c r="F231" s="244"/>
      <c r="G231" s="244"/>
      <c r="H231" s="242"/>
      <c r="I231" s="242"/>
      <c r="J231" s="242"/>
      <c r="K231" s="242"/>
      <c r="L231" s="244"/>
      <c r="M231" s="242"/>
      <c r="N231" s="265"/>
      <c r="O231" s="265"/>
      <c r="P231" s="265"/>
      <c r="Q231" s="265"/>
      <c r="R231" s="265"/>
      <c r="S231" s="265"/>
      <c r="T231" s="265"/>
      <c r="U231" s="265"/>
      <c r="V231" s="265"/>
      <c r="W231" s="265"/>
      <c r="X231" s="265"/>
      <c r="Y231" s="265"/>
      <c r="Z231" s="265"/>
      <c r="AA231" s="265"/>
      <c r="AB231" s="265"/>
      <c r="AC231" s="265"/>
      <c r="AD231" s="265"/>
      <c r="AE231" s="265"/>
      <c r="AF231" s="265"/>
      <c r="AG231" s="265"/>
      <c r="AH231" s="265"/>
      <c r="AI231" s="265"/>
      <c r="AJ231" s="265"/>
      <c r="AK231" s="265"/>
      <c r="AL231" s="265"/>
      <c r="AM231" s="244"/>
    </row>
    <row r="232" spans="1:39" ht="18" customHeight="1" x14ac:dyDescent="0.15">
      <c r="A232" s="242"/>
      <c r="B232" s="244"/>
      <c r="C232" s="242"/>
      <c r="D232" s="265"/>
      <c r="E232" s="244"/>
      <c r="F232" s="244"/>
      <c r="G232" s="244"/>
      <c r="H232" s="242"/>
      <c r="I232" s="242"/>
      <c r="J232" s="242"/>
      <c r="K232" s="242"/>
      <c r="L232" s="244"/>
      <c r="M232" s="242"/>
      <c r="N232" s="265"/>
      <c r="O232" s="265"/>
      <c r="P232" s="265"/>
      <c r="Q232" s="265"/>
      <c r="R232" s="265"/>
      <c r="S232" s="265"/>
      <c r="T232" s="265"/>
      <c r="U232" s="265"/>
      <c r="V232" s="265"/>
      <c r="W232" s="265"/>
      <c r="X232" s="265"/>
      <c r="Y232" s="265"/>
      <c r="Z232" s="265"/>
      <c r="AA232" s="265"/>
      <c r="AB232" s="265"/>
      <c r="AC232" s="265"/>
      <c r="AD232" s="265"/>
      <c r="AE232" s="265"/>
      <c r="AF232" s="265"/>
      <c r="AG232" s="265"/>
      <c r="AH232" s="265"/>
      <c r="AI232" s="265"/>
      <c r="AJ232" s="265"/>
      <c r="AK232" s="265"/>
      <c r="AL232" s="265"/>
      <c r="AM232" s="244"/>
    </row>
    <row r="233" spans="1:39" ht="18" customHeight="1" x14ac:dyDescent="0.15">
      <c r="A233" s="242"/>
      <c r="B233" s="244"/>
      <c r="C233" s="242"/>
      <c r="D233" s="265"/>
      <c r="E233" s="244"/>
      <c r="F233" s="244"/>
      <c r="G233" s="244"/>
      <c r="H233" s="242"/>
      <c r="I233" s="242"/>
      <c r="J233" s="242"/>
      <c r="K233" s="242"/>
      <c r="L233" s="244"/>
      <c r="M233" s="242"/>
      <c r="N233" s="265"/>
      <c r="O233" s="265"/>
      <c r="P233" s="265"/>
      <c r="Q233" s="265"/>
      <c r="R233" s="265"/>
      <c r="S233" s="265"/>
      <c r="T233" s="265"/>
      <c r="U233" s="265"/>
      <c r="V233" s="265"/>
      <c r="W233" s="265"/>
      <c r="X233" s="265"/>
      <c r="Y233" s="265"/>
      <c r="Z233" s="265"/>
      <c r="AA233" s="265"/>
      <c r="AB233" s="265"/>
      <c r="AC233" s="265"/>
      <c r="AD233" s="265"/>
      <c r="AE233" s="265"/>
      <c r="AF233" s="265"/>
      <c r="AG233" s="265"/>
      <c r="AH233" s="265"/>
      <c r="AI233" s="265"/>
      <c r="AJ233" s="265"/>
      <c r="AK233" s="265"/>
      <c r="AL233" s="265"/>
      <c r="AM233" s="244"/>
    </row>
    <row r="234" spans="1:39" ht="18" customHeight="1" x14ac:dyDescent="0.15">
      <c r="A234" s="242"/>
      <c r="B234" s="244"/>
      <c r="C234" s="242"/>
      <c r="D234" s="265"/>
      <c r="E234" s="244"/>
      <c r="F234" s="244"/>
      <c r="G234" s="244"/>
      <c r="H234" s="242"/>
      <c r="I234" s="242"/>
      <c r="J234" s="242"/>
      <c r="K234" s="242"/>
      <c r="L234" s="244"/>
      <c r="M234" s="242"/>
      <c r="N234" s="265"/>
      <c r="O234" s="265"/>
      <c r="P234" s="265"/>
      <c r="Q234" s="265"/>
      <c r="R234" s="265"/>
      <c r="S234" s="265"/>
      <c r="T234" s="265"/>
      <c r="U234" s="265"/>
      <c r="V234" s="265"/>
      <c r="W234" s="265"/>
      <c r="X234" s="265"/>
      <c r="Y234" s="265"/>
      <c r="Z234" s="265"/>
      <c r="AA234" s="265"/>
      <c r="AB234" s="265"/>
      <c r="AC234" s="265"/>
      <c r="AD234" s="265"/>
      <c r="AE234" s="265"/>
      <c r="AF234" s="265"/>
      <c r="AG234" s="265"/>
      <c r="AH234" s="265"/>
      <c r="AI234" s="265"/>
      <c r="AJ234" s="265"/>
      <c r="AK234" s="265"/>
      <c r="AL234" s="265"/>
      <c r="AM234" s="244"/>
    </row>
    <row r="235" spans="1:39" ht="18" customHeight="1" x14ac:dyDescent="0.15">
      <c r="A235" s="242"/>
      <c r="B235" s="244"/>
      <c r="C235" s="242"/>
      <c r="D235" s="265"/>
      <c r="E235" s="244"/>
      <c r="F235" s="244"/>
      <c r="G235" s="244"/>
      <c r="H235" s="242"/>
      <c r="I235" s="242"/>
      <c r="J235" s="242"/>
      <c r="K235" s="242"/>
      <c r="L235" s="244"/>
      <c r="M235" s="242"/>
      <c r="N235" s="265"/>
      <c r="O235" s="265"/>
      <c r="P235" s="265"/>
      <c r="Q235" s="265"/>
      <c r="R235" s="265"/>
      <c r="S235" s="265"/>
      <c r="T235" s="265"/>
      <c r="U235" s="265"/>
      <c r="V235" s="265"/>
      <c r="W235" s="265"/>
      <c r="X235" s="265"/>
      <c r="Y235" s="265"/>
      <c r="Z235" s="265"/>
      <c r="AA235" s="265"/>
      <c r="AB235" s="265"/>
      <c r="AC235" s="265"/>
      <c r="AD235" s="265"/>
      <c r="AE235" s="265"/>
      <c r="AF235" s="265"/>
      <c r="AG235" s="265"/>
      <c r="AH235" s="265"/>
      <c r="AI235" s="265"/>
      <c r="AJ235" s="265"/>
      <c r="AK235" s="265"/>
      <c r="AL235" s="265"/>
      <c r="AM235" s="244"/>
    </row>
    <row r="236" spans="1:39" ht="18" customHeight="1" x14ac:dyDescent="0.15">
      <c r="A236" s="242"/>
      <c r="B236" s="244"/>
      <c r="C236" s="242"/>
      <c r="D236" s="265"/>
      <c r="E236" s="244"/>
      <c r="F236" s="244"/>
      <c r="G236" s="244"/>
      <c r="H236" s="242"/>
      <c r="I236" s="242"/>
      <c r="J236" s="242"/>
      <c r="K236" s="242"/>
      <c r="L236" s="244"/>
      <c r="M236" s="242"/>
      <c r="N236" s="265"/>
      <c r="O236" s="265"/>
      <c r="P236" s="265"/>
      <c r="Q236" s="265"/>
      <c r="R236" s="265"/>
      <c r="S236" s="265"/>
      <c r="T236" s="265"/>
      <c r="U236" s="265"/>
      <c r="V236" s="265"/>
      <c r="W236" s="265"/>
      <c r="X236" s="265"/>
      <c r="Y236" s="265"/>
      <c r="Z236" s="265"/>
      <c r="AA236" s="265"/>
      <c r="AB236" s="265"/>
      <c r="AC236" s="265"/>
      <c r="AD236" s="265"/>
      <c r="AE236" s="265"/>
      <c r="AF236" s="265"/>
      <c r="AG236" s="265"/>
      <c r="AH236" s="265"/>
      <c r="AI236" s="265"/>
      <c r="AJ236" s="265"/>
      <c r="AK236" s="265"/>
      <c r="AL236" s="265"/>
      <c r="AM236" s="244"/>
    </row>
    <row r="237" spans="1:39" ht="18" customHeight="1" x14ac:dyDescent="0.15">
      <c r="A237" s="242"/>
      <c r="B237" s="244"/>
      <c r="C237" s="242"/>
      <c r="D237" s="265"/>
      <c r="E237" s="244"/>
      <c r="F237" s="244"/>
      <c r="G237" s="244"/>
      <c r="H237" s="242"/>
      <c r="I237" s="242"/>
      <c r="J237" s="242"/>
      <c r="K237" s="242"/>
      <c r="L237" s="244"/>
      <c r="M237" s="242"/>
      <c r="N237" s="265"/>
      <c r="O237" s="265"/>
      <c r="P237" s="265"/>
      <c r="Q237" s="265"/>
      <c r="R237" s="265"/>
      <c r="S237" s="265"/>
      <c r="T237" s="265"/>
      <c r="U237" s="265"/>
      <c r="V237" s="265"/>
      <c r="W237" s="265"/>
      <c r="X237" s="265"/>
      <c r="Y237" s="265"/>
      <c r="Z237" s="265"/>
      <c r="AA237" s="265"/>
      <c r="AB237" s="265"/>
      <c r="AC237" s="265"/>
      <c r="AD237" s="265"/>
      <c r="AE237" s="265"/>
      <c r="AF237" s="265"/>
      <c r="AG237" s="265"/>
      <c r="AH237" s="265"/>
      <c r="AI237" s="265"/>
      <c r="AJ237" s="265"/>
      <c r="AK237" s="265"/>
      <c r="AL237" s="265"/>
      <c r="AM237" s="244"/>
    </row>
    <row r="238" spans="1:39" ht="18" customHeight="1" x14ac:dyDescent="0.15">
      <c r="A238" s="242"/>
      <c r="B238" s="244"/>
      <c r="C238" s="242"/>
      <c r="D238" s="265"/>
      <c r="E238" s="244"/>
      <c r="F238" s="244"/>
      <c r="G238" s="244"/>
      <c r="H238" s="242"/>
      <c r="I238" s="242"/>
      <c r="J238" s="242"/>
      <c r="K238" s="242"/>
      <c r="L238" s="244"/>
      <c r="M238" s="242"/>
      <c r="N238" s="265"/>
      <c r="O238" s="265"/>
      <c r="P238" s="265"/>
      <c r="Q238" s="265"/>
      <c r="R238" s="265"/>
      <c r="S238" s="265"/>
      <c r="T238" s="265"/>
      <c r="U238" s="265"/>
      <c r="V238" s="265"/>
      <c r="W238" s="265"/>
      <c r="X238" s="265"/>
      <c r="Y238" s="265"/>
      <c r="Z238" s="265"/>
      <c r="AA238" s="265"/>
      <c r="AB238" s="265"/>
      <c r="AC238" s="265"/>
      <c r="AD238" s="265"/>
      <c r="AE238" s="265"/>
      <c r="AF238" s="265"/>
      <c r="AG238" s="265"/>
      <c r="AH238" s="265"/>
      <c r="AI238" s="265"/>
      <c r="AJ238" s="265"/>
      <c r="AK238" s="265"/>
      <c r="AL238" s="265"/>
      <c r="AM238" s="244"/>
    </row>
    <row r="239" spans="1:39" ht="18" customHeight="1" x14ac:dyDescent="0.15">
      <c r="A239" s="242"/>
      <c r="B239" s="244"/>
      <c r="C239" s="242"/>
      <c r="D239" s="265"/>
      <c r="E239" s="244"/>
      <c r="F239" s="244"/>
      <c r="G239" s="244"/>
      <c r="H239" s="242"/>
      <c r="I239" s="242"/>
      <c r="J239" s="242"/>
      <c r="K239" s="242"/>
      <c r="L239" s="244"/>
      <c r="M239" s="242"/>
      <c r="N239" s="265"/>
      <c r="O239" s="265"/>
      <c r="P239" s="265"/>
      <c r="Q239" s="265"/>
      <c r="R239" s="265"/>
      <c r="S239" s="265"/>
      <c r="T239" s="265"/>
      <c r="U239" s="265"/>
      <c r="V239" s="265"/>
      <c r="W239" s="265"/>
      <c r="X239" s="265"/>
      <c r="Y239" s="265"/>
      <c r="Z239" s="265"/>
      <c r="AA239" s="265"/>
      <c r="AB239" s="265"/>
      <c r="AC239" s="265"/>
      <c r="AD239" s="265"/>
      <c r="AE239" s="265"/>
      <c r="AF239" s="265"/>
      <c r="AG239" s="265"/>
      <c r="AH239" s="265"/>
      <c r="AI239" s="265"/>
      <c r="AJ239" s="265"/>
      <c r="AK239" s="265"/>
      <c r="AL239" s="265"/>
      <c r="AM239" s="244"/>
    </row>
    <row r="240" spans="1:39" ht="18" customHeight="1" x14ac:dyDescent="0.15">
      <c r="A240" s="242"/>
      <c r="B240" s="244"/>
      <c r="C240" s="242"/>
      <c r="D240" s="265"/>
      <c r="E240" s="244"/>
      <c r="F240" s="244"/>
      <c r="G240" s="244"/>
      <c r="H240" s="242"/>
      <c r="I240" s="242"/>
      <c r="J240" s="242"/>
      <c r="K240" s="242"/>
      <c r="L240" s="244"/>
      <c r="M240" s="242"/>
      <c r="N240" s="265"/>
      <c r="O240" s="265"/>
      <c r="P240" s="265"/>
      <c r="Q240" s="265"/>
      <c r="R240" s="265"/>
      <c r="S240" s="265"/>
      <c r="T240" s="265"/>
      <c r="U240" s="265"/>
      <c r="V240" s="265"/>
      <c r="W240" s="265"/>
      <c r="X240" s="265"/>
      <c r="Y240" s="265"/>
      <c r="Z240" s="265"/>
      <c r="AA240" s="265"/>
      <c r="AB240" s="265"/>
      <c r="AC240" s="265"/>
      <c r="AD240" s="265"/>
      <c r="AE240" s="265"/>
      <c r="AF240" s="265"/>
      <c r="AG240" s="265"/>
      <c r="AH240" s="265"/>
      <c r="AI240" s="265"/>
      <c r="AJ240" s="265"/>
      <c r="AK240" s="265"/>
      <c r="AL240" s="265"/>
      <c r="AM240" s="244"/>
    </row>
    <row r="241" spans="1:39" ht="18" customHeight="1" x14ac:dyDescent="0.15">
      <c r="A241" s="242"/>
      <c r="B241" s="244"/>
      <c r="C241" s="242"/>
      <c r="D241" s="265"/>
      <c r="E241" s="244"/>
      <c r="F241" s="244"/>
      <c r="G241" s="244"/>
      <c r="H241" s="242"/>
      <c r="I241" s="242"/>
      <c r="J241" s="242"/>
      <c r="K241" s="242"/>
      <c r="L241" s="244"/>
      <c r="M241" s="242"/>
      <c r="N241" s="265"/>
      <c r="O241" s="265"/>
      <c r="P241" s="265"/>
      <c r="Q241" s="265"/>
      <c r="R241" s="265"/>
      <c r="S241" s="265"/>
      <c r="T241" s="265"/>
      <c r="U241" s="265"/>
      <c r="V241" s="265"/>
      <c r="W241" s="265"/>
      <c r="X241" s="265"/>
      <c r="Y241" s="265"/>
      <c r="Z241" s="265"/>
      <c r="AA241" s="265"/>
      <c r="AB241" s="265"/>
      <c r="AC241" s="265"/>
      <c r="AD241" s="265"/>
      <c r="AE241" s="265"/>
      <c r="AF241" s="265"/>
      <c r="AG241" s="265"/>
      <c r="AH241" s="265"/>
      <c r="AI241" s="265"/>
      <c r="AJ241" s="265"/>
      <c r="AK241" s="265"/>
      <c r="AL241" s="265"/>
      <c r="AM241" s="244"/>
    </row>
    <row r="242" spans="1:39" ht="18" customHeight="1" x14ac:dyDescent="0.15">
      <c r="A242" s="242"/>
      <c r="B242" s="244"/>
      <c r="C242" s="242"/>
      <c r="D242" s="265"/>
      <c r="E242" s="244"/>
      <c r="F242" s="244"/>
      <c r="G242" s="244"/>
      <c r="H242" s="242"/>
      <c r="I242" s="242"/>
      <c r="J242" s="242"/>
      <c r="K242" s="242"/>
      <c r="L242" s="244"/>
      <c r="M242" s="242"/>
      <c r="N242" s="265"/>
      <c r="O242" s="265"/>
      <c r="P242" s="265"/>
      <c r="Q242" s="265"/>
      <c r="R242" s="265"/>
      <c r="S242" s="265"/>
      <c r="T242" s="265"/>
      <c r="U242" s="265"/>
      <c r="V242" s="265"/>
      <c r="W242" s="265"/>
      <c r="X242" s="265"/>
      <c r="Y242" s="265"/>
      <c r="Z242" s="265"/>
      <c r="AA242" s="265"/>
      <c r="AB242" s="265"/>
      <c r="AC242" s="265"/>
      <c r="AD242" s="265"/>
      <c r="AE242" s="265"/>
      <c r="AF242" s="265"/>
      <c r="AG242" s="265"/>
      <c r="AH242" s="265"/>
      <c r="AI242" s="265"/>
      <c r="AJ242" s="265"/>
      <c r="AK242" s="265"/>
      <c r="AL242" s="265"/>
      <c r="AM242" s="244"/>
    </row>
    <row r="243" spans="1:39" ht="18" customHeight="1" x14ac:dyDescent="0.15">
      <c r="A243" s="242"/>
      <c r="B243" s="244"/>
      <c r="C243" s="242"/>
      <c r="D243" s="265"/>
      <c r="E243" s="244"/>
      <c r="F243" s="244"/>
      <c r="G243" s="244"/>
      <c r="H243" s="242"/>
      <c r="I243" s="242"/>
      <c r="J243" s="242"/>
      <c r="K243" s="242"/>
      <c r="L243" s="244"/>
      <c r="M243" s="242"/>
      <c r="N243" s="265"/>
      <c r="O243" s="265"/>
      <c r="P243" s="265"/>
      <c r="Q243" s="265"/>
      <c r="R243" s="265"/>
      <c r="S243" s="265"/>
      <c r="T243" s="265"/>
      <c r="U243" s="265"/>
      <c r="V243" s="265"/>
      <c r="W243" s="265"/>
      <c r="X243" s="265"/>
      <c r="Y243" s="265"/>
      <c r="Z243" s="265"/>
      <c r="AA243" s="265"/>
      <c r="AB243" s="265"/>
      <c r="AC243" s="265"/>
      <c r="AD243" s="265"/>
      <c r="AE243" s="265"/>
      <c r="AF243" s="265"/>
      <c r="AG243" s="265"/>
      <c r="AH243" s="265"/>
      <c r="AI243" s="265"/>
      <c r="AJ243" s="265"/>
      <c r="AK243" s="265"/>
      <c r="AL243" s="265"/>
      <c r="AM243" s="244"/>
    </row>
    <row r="244" spans="1:39" ht="18" customHeight="1" x14ac:dyDescent="0.15">
      <c r="A244" s="242"/>
      <c r="B244" s="244"/>
      <c r="C244" s="242"/>
      <c r="D244" s="265"/>
      <c r="E244" s="244"/>
      <c r="F244" s="244"/>
      <c r="G244" s="244"/>
      <c r="H244" s="242"/>
      <c r="I244" s="242"/>
      <c r="J244" s="242"/>
      <c r="K244" s="242"/>
      <c r="L244" s="244"/>
      <c r="M244" s="242"/>
      <c r="N244" s="265"/>
      <c r="O244" s="265"/>
      <c r="P244" s="265"/>
      <c r="Q244" s="265"/>
      <c r="R244" s="265"/>
      <c r="S244" s="265"/>
      <c r="T244" s="265"/>
      <c r="U244" s="265"/>
      <c r="V244" s="265"/>
      <c r="W244" s="265"/>
      <c r="X244" s="265"/>
      <c r="Y244" s="265"/>
      <c r="Z244" s="265"/>
      <c r="AA244" s="265"/>
      <c r="AB244" s="265"/>
      <c r="AC244" s="265"/>
      <c r="AD244" s="265"/>
      <c r="AE244" s="265"/>
      <c r="AF244" s="265"/>
      <c r="AG244" s="265"/>
      <c r="AH244" s="265"/>
      <c r="AI244" s="265"/>
      <c r="AJ244" s="265"/>
      <c r="AK244" s="265"/>
      <c r="AL244" s="265"/>
      <c r="AM244" s="244"/>
    </row>
    <row r="245" spans="1:39" ht="18" customHeight="1" x14ac:dyDescent="0.15">
      <c r="A245" s="242"/>
      <c r="B245" s="244"/>
      <c r="C245" s="242"/>
      <c r="D245" s="265"/>
      <c r="E245" s="244"/>
      <c r="F245" s="244"/>
      <c r="G245" s="244"/>
      <c r="H245" s="242"/>
      <c r="I245" s="242"/>
      <c r="J245" s="242"/>
      <c r="K245" s="242"/>
      <c r="L245" s="244"/>
      <c r="M245" s="242"/>
      <c r="N245" s="265"/>
      <c r="O245" s="265"/>
      <c r="P245" s="265"/>
      <c r="Q245" s="265"/>
      <c r="R245" s="265"/>
      <c r="S245" s="265"/>
      <c r="T245" s="265"/>
      <c r="U245" s="265"/>
      <c r="V245" s="265"/>
      <c r="W245" s="265"/>
      <c r="X245" s="265"/>
      <c r="Y245" s="265"/>
      <c r="Z245" s="265"/>
      <c r="AA245" s="265"/>
      <c r="AB245" s="265"/>
      <c r="AC245" s="265"/>
      <c r="AD245" s="265"/>
      <c r="AE245" s="265"/>
      <c r="AF245" s="265"/>
      <c r="AG245" s="265"/>
      <c r="AH245" s="265"/>
      <c r="AI245" s="265"/>
      <c r="AJ245" s="265"/>
      <c r="AK245" s="265"/>
      <c r="AL245" s="265"/>
      <c r="AM245" s="244"/>
    </row>
    <row r="246" spans="1:39" ht="18" customHeight="1" x14ac:dyDescent="0.15">
      <c r="A246" s="242"/>
      <c r="B246" s="244"/>
      <c r="C246" s="242"/>
      <c r="D246" s="265"/>
      <c r="E246" s="244"/>
      <c r="F246" s="244"/>
      <c r="G246" s="244"/>
      <c r="H246" s="242"/>
      <c r="I246" s="242"/>
      <c r="J246" s="242"/>
      <c r="K246" s="242"/>
      <c r="L246" s="244"/>
      <c r="M246" s="242"/>
      <c r="N246" s="265"/>
      <c r="O246" s="265"/>
      <c r="P246" s="265"/>
      <c r="Q246" s="265"/>
      <c r="R246" s="265"/>
      <c r="S246" s="265"/>
      <c r="T246" s="265"/>
      <c r="U246" s="265"/>
      <c r="V246" s="265"/>
      <c r="W246" s="265"/>
      <c r="X246" s="265"/>
      <c r="Y246" s="265"/>
      <c r="Z246" s="265"/>
      <c r="AA246" s="265"/>
      <c r="AB246" s="265"/>
      <c r="AC246" s="265"/>
      <c r="AD246" s="265"/>
      <c r="AE246" s="265"/>
      <c r="AF246" s="265"/>
      <c r="AG246" s="265"/>
      <c r="AH246" s="265"/>
      <c r="AI246" s="265"/>
      <c r="AJ246" s="265"/>
      <c r="AK246" s="265"/>
      <c r="AL246" s="265"/>
      <c r="AM246" s="244"/>
    </row>
    <row r="247" spans="1:39" ht="18" customHeight="1" x14ac:dyDescent="0.15">
      <c r="A247" s="242"/>
      <c r="B247" s="244"/>
      <c r="C247" s="242"/>
      <c r="D247" s="265"/>
      <c r="E247" s="244"/>
      <c r="F247" s="244"/>
      <c r="G247" s="244"/>
      <c r="H247" s="242"/>
      <c r="I247" s="242"/>
      <c r="J247" s="242"/>
      <c r="K247" s="242"/>
      <c r="L247" s="244"/>
      <c r="M247" s="242"/>
      <c r="N247" s="265"/>
      <c r="O247" s="265"/>
      <c r="P247" s="265"/>
      <c r="Q247" s="265"/>
      <c r="R247" s="265"/>
      <c r="S247" s="265"/>
      <c r="T247" s="265"/>
      <c r="U247" s="265"/>
      <c r="V247" s="265"/>
      <c r="W247" s="265"/>
      <c r="X247" s="265"/>
      <c r="Y247" s="265"/>
      <c r="Z247" s="265"/>
      <c r="AA247" s="265"/>
      <c r="AB247" s="265"/>
      <c r="AC247" s="265"/>
      <c r="AD247" s="265"/>
      <c r="AE247" s="265"/>
      <c r="AF247" s="265"/>
      <c r="AG247" s="265"/>
      <c r="AH247" s="265"/>
      <c r="AI247" s="265"/>
      <c r="AJ247" s="265"/>
      <c r="AK247" s="265"/>
      <c r="AL247" s="265"/>
      <c r="AM247" s="244"/>
    </row>
    <row r="248" spans="1:39" ht="18" customHeight="1" x14ac:dyDescent="0.15">
      <c r="A248" s="242"/>
      <c r="B248" s="244"/>
      <c r="C248" s="242"/>
      <c r="D248" s="265"/>
      <c r="E248" s="244"/>
      <c r="F248" s="244"/>
      <c r="G248" s="244"/>
      <c r="H248" s="242"/>
      <c r="I248" s="242"/>
      <c r="J248" s="242"/>
      <c r="K248" s="242"/>
      <c r="L248" s="244"/>
      <c r="M248" s="242"/>
      <c r="N248" s="265"/>
      <c r="O248" s="265"/>
      <c r="P248" s="265"/>
      <c r="Q248" s="265"/>
      <c r="R248" s="265"/>
      <c r="S248" s="265"/>
      <c r="T248" s="265"/>
      <c r="U248" s="265"/>
      <c r="V248" s="265"/>
      <c r="W248" s="265"/>
      <c r="X248" s="265"/>
      <c r="Y248" s="265"/>
      <c r="Z248" s="265"/>
      <c r="AA248" s="265"/>
      <c r="AB248" s="265"/>
      <c r="AC248" s="265"/>
      <c r="AD248" s="265"/>
      <c r="AE248" s="265"/>
      <c r="AF248" s="265"/>
      <c r="AG248" s="265"/>
      <c r="AH248" s="265"/>
      <c r="AI248" s="265"/>
      <c r="AJ248" s="265"/>
      <c r="AK248" s="265"/>
      <c r="AL248" s="265"/>
      <c r="AM248" s="244"/>
    </row>
    <row r="249" spans="1:39" ht="18" customHeight="1" x14ac:dyDescent="0.15">
      <c r="A249" s="242"/>
      <c r="B249" s="244"/>
      <c r="C249" s="242"/>
      <c r="D249" s="265"/>
      <c r="E249" s="244"/>
      <c r="F249" s="244"/>
      <c r="G249" s="244"/>
      <c r="H249" s="242"/>
      <c r="I249" s="242"/>
      <c r="J249" s="242"/>
      <c r="K249" s="242"/>
      <c r="L249" s="244"/>
      <c r="M249" s="242"/>
      <c r="N249" s="265"/>
      <c r="O249" s="265"/>
      <c r="P249" s="265"/>
      <c r="Q249" s="265"/>
      <c r="R249" s="265"/>
      <c r="S249" s="265"/>
      <c r="T249" s="265"/>
      <c r="U249" s="265"/>
      <c r="V249" s="265"/>
      <c r="W249" s="265"/>
      <c r="X249" s="265"/>
      <c r="Y249" s="265"/>
      <c r="Z249" s="265"/>
      <c r="AA249" s="265"/>
      <c r="AB249" s="265"/>
      <c r="AC249" s="265"/>
      <c r="AD249" s="265"/>
      <c r="AE249" s="265"/>
      <c r="AF249" s="265"/>
      <c r="AG249" s="265"/>
      <c r="AH249" s="265"/>
      <c r="AI249" s="265"/>
      <c r="AJ249" s="265"/>
      <c r="AK249" s="265"/>
      <c r="AL249" s="265"/>
      <c r="AM249" s="244"/>
    </row>
    <row r="250" spans="1:39" ht="18" customHeight="1" x14ac:dyDescent="0.15">
      <c r="A250" s="242"/>
      <c r="B250" s="244"/>
      <c r="C250" s="242"/>
      <c r="D250" s="265"/>
      <c r="E250" s="244"/>
      <c r="F250" s="244"/>
      <c r="G250" s="244"/>
      <c r="H250" s="242"/>
      <c r="I250" s="242"/>
      <c r="J250" s="242"/>
      <c r="K250" s="242"/>
      <c r="L250" s="244"/>
      <c r="M250" s="242"/>
      <c r="N250" s="265"/>
      <c r="O250" s="265"/>
      <c r="P250" s="265"/>
      <c r="Q250" s="265"/>
      <c r="R250" s="265"/>
      <c r="S250" s="265"/>
      <c r="T250" s="265"/>
      <c r="U250" s="265"/>
      <c r="V250" s="265"/>
      <c r="W250" s="265"/>
      <c r="X250" s="265"/>
      <c r="Y250" s="265"/>
      <c r="Z250" s="265"/>
      <c r="AA250" s="265"/>
      <c r="AB250" s="265"/>
      <c r="AC250" s="265"/>
      <c r="AD250" s="265"/>
      <c r="AE250" s="265"/>
      <c r="AF250" s="265"/>
      <c r="AG250" s="265"/>
      <c r="AH250" s="265"/>
      <c r="AI250" s="265"/>
      <c r="AJ250" s="265"/>
      <c r="AK250" s="265"/>
      <c r="AL250" s="265"/>
      <c r="AM250" s="244"/>
    </row>
    <row r="251" spans="1:39" ht="18" customHeight="1" x14ac:dyDescent="0.15">
      <c r="A251" s="242"/>
      <c r="B251" s="244"/>
      <c r="C251" s="242"/>
      <c r="D251" s="265"/>
      <c r="E251" s="244"/>
      <c r="F251" s="244"/>
      <c r="G251" s="244"/>
      <c r="H251" s="242"/>
      <c r="I251" s="242"/>
      <c r="J251" s="242"/>
      <c r="K251" s="242"/>
      <c r="L251" s="244"/>
      <c r="M251" s="242"/>
      <c r="N251" s="265"/>
      <c r="O251" s="265"/>
      <c r="P251" s="265"/>
      <c r="Q251" s="265"/>
      <c r="R251" s="265"/>
      <c r="S251" s="265"/>
      <c r="T251" s="265"/>
      <c r="U251" s="265"/>
      <c r="V251" s="265"/>
      <c r="W251" s="265"/>
      <c r="X251" s="265"/>
      <c r="Y251" s="265"/>
      <c r="Z251" s="265"/>
      <c r="AA251" s="265"/>
      <c r="AB251" s="265"/>
      <c r="AC251" s="265"/>
      <c r="AD251" s="265"/>
      <c r="AE251" s="265"/>
      <c r="AF251" s="265"/>
      <c r="AG251" s="265"/>
      <c r="AH251" s="265"/>
      <c r="AI251" s="265"/>
      <c r="AJ251" s="265"/>
      <c r="AK251" s="265"/>
      <c r="AL251" s="265"/>
      <c r="AM251" s="244"/>
    </row>
    <row r="252" spans="1:39" ht="18" customHeight="1" x14ac:dyDescent="0.15">
      <c r="A252" s="242"/>
      <c r="B252" s="244"/>
      <c r="C252" s="242"/>
      <c r="D252" s="265"/>
      <c r="E252" s="244"/>
      <c r="F252" s="244"/>
      <c r="G252" s="244"/>
      <c r="H252" s="242"/>
      <c r="I252" s="242"/>
      <c r="J252" s="242"/>
      <c r="K252" s="242"/>
      <c r="L252" s="244"/>
      <c r="M252" s="242"/>
      <c r="N252" s="265"/>
      <c r="O252" s="265"/>
      <c r="P252" s="265"/>
      <c r="Q252" s="265"/>
      <c r="R252" s="265"/>
      <c r="S252" s="265"/>
      <c r="T252" s="265"/>
      <c r="U252" s="265"/>
      <c r="V252" s="265"/>
      <c r="W252" s="265"/>
      <c r="X252" s="265"/>
      <c r="Y252" s="265"/>
      <c r="Z252" s="265"/>
      <c r="AA252" s="265"/>
      <c r="AB252" s="265"/>
      <c r="AC252" s="265"/>
      <c r="AD252" s="265"/>
      <c r="AE252" s="265"/>
      <c r="AF252" s="265"/>
      <c r="AG252" s="265"/>
      <c r="AH252" s="265"/>
      <c r="AI252" s="265"/>
      <c r="AJ252" s="265"/>
      <c r="AK252" s="265"/>
      <c r="AL252" s="265"/>
      <c r="AM252" s="244"/>
    </row>
    <row r="253" spans="1:39" ht="18" customHeight="1" x14ac:dyDescent="0.15">
      <c r="A253" s="242"/>
      <c r="B253" s="244"/>
      <c r="C253" s="242"/>
      <c r="D253" s="265"/>
      <c r="E253" s="244"/>
      <c r="F253" s="244"/>
      <c r="G253" s="244"/>
      <c r="H253" s="242"/>
      <c r="I253" s="242"/>
      <c r="J253" s="242"/>
      <c r="K253" s="242"/>
      <c r="L253" s="244"/>
      <c r="M253" s="242"/>
      <c r="N253" s="265"/>
      <c r="O253" s="265"/>
      <c r="P253" s="265"/>
      <c r="Q253" s="265"/>
      <c r="R253" s="265"/>
      <c r="S253" s="265"/>
      <c r="T253" s="265"/>
      <c r="U253" s="265"/>
      <c r="V253" s="265"/>
      <c r="W253" s="265"/>
      <c r="X253" s="265"/>
      <c r="Y253" s="265"/>
      <c r="Z253" s="265"/>
      <c r="AA253" s="265"/>
      <c r="AB253" s="265"/>
      <c r="AC253" s="265"/>
      <c r="AD253" s="265"/>
      <c r="AE253" s="265"/>
      <c r="AF253" s="265"/>
      <c r="AG253" s="265"/>
      <c r="AH253" s="265"/>
      <c r="AI253" s="265"/>
      <c r="AJ253" s="265"/>
      <c r="AK253" s="265"/>
      <c r="AL253" s="265"/>
      <c r="AM253" s="244"/>
    </row>
    <row r="254" spans="1:39" ht="18" customHeight="1" x14ac:dyDescent="0.15">
      <c r="A254" s="242"/>
      <c r="B254" s="244"/>
      <c r="C254" s="242"/>
      <c r="D254" s="265"/>
      <c r="E254" s="244"/>
      <c r="F254" s="244"/>
      <c r="G254" s="244"/>
      <c r="H254" s="242"/>
      <c r="I254" s="242"/>
      <c r="J254" s="242"/>
      <c r="K254" s="242"/>
      <c r="L254" s="244"/>
      <c r="M254" s="242"/>
      <c r="N254" s="265"/>
      <c r="O254" s="265"/>
      <c r="P254" s="265"/>
      <c r="Q254" s="265"/>
      <c r="R254" s="265"/>
      <c r="S254" s="265"/>
      <c r="T254" s="265"/>
      <c r="U254" s="265"/>
      <c r="V254" s="265"/>
      <c r="W254" s="265"/>
      <c r="X254" s="265"/>
      <c r="Y254" s="265"/>
      <c r="Z254" s="265"/>
      <c r="AA254" s="265"/>
      <c r="AB254" s="265"/>
      <c r="AC254" s="265"/>
      <c r="AD254" s="265"/>
      <c r="AE254" s="265"/>
      <c r="AF254" s="265"/>
      <c r="AG254" s="265"/>
      <c r="AH254" s="265"/>
      <c r="AI254" s="265"/>
      <c r="AJ254" s="265"/>
      <c r="AK254" s="265"/>
      <c r="AL254" s="265"/>
      <c r="AM254" s="244"/>
    </row>
    <row r="255" spans="1:39" ht="18" customHeight="1" x14ac:dyDescent="0.15">
      <c r="A255" s="242"/>
      <c r="B255" s="244"/>
      <c r="C255" s="242"/>
      <c r="D255" s="265"/>
      <c r="E255" s="244"/>
      <c r="F255" s="244"/>
      <c r="G255" s="244"/>
      <c r="H255" s="242"/>
      <c r="I255" s="242"/>
      <c r="J255" s="242"/>
      <c r="K255" s="242"/>
      <c r="L255" s="244"/>
      <c r="M255" s="242"/>
      <c r="N255" s="265"/>
      <c r="O255" s="265"/>
      <c r="P255" s="265"/>
      <c r="Q255" s="265"/>
      <c r="R255" s="265"/>
      <c r="S255" s="265"/>
      <c r="T255" s="265"/>
      <c r="U255" s="265"/>
      <c r="V255" s="265"/>
      <c r="W255" s="265"/>
      <c r="X255" s="265"/>
      <c r="Y255" s="265"/>
      <c r="Z255" s="265"/>
      <c r="AA255" s="265"/>
      <c r="AB255" s="265"/>
      <c r="AC255" s="265"/>
      <c r="AD255" s="265"/>
      <c r="AE255" s="265"/>
      <c r="AF255" s="265"/>
      <c r="AG255" s="265"/>
      <c r="AH255" s="265"/>
      <c r="AI255" s="265"/>
      <c r="AJ255" s="265"/>
      <c r="AK255" s="265"/>
      <c r="AL255" s="265"/>
      <c r="AM255" s="244"/>
    </row>
    <row r="256" spans="1:39" ht="18" customHeight="1" x14ac:dyDescent="0.15">
      <c r="A256" s="242"/>
      <c r="B256" s="244"/>
      <c r="C256" s="242"/>
      <c r="D256" s="265"/>
      <c r="E256" s="244"/>
      <c r="F256" s="244"/>
      <c r="G256" s="244"/>
      <c r="H256" s="242"/>
      <c r="I256" s="242"/>
      <c r="J256" s="242"/>
      <c r="K256" s="242"/>
      <c r="L256" s="244"/>
      <c r="M256" s="242"/>
      <c r="N256" s="265"/>
      <c r="O256" s="265"/>
      <c r="P256" s="265"/>
      <c r="Q256" s="265"/>
      <c r="R256" s="265"/>
      <c r="S256" s="265"/>
      <c r="T256" s="265"/>
      <c r="U256" s="265"/>
      <c r="V256" s="265"/>
      <c r="W256" s="265"/>
      <c r="X256" s="265"/>
      <c r="Y256" s="265"/>
      <c r="Z256" s="265"/>
      <c r="AA256" s="265"/>
      <c r="AB256" s="265"/>
      <c r="AC256" s="265"/>
      <c r="AD256" s="265"/>
      <c r="AE256" s="265"/>
      <c r="AF256" s="265"/>
      <c r="AG256" s="265"/>
      <c r="AH256" s="265"/>
      <c r="AI256" s="265"/>
      <c r="AJ256" s="265"/>
      <c r="AK256" s="265"/>
      <c r="AL256" s="265"/>
      <c r="AM256" s="244"/>
    </row>
    <row r="257" spans="1:39" ht="18" customHeight="1" x14ac:dyDescent="0.15">
      <c r="A257" s="242"/>
      <c r="B257" s="244"/>
      <c r="C257" s="242"/>
      <c r="D257" s="265"/>
      <c r="E257" s="244"/>
      <c r="F257" s="244"/>
      <c r="G257" s="244"/>
      <c r="H257" s="242"/>
      <c r="I257" s="242"/>
      <c r="J257" s="242"/>
      <c r="K257" s="242"/>
      <c r="L257" s="244"/>
      <c r="M257" s="242"/>
      <c r="N257" s="265"/>
      <c r="O257" s="265"/>
      <c r="P257" s="265"/>
      <c r="Q257" s="265"/>
      <c r="R257" s="265"/>
      <c r="S257" s="265"/>
      <c r="T257" s="265"/>
      <c r="U257" s="265"/>
      <c r="V257" s="265"/>
      <c r="W257" s="265"/>
      <c r="X257" s="265"/>
      <c r="Y257" s="265"/>
      <c r="Z257" s="265"/>
      <c r="AA257" s="265"/>
      <c r="AB257" s="265"/>
      <c r="AC257" s="265"/>
      <c r="AD257" s="265"/>
      <c r="AE257" s="265"/>
      <c r="AF257" s="265"/>
      <c r="AG257" s="265"/>
      <c r="AH257" s="265"/>
      <c r="AI257" s="265"/>
      <c r="AJ257" s="265"/>
      <c r="AK257" s="265"/>
      <c r="AL257" s="265"/>
      <c r="AM257" s="244"/>
    </row>
    <row r="258" spans="1:39" ht="18" customHeight="1" x14ac:dyDescent="0.15">
      <c r="A258" s="242"/>
      <c r="B258" s="244"/>
      <c r="C258" s="242"/>
      <c r="D258" s="265"/>
      <c r="E258" s="244"/>
      <c r="F258" s="244"/>
      <c r="G258" s="244"/>
      <c r="H258" s="242"/>
      <c r="I258" s="242"/>
      <c r="J258" s="242"/>
      <c r="K258" s="242"/>
      <c r="L258" s="244"/>
      <c r="M258" s="242"/>
      <c r="N258" s="265"/>
      <c r="O258" s="265"/>
      <c r="P258" s="265"/>
      <c r="Q258" s="265"/>
      <c r="R258" s="265"/>
      <c r="S258" s="265"/>
      <c r="T258" s="265"/>
      <c r="U258" s="265"/>
      <c r="V258" s="265"/>
      <c r="W258" s="265"/>
      <c r="X258" s="265"/>
      <c r="Y258" s="265"/>
      <c r="Z258" s="265"/>
      <c r="AA258" s="265"/>
      <c r="AB258" s="265"/>
      <c r="AC258" s="265"/>
      <c r="AD258" s="265"/>
      <c r="AE258" s="265"/>
      <c r="AF258" s="265"/>
      <c r="AG258" s="265"/>
      <c r="AH258" s="265"/>
      <c r="AI258" s="265"/>
      <c r="AJ258" s="265"/>
      <c r="AK258" s="265"/>
      <c r="AL258" s="265"/>
      <c r="AM258" s="244"/>
    </row>
    <row r="259" spans="1:39" ht="18" customHeight="1" x14ac:dyDescent="0.15">
      <c r="A259" s="242"/>
      <c r="B259" s="244"/>
      <c r="C259" s="242"/>
      <c r="D259" s="265"/>
      <c r="E259" s="244"/>
      <c r="F259" s="244"/>
      <c r="G259" s="244"/>
      <c r="H259" s="242"/>
      <c r="I259" s="242"/>
      <c r="J259" s="242"/>
      <c r="K259" s="242"/>
      <c r="L259" s="244"/>
      <c r="M259" s="242"/>
      <c r="N259" s="265"/>
      <c r="O259" s="265"/>
      <c r="P259" s="265"/>
      <c r="Q259" s="265"/>
      <c r="R259" s="265"/>
      <c r="S259" s="265"/>
      <c r="T259" s="265"/>
      <c r="U259" s="265"/>
      <c r="V259" s="265"/>
      <c r="W259" s="265"/>
      <c r="X259" s="265"/>
      <c r="Y259" s="265"/>
      <c r="Z259" s="265"/>
      <c r="AA259" s="265"/>
      <c r="AB259" s="265"/>
      <c r="AC259" s="265"/>
      <c r="AD259" s="265"/>
      <c r="AE259" s="265"/>
      <c r="AF259" s="265"/>
      <c r="AG259" s="265"/>
      <c r="AH259" s="265"/>
      <c r="AI259" s="265"/>
      <c r="AJ259" s="265"/>
      <c r="AK259" s="265"/>
      <c r="AL259" s="265"/>
      <c r="AM259" s="244"/>
    </row>
    <row r="260" spans="1:39" ht="18" customHeight="1" x14ac:dyDescent="0.15">
      <c r="A260" s="242"/>
      <c r="B260" s="244"/>
      <c r="C260" s="242"/>
      <c r="D260" s="265"/>
      <c r="E260" s="244"/>
      <c r="F260" s="244"/>
      <c r="G260" s="244"/>
      <c r="H260" s="242"/>
      <c r="I260" s="242"/>
      <c r="J260" s="242"/>
      <c r="K260" s="242"/>
      <c r="L260" s="244"/>
      <c r="M260" s="242"/>
      <c r="N260" s="265"/>
      <c r="O260" s="265"/>
      <c r="P260" s="265"/>
      <c r="Q260" s="265"/>
      <c r="R260" s="265"/>
      <c r="S260" s="265"/>
      <c r="T260" s="265"/>
      <c r="U260" s="265"/>
      <c r="V260" s="265"/>
      <c r="W260" s="265"/>
      <c r="X260" s="265"/>
      <c r="Y260" s="265"/>
      <c r="Z260" s="265"/>
      <c r="AA260" s="265"/>
      <c r="AB260" s="265"/>
      <c r="AC260" s="265"/>
      <c r="AD260" s="265"/>
      <c r="AE260" s="265"/>
      <c r="AF260" s="265"/>
      <c r="AG260" s="265"/>
      <c r="AH260" s="265"/>
      <c r="AI260" s="265"/>
      <c r="AJ260" s="265"/>
      <c r="AK260" s="265"/>
      <c r="AL260" s="265"/>
      <c r="AM260" s="244"/>
    </row>
    <row r="261" spans="1:39" ht="18" customHeight="1" x14ac:dyDescent="0.15">
      <c r="A261" s="242"/>
      <c r="B261" s="244"/>
      <c r="C261" s="242"/>
      <c r="D261" s="265"/>
      <c r="E261" s="244"/>
      <c r="F261" s="244"/>
      <c r="G261" s="244"/>
      <c r="H261" s="242"/>
      <c r="I261" s="242"/>
      <c r="J261" s="242"/>
      <c r="K261" s="242"/>
      <c r="L261" s="244"/>
      <c r="M261" s="242"/>
      <c r="N261" s="265"/>
      <c r="O261" s="265"/>
      <c r="P261" s="265"/>
      <c r="Q261" s="265"/>
      <c r="R261" s="265"/>
      <c r="S261" s="265"/>
      <c r="T261" s="265"/>
      <c r="U261" s="265"/>
      <c r="V261" s="265"/>
      <c r="W261" s="265"/>
      <c r="X261" s="265"/>
      <c r="Y261" s="265"/>
      <c r="Z261" s="265"/>
      <c r="AA261" s="265"/>
      <c r="AB261" s="265"/>
      <c r="AC261" s="265"/>
      <c r="AD261" s="265"/>
      <c r="AE261" s="265"/>
      <c r="AF261" s="265"/>
      <c r="AG261" s="265"/>
      <c r="AH261" s="265"/>
      <c r="AI261" s="265"/>
      <c r="AJ261" s="265"/>
      <c r="AK261" s="265"/>
      <c r="AL261" s="265"/>
      <c r="AM261" s="244"/>
    </row>
    <row r="262" spans="1:39" ht="18" customHeight="1" x14ac:dyDescent="0.15">
      <c r="A262" s="242"/>
      <c r="B262" s="244"/>
      <c r="C262" s="242"/>
      <c r="D262" s="265"/>
      <c r="E262" s="244"/>
      <c r="F262" s="244"/>
      <c r="G262" s="244"/>
      <c r="H262" s="242"/>
      <c r="I262" s="242"/>
      <c r="J262" s="242"/>
      <c r="K262" s="242"/>
      <c r="L262" s="244"/>
      <c r="M262" s="242"/>
      <c r="N262" s="265"/>
      <c r="O262" s="265"/>
      <c r="P262" s="265"/>
      <c r="Q262" s="265"/>
      <c r="R262" s="265"/>
      <c r="S262" s="265"/>
      <c r="T262" s="265"/>
      <c r="U262" s="265"/>
      <c r="V262" s="265"/>
      <c r="W262" s="265"/>
      <c r="X262" s="265"/>
      <c r="Y262" s="265"/>
      <c r="Z262" s="265"/>
      <c r="AA262" s="265"/>
      <c r="AB262" s="265"/>
      <c r="AC262" s="265"/>
      <c r="AD262" s="265"/>
      <c r="AE262" s="265"/>
      <c r="AF262" s="265"/>
      <c r="AG262" s="265"/>
      <c r="AH262" s="265"/>
      <c r="AI262" s="265"/>
      <c r="AJ262" s="265"/>
      <c r="AK262" s="265"/>
      <c r="AL262" s="265"/>
      <c r="AM262" s="244"/>
    </row>
    <row r="263" spans="1:39" ht="18" customHeight="1" x14ac:dyDescent="0.15">
      <c r="A263" s="242"/>
      <c r="B263" s="244"/>
      <c r="C263" s="242"/>
      <c r="D263" s="265"/>
      <c r="E263" s="244"/>
      <c r="F263" s="244"/>
      <c r="G263" s="244"/>
      <c r="H263" s="242"/>
      <c r="I263" s="242"/>
      <c r="J263" s="242"/>
      <c r="K263" s="242"/>
      <c r="L263" s="244"/>
      <c r="M263" s="242"/>
      <c r="N263" s="265"/>
      <c r="O263" s="265"/>
      <c r="P263" s="265"/>
      <c r="Q263" s="265"/>
      <c r="R263" s="265"/>
      <c r="S263" s="265"/>
      <c r="T263" s="265"/>
      <c r="U263" s="265"/>
      <c r="V263" s="265"/>
      <c r="W263" s="265"/>
      <c r="X263" s="265"/>
      <c r="Y263" s="265"/>
      <c r="Z263" s="265"/>
      <c r="AA263" s="265"/>
      <c r="AB263" s="265"/>
      <c r="AC263" s="265"/>
      <c r="AD263" s="265"/>
      <c r="AE263" s="265"/>
      <c r="AF263" s="265"/>
      <c r="AG263" s="265"/>
      <c r="AH263" s="265"/>
      <c r="AI263" s="265"/>
      <c r="AJ263" s="265"/>
      <c r="AK263" s="265"/>
      <c r="AL263" s="265"/>
      <c r="AM263" s="244"/>
    </row>
    <row r="264" spans="1:39" ht="18" customHeight="1" x14ac:dyDescent="0.15">
      <c r="A264" s="242"/>
      <c r="B264" s="244"/>
      <c r="C264" s="242"/>
      <c r="D264" s="265"/>
      <c r="E264" s="244"/>
      <c r="F264" s="244"/>
      <c r="G264" s="244"/>
      <c r="H264" s="242"/>
      <c r="I264" s="242"/>
      <c r="J264" s="242"/>
      <c r="K264" s="242"/>
      <c r="L264" s="244"/>
      <c r="M264" s="242"/>
      <c r="N264" s="265"/>
      <c r="O264" s="265"/>
      <c r="P264" s="265"/>
      <c r="Q264" s="265"/>
      <c r="R264" s="265"/>
      <c r="S264" s="265"/>
      <c r="T264" s="265"/>
      <c r="U264" s="265"/>
      <c r="V264" s="265"/>
      <c r="W264" s="265"/>
      <c r="X264" s="265"/>
      <c r="Y264" s="265"/>
      <c r="Z264" s="265"/>
      <c r="AA264" s="265"/>
      <c r="AB264" s="265"/>
      <c r="AC264" s="265"/>
      <c r="AD264" s="265"/>
      <c r="AE264" s="265"/>
      <c r="AF264" s="265"/>
      <c r="AG264" s="265"/>
      <c r="AH264" s="265"/>
      <c r="AI264" s="265"/>
      <c r="AJ264" s="265"/>
      <c r="AK264" s="265"/>
      <c r="AL264" s="265"/>
      <c r="AM264" s="244"/>
    </row>
    <row r="265" spans="1:39" ht="18" customHeight="1" x14ac:dyDescent="0.15">
      <c r="A265" s="242"/>
      <c r="B265" s="244"/>
      <c r="C265" s="242"/>
      <c r="D265" s="265"/>
      <c r="E265" s="244"/>
      <c r="F265" s="244"/>
      <c r="G265" s="244"/>
      <c r="H265" s="242"/>
      <c r="I265" s="242"/>
      <c r="J265" s="242"/>
      <c r="K265" s="242"/>
      <c r="L265" s="244"/>
      <c r="M265" s="242"/>
      <c r="N265" s="265"/>
      <c r="O265" s="265"/>
      <c r="P265" s="265"/>
      <c r="Q265" s="265"/>
      <c r="R265" s="265"/>
      <c r="S265" s="265"/>
      <c r="T265" s="265"/>
      <c r="U265" s="265"/>
      <c r="V265" s="265"/>
      <c r="W265" s="265"/>
      <c r="X265" s="265"/>
      <c r="Y265" s="265"/>
      <c r="Z265" s="265"/>
      <c r="AA265" s="265"/>
      <c r="AB265" s="265"/>
      <c r="AC265" s="265"/>
      <c r="AD265" s="265"/>
      <c r="AE265" s="265"/>
      <c r="AF265" s="265"/>
      <c r="AG265" s="265"/>
      <c r="AH265" s="265"/>
      <c r="AI265" s="265"/>
      <c r="AJ265" s="265"/>
      <c r="AK265" s="265"/>
      <c r="AL265" s="265"/>
      <c r="AM265" s="244"/>
    </row>
    <row r="266" spans="1:39" ht="18" customHeight="1" x14ac:dyDescent="0.15">
      <c r="A266" s="242"/>
      <c r="B266" s="244"/>
      <c r="C266" s="242"/>
      <c r="D266" s="265"/>
      <c r="E266" s="244"/>
      <c r="F266" s="244"/>
      <c r="G266" s="244"/>
      <c r="H266" s="242"/>
      <c r="I266" s="242"/>
      <c r="J266" s="242"/>
      <c r="K266" s="242"/>
      <c r="L266" s="244"/>
      <c r="M266" s="242"/>
      <c r="N266" s="265"/>
      <c r="O266" s="265"/>
      <c r="P266" s="265"/>
      <c r="Q266" s="265"/>
      <c r="R266" s="265"/>
      <c r="S266" s="265"/>
      <c r="T266" s="265"/>
      <c r="U266" s="265"/>
      <c r="V266" s="265"/>
      <c r="W266" s="265"/>
      <c r="X266" s="265"/>
      <c r="Y266" s="265"/>
      <c r="Z266" s="265"/>
      <c r="AA266" s="265"/>
      <c r="AB266" s="265"/>
      <c r="AC266" s="265"/>
      <c r="AD266" s="265"/>
      <c r="AE266" s="265"/>
      <c r="AF266" s="265"/>
      <c r="AG266" s="265"/>
      <c r="AH266" s="265"/>
      <c r="AI266" s="265"/>
      <c r="AJ266" s="265"/>
      <c r="AK266" s="265"/>
      <c r="AL266" s="265"/>
      <c r="AM266" s="244"/>
    </row>
    <row r="267" spans="1:39" ht="18" customHeight="1" x14ac:dyDescent="0.15">
      <c r="A267" s="242"/>
      <c r="B267" s="244"/>
      <c r="C267" s="242"/>
      <c r="D267" s="265"/>
      <c r="E267" s="244"/>
      <c r="F267" s="244"/>
      <c r="G267" s="244"/>
      <c r="H267" s="242"/>
      <c r="I267" s="242"/>
      <c r="J267" s="242"/>
      <c r="K267" s="242"/>
      <c r="L267" s="244"/>
      <c r="M267" s="242"/>
      <c r="N267" s="265"/>
      <c r="O267" s="265"/>
      <c r="P267" s="265"/>
      <c r="Q267" s="265"/>
      <c r="R267" s="265"/>
      <c r="S267" s="265"/>
      <c r="T267" s="265"/>
      <c r="U267" s="265"/>
      <c r="V267" s="265"/>
      <c r="W267" s="265"/>
      <c r="X267" s="265"/>
      <c r="Y267" s="265"/>
      <c r="Z267" s="265"/>
      <c r="AA267" s="265"/>
      <c r="AB267" s="265"/>
      <c r="AC267" s="265"/>
      <c r="AD267" s="265"/>
      <c r="AE267" s="265"/>
      <c r="AF267" s="265"/>
      <c r="AG267" s="265"/>
      <c r="AH267" s="265"/>
      <c r="AI267" s="265"/>
      <c r="AJ267" s="265"/>
      <c r="AK267" s="265"/>
      <c r="AL267" s="265"/>
      <c r="AM267" s="244"/>
    </row>
    <row r="268" spans="1:39" ht="18" customHeight="1" x14ac:dyDescent="0.15">
      <c r="A268" s="242"/>
      <c r="B268" s="244"/>
      <c r="C268" s="242"/>
      <c r="D268" s="265"/>
      <c r="E268" s="244"/>
      <c r="F268" s="244"/>
      <c r="G268" s="244"/>
      <c r="H268" s="242"/>
      <c r="I268" s="242"/>
      <c r="J268" s="242"/>
      <c r="K268" s="242"/>
      <c r="L268" s="244"/>
      <c r="M268" s="242"/>
      <c r="N268" s="265"/>
      <c r="O268" s="265"/>
      <c r="P268" s="265"/>
      <c r="Q268" s="265"/>
      <c r="R268" s="265"/>
      <c r="S268" s="265"/>
      <c r="T268" s="265"/>
      <c r="U268" s="265"/>
      <c r="V268" s="265"/>
      <c r="W268" s="265"/>
      <c r="X268" s="265"/>
      <c r="Y268" s="265"/>
      <c r="Z268" s="265"/>
      <c r="AA268" s="265"/>
      <c r="AB268" s="265"/>
      <c r="AC268" s="265"/>
      <c r="AD268" s="265"/>
      <c r="AE268" s="265"/>
      <c r="AF268" s="265"/>
      <c r="AG268" s="265"/>
      <c r="AH268" s="265"/>
      <c r="AI268" s="265"/>
      <c r="AJ268" s="265"/>
      <c r="AK268" s="265"/>
      <c r="AL268" s="265"/>
      <c r="AM268" s="244"/>
    </row>
    <row r="269" spans="1:39" ht="18" customHeight="1" x14ac:dyDescent="0.15">
      <c r="A269" s="242"/>
      <c r="B269" s="244"/>
      <c r="C269" s="242"/>
      <c r="D269" s="265"/>
      <c r="E269" s="244"/>
      <c r="F269" s="244"/>
      <c r="G269" s="244"/>
      <c r="H269" s="242"/>
      <c r="I269" s="242"/>
      <c r="J269" s="242"/>
      <c r="K269" s="242"/>
      <c r="L269" s="244"/>
      <c r="M269" s="242"/>
      <c r="N269" s="265"/>
      <c r="O269" s="265"/>
      <c r="P269" s="265"/>
      <c r="Q269" s="265"/>
      <c r="R269" s="265"/>
      <c r="S269" s="265"/>
      <c r="T269" s="265"/>
      <c r="U269" s="265"/>
      <c r="V269" s="265"/>
      <c r="W269" s="265"/>
      <c r="X269" s="265"/>
      <c r="Y269" s="265"/>
      <c r="Z269" s="265"/>
      <c r="AA269" s="265"/>
      <c r="AB269" s="265"/>
      <c r="AC269" s="265"/>
      <c r="AD269" s="265"/>
      <c r="AE269" s="265"/>
      <c r="AF269" s="265"/>
      <c r="AG269" s="265"/>
      <c r="AH269" s="265"/>
      <c r="AI269" s="265"/>
      <c r="AJ269" s="265"/>
      <c r="AK269" s="265"/>
      <c r="AL269" s="265"/>
      <c r="AM269" s="244"/>
    </row>
    <row r="270" spans="1:39" ht="18" customHeight="1" x14ac:dyDescent="0.15">
      <c r="A270" s="242"/>
      <c r="B270" s="244"/>
      <c r="C270" s="242"/>
      <c r="D270" s="265"/>
      <c r="E270" s="244"/>
      <c r="F270" s="244"/>
      <c r="G270" s="244"/>
      <c r="H270" s="242"/>
      <c r="I270" s="242"/>
      <c r="J270" s="242"/>
      <c r="K270" s="242"/>
      <c r="L270" s="244"/>
      <c r="M270" s="242"/>
      <c r="N270" s="265"/>
      <c r="O270" s="265"/>
      <c r="P270" s="265"/>
      <c r="Q270" s="265"/>
      <c r="R270" s="265"/>
      <c r="S270" s="265"/>
      <c r="T270" s="265"/>
      <c r="U270" s="265"/>
      <c r="V270" s="265"/>
      <c r="W270" s="265"/>
      <c r="X270" s="265"/>
      <c r="Y270" s="265"/>
      <c r="Z270" s="265"/>
      <c r="AA270" s="265"/>
      <c r="AB270" s="265"/>
      <c r="AC270" s="265"/>
      <c r="AD270" s="265"/>
      <c r="AE270" s="265"/>
      <c r="AF270" s="265"/>
      <c r="AG270" s="265"/>
      <c r="AH270" s="265"/>
      <c r="AI270" s="265"/>
      <c r="AJ270" s="265"/>
      <c r="AK270" s="265"/>
      <c r="AL270" s="265"/>
      <c r="AM270" s="244"/>
    </row>
    <row r="271" spans="1:39" ht="18" customHeight="1" x14ac:dyDescent="0.15">
      <c r="A271" s="242"/>
      <c r="B271" s="244"/>
      <c r="C271" s="242"/>
      <c r="D271" s="265"/>
      <c r="E271" s="244"/>
      <c r="F271" s="244"/>
      <c r="G271" s="244"/>
      <c r="H271" s="242"/>
      <c r="I271" s="242"/>
      <c r="J271" s="242"/>
      <c r="K271" s="242"/>
      <c r="L271" s="244"/>
      <c r="M271" s="242"/>
      <c r="N271" s="265"/>
      <c r="O271" s="265"/>
      <c r="P271" s="265"/>
      <c r="Q271" s="265"/>
      <c r="R271" s="265"/>
      <c r="S271" s="265"/>
      <c r="T271" s="265"/>
      <c r="U271" s="265"/>
      <c r="V271" s="265"/>
      <c r="W271" s="265"/>
      <c r="X271" s="265"/>
      <c r="Y271" s="265"/>
      <c r="Z271" s="265"/>
      <c r="AA271" s="265"/>
      <c r="AB271" s="265"/>
      <c r="AC271" s="265"/>
      <c r="AD271" s="265"/>
      <c r="AE271" s="265"/>
      <c r="AF271" s="265"/>
      <c r="AG271" s="265"/>
      <c r="AH271" s="265"/>
      <c r="AI271" s="265"/>
      <c r="AJ271" s="265"/>
      <c r="AK271" s="265"/>
      <c r="AL271" s="265"/>
      <c r="AM271" s="244"/>
    </row>
    <row r="272" spans="1:39" ht="18" customHeight="1" x14ac:dyDescent="0.15">
      <c r="A272" s="242"/>
      <c r="B272" s="244"/>
      <c r="C272" s="242"/>
      <c r="D272" s="265"/>
      <c r="E272" s="244"/>
      <c r="F272" s="244"/>
      <c r="G272" s="244"/>
      <c r="H272" s="242"/>
      <c r="I272" s="242"/>
      <c r="J272" s="242"/>
      <c r="K272" s="242"/>
      <c r="L272" s="244"/>
      <c r="M272" s="242"/>
      <c r="N272" s="265"/>
      <c r="O272" s="265"/>
      <c r="P272" s="265"/>
      <c r="Q272" s="265"/>
      <c r="R272" s="265"/>
      <c r="S272" s="265"/>
      <c r="T272" s="265"/>
      <c r="U272" s="265"/>
      <c r="V272" s="265"/>
      <c r="W272" s="265"/>
      <c r="X272" s="265"/>
      <c r="Y272" s="265"/>
      <c r="Z272" s="265"/>
      <c r="AA272" s="265"/>
      <c r="AB272" s="265"/>
      <c r="AC272" s="265"/>
      <c r="AD272" s="265"/>
      <c r="AE272" s="265"/>
      <c r="AF272" s="265"/>
      <c r="AG272" s="265"/>
      <c r="AH272" s="265"/>
      <c r="AI272" s="265"/>
      <c r="AJ272" s="265"/>
      <c r="AK272" s="265"/>
      <c r="AL272" s="265"/>
      <c r="AM272" s="244"/>
    </row>
    <row r="273" spans="1:39" ht="18" customHeight="1" x14ac:dyDescent="0.15">
      <c r="A273" s="242"/>
      <c r="B273" s="244"/>
      <c r="C273" s="242"/>
      <c r="D273" s="265"/>
      <c r="E273" s="244"/>
      <c r="F273" s="244"/>
      <c r="G273" s="244"/>
      <c r="H273" s="242"/>
      <c r="I273" s="242"/>
      <c r="J273" s="242"/>
      <c r="K273" s="242"/>
      <c r="L273" s="244"/>
      <c r="M273" s="242"/>
      <c r="N273" s="265"/>
      <c r="O273" s="265"/>
      <c r="P273" s="265"/>
      <c r="Q273" s="265"/>
      <c r="R273" s="265"/>
      <c r="S273" s="265"/>
      <c r="T273" s="265"/>
      <c r="U273" s="265"/>
      <c r="V273" s="265"/>
      <c r="W273" s="265"/>
      <c r="X273" s="265"/>
      <c r="Y273" s="265"/>
      <c r="Z273" s="265"/>
      <c r="AA273" s="265"/>
      <c r="AB273" s="265"/>
      <c r="AC273" s="265"/>
      <c r="AD273" s="265"/>
      <c r="AE273" s="265"/>
      <c r="AF273" s="265"/>
      <c r="AG273" s="265"/>
      <c r="AH273" s="265"/>
      <c r="AI273" s="265"/>
      <c r="AJ273" s="265"/>
      <c r="AK273" s="265"/>
      <c r="AL273" s="265"/>
      <c r="AM273" s="244"/>
    </row>
    <row r="274" spans="1:39" ht="18" customHeight="1" x14ac:dyDescent="0.15">
      <c r="A274" s="242"/>
      <c r="B274" s="244"/>
      <c r="C274" s="242"/>
      <c r="D274" s="265"/>
      <c r="E274" s="244"/>
      <c r="F274" s="244"/>
      <c r="G274" s="244"/>
      <c r="H274" s="242"/>
      <c r="I274" s="242"/>
      <c r="J274" s="242"/>
      <c r="K274" s="242"/>
      <c r="L274" s="244"/>
      <c r="M274" s="242"/>
      <c r="N274" s="265"/>
      <c r="O274" s="265"/>
      <c r="P274" s="265"/>
      <c r="Q274" s="265"/>
      <c r="R274" s="265"/>
      <c r="S274" s="265"/>
      <c r="T274" s="265"/>
      <c r="U274" s="265"/>
      <c r="V274" s="265"/>
      <c r="W274" s="265"/>
      <c r="X274" s="265"/>
      <c r="Y274" s="265"/>
      <c r="Z274" s="265"/>
      <c r="AA274" s="265"/>
      <c r="AB274" s="265"/>
      <c r="AC274" s="265"/>
      <c r="AD274" s="265"/>
      <c r="AE274" s="265"/>
      <c r="AF274" s="265"/>
      <c r="AG274" s="265"/>
      <c r="AH274" s="265"/>
      <c r="AI274" s="265"/>
      <c r="AJ274" s="265"/>
      <c r="AK274" s="265"/>
      <c r="AL274" s="265"/>
      <c r="AM274" s="244"/>
    </row>
    <row r="275" spans="1:39" ht="18" customHeight="1" x14ac:dyDescent="0.15">
      <c r="A275" s="242"/>
      <c r="B275" s="244"/>
      <c r="C275" s="242"/>
      <c r="D275" s="265"/>
      <c r="E275" s="244"/>
      <c r="F275" s="244"/>
      <c r="G275" s="244"/>
      <c r="H275" s="242"/>
      <c r="I275" s="242"/>
      <c r="J275" s="242"/>
      <c r="K275" s="242"/>
      <c r="L275" s="244"/>
      <c r="M275" s="242"/>
      <c r="N275" s="265"/>
      <c r="O275" s="265"/>
      <c r="P275" s="265"/>
      <c r="Q275" s="265"/>
      <c r="R275" s="265"/>
      <c r="S275" s="265"/>
      <c r="T275" s="265"/>
      <c r="U275" s="265"/>
      <c r="V275" s="265"/>
      <c r="W275" s="265"/>
      <c r="X275" s="265"/>
      <c r="Y275" s="265"/>
      <c r="Z275" s="265"/>
      <c r="AA275" s="265"/>
      <c r="AB275" s="265"/>
      <c r="AC275" s="265"/>
      <c r="AD275" s="265"/>
      <c r="AE275" s="265"/>
      <c r="AF275" s="265"/>
      <c r="AG275" s="265"/>
      <c r="AH275" s="265"/>
      <c r="AI275" s="265"/>
      <c r="AJ275" s="265"/>
      <c r="AK275" s="265"/>
      <c r="AL275" s="265"/>
      <c r="AM275" s="244"/>
    </row>
    <row r="276" spans="1:39" ht="18" customHeight="1" x14ac:dyDescent="0.15">
      <c r="A276" s="242"/>
      <c r="B276" s="244"/>
      <c r="C276" s="242"/>
      <c r="D276" s="265"/>
      <c r="E276" s="244"/>
      <c r="F276" s="244"/>
      <c r="G276" s="244"/>
      <c r="H276" s="242"/>
      <c r="I276" s="242"/>
      <c r="J276" s="242"/>
      <c r="K276" s="242"/>
      <c r="L276" s="244"/>
      <c r="M276" s="242"/>
      <c r="N276" s="265"/>
      <c r="O276" s="265"/>
      <c r="P276" s="265"/>
      <c r="Q276" s="265"/>
      <c r="R276" s="265"/>
      <c r="S276" s="265"/>
      <c r="T276" s="265"/>
      <c r="U276" s="265"/>
      <c r="V276" s="265"/>
      <c r="W276" s="265"/>
      <c r="X276" s="265"/>
      <c r="Y276" s="265"/>
      <c r="Z276" s="265"/>
      <c r="AA276" s="265"/>
      <c r="AB276" s="265"/>
      <c r="AC276" s="265"/>
      <c r="AD276" s="265"/>
      <c r="AE276" s="265"/>
      <c r="AF276" s="265"/>
      <c r="AG276" s="265"/>
      <c r="AH276" s="265"/>
      <c r="AI276" s="265"/>
      <c r="AJ276" s="265"/>
      <c r="AK276" s="265"/>
      <c r="AL276" s="265"/>
      <c r="AM276" s="244"/>
    </row>
    <row r="277" spans="1:39" ht="18" customHeight="1" x14ac:dyDescent="0.15">
      <c r="A277" s="242"/>
      <c r="B277" s="244"/>
      <c r="C277" s="242"/>
      <c r="D277" s="265"/>
      <c r="E277" s="244"/>
      <c r="F277" s="244"/>
      <c r="G277" s="244"/>
      <c r="H277" s="242"/>
      <c r="I277" s="242"/>
      <c r="J277" s="242"/>
      <c r="K277" s="242"/>
      <c r="L277" s="244"/>
      <c r="M277" s="242"/>
      <c r="N277" s="265"/>
      <c r="O277" s="265"/>
      <c r="P277" s="265"/>
      <c r="Q277" s="265"/>
      <c r="R277" s="265"/>
      <c r="S277" s="265"/>
      <c r="T277" s="265"/>
      <c r="U277" s="265"/>
      <c r="V277" s="265"/>
      <c r="W277" s="265"/>
      <c r="X277" s="265"/>
      <c r="Y277" s="265"/>
      <c r="Z277" s="265"/>
      <c r="AA277" s="265"/>
      <c r="AB277" s="265"/>
      <c r="AC277" s="265"/>
      <c r="AD277" s="265"/>
      <c r="AE277" s="265"/>
      <c r="AF277" s="265"/>
      <c r="AG277" s="265"/>
      <c r="AH277" s="265"/>
      <c r="AI277" s="265"/>
      <c r="AJ277" s="265"/>
      <c r="AK277" s="265"/>
      <c r="AL277" s="265"/>
      <c r="AM277" s="244"/>
    </row>
    <row r="278" spans="1:39" ht="18" customHeight="1" x14ac:dyDescent="0.15">
      <c r="A278" s="242"/>
      <c r="B278" s="244"/>
      <c r="C278" s="242"/>
      <c r="D278" s="265"/>
      <c r="E278" s="244"/>
      <c r="F278" s="244"/>
      <c r="G278" s="244"/>
      <c r="H278" s="242"/>
      <c r="I278" s="242"/>
      <c r="J278" s="242"/>
      <c r="K278" s="242"/>
      <c r="L278" s="244"/>
      <c r="M278" s="242"/>
      <c r="N278" s="265"/>
      <c r="O278" s="265"/>
      <c r="P278" s="265"/>
      <c r="Q278" s="265"/>
      <c r="R278" s="265"/>
      <c r="S278" s="265"/>
      <c r="T278" s="265"/>
      <c r="U278" s="265"/>
      <c r="V278" s="265"/>
      <c r="W278" s="265"/>
      <c r="X278" s="265"/>
      <c r="Y278" s="265"/>
      <c r="Z278" s="265"/>
      <c r="AA278" s="265"/>
      <c r="AB278" s="265"/>
      <c r="AC278" s="265"/>
      <c r="AD278" s="265"/>
      <c r="AE278" s="265"/>
      <c r="AF278" s="265"/>
      <c r="AG278" s="265"/>
      <c r="AH278" s="265"/>
      <c r="AI278" s="265"/>
      <c r="AJ278" s="265"/>
      <c r="AK278" s="265"/>
      <c r="AL278" s="265"/>
      <c r="AM278" s="244"/>
    </row>
    <row r="279" spans="1:39" ht="18" customHeight="1" x14ac:dyDescent="0.15">
      <c r="A279" s="242"/>
      <c r="B279" s="244"/>
      <c r="C279" s="242"/>
      <c r="D279" s="265"/>
      <c r="E279" s="244"/>
      <c r="F279" s="244"/>
      <c r="G279" s="244"/>
      <c r="H279" s="242"/>
      <c r="I279" s="242"/>
      <c r="J279" s="242"/>
      <c r="K279" s="242"/>
      <c r="L279" s="244"/>
      <c r="M279" s="242"/>
      <c r="N279" s="265"/>
      <c r="O279" s="265"/>
      <c r="P279" s="265"/>
      <c r="Q279" s="265"/>
      <c r="R279" s="265"/>
      <c r="S279" s="265"/>
      <c r="T279" s="265"/>
      <c r="U279" s="265"/>
      <c r="V279" s="265"/>
      <c r="W279" s="265"/>
      <c r="X279" s="265"/>
      <c r="Y279" s="265"/>
      <c r="Z279" s="265"/>
      <c r="AA279" s="265"/>
      <c r="AB279" s="265"/>
      <c r="AC279" s="265"/>
      <c r="AD279" s="265"/>
      <c r="AE279" s="265"/>
      <c r="AF279" s="265"/>
      <c r="AG279" s="265"/>
      <c r="AH279" s="265"/>
      <c r="AI279" s="265"/>
      <c r="AJ279" s="265"/>
      <c r="AK279" s="265"/>
      <c r="AL279" s="265"/>
      <c r="AM279" s="244"/>
    </row>
    <row r="280" spans="1:39" ht="18" customHeight="1" x14ac:dyDescent="0.15">
      <c r="A280" s="242"/>
      <c r="B280" s="244"/>
      <c r="C280" s="242"/>
      <c r="D280" s="265"/>
      <c r="E280" s="244"/>
      <c r="F280" s="244"/>
      <c r="G280" s="244"/>
      <c r="H280" s="242"/>
      <c r="I280" s="242"/>
      <c r="J280" s="242"/>
      <c r="K280" s="242"/>
      <c r="L280" s="244"/>
      <c r="M280" s="242"/>
      <c r="N280" s="265"/>
      <c r="O280" s="265"/>
      <c r="P280" s="265"/>
      <c r="Q280" s="265"/>
      <c r="R280" s="265"/>
      <c r="S280" s="265"/>
      <c r="T280" s="265"/>
      <c r="U280" s="265"/>
      <c r="V280" s="265"/>
      <c r="W280" s="265"/>
      <c r="X280" s="265"/>
      <c r="Y280" s="265"/>
      <c r="Z280" s="265"/>
      <c r="AA280" s="265"/>
      <c r="AB280" s="265"/>
      <c r="AC280" s="265"/>
      <c r="AD280" s="265"/>
      <c r="AE280" s="265"/>
      <c r="AF280" s="265"/>
      <c r="AG280" s="265"/>
      <c r="AH280" s="265"/>
      <c r="AI280" s="265"/>
      <c r="AJ280" s="265"/>
      <c r="AK280" s="265"/>
      <c r="AL280" s="265"/>
      <c r="AM280" s="244"/>
    </row>
    <row r="281" spans="1:39" ht="18" customHeight="1" x14ac:dyDescent="0.15">
      <c r="A281" s="242"/>
      <c r="B281" s="244"/>
      <c r="C281" s="242"/>
      <c r="D281" s="265"/>
      <c r="E281" s="244"/>
      <c r="F281" s="244"/>
      <c r="G281" s="244"/>
      <c r="H281" s="242"/>
      <c r="I281" s="242"/>
      <c r="J281" s="242"/>
      <c r="K281" s="242"/>
      <c r="L281" s="244"/>
      <c r="M281" s="242"/>
      <c r="N281" s="265"/>
      <c r="O281" s="265"/>
      <c r="P281" s="265"/>
      <c r="Q281" s="265"/>
      <c r="R281" s="265"/>
      <c r="S281" s="265"/>
      <c r="T281" s="265"/>
      <c r="U281" s="265"/>
      <c r="V281" s="265"/>
      <c r="W281" s="265"/>
      <c r="X281" s="265"/>
      <c r="Y281" s="265"/>
      <c r="Z281" s="265"/>
      <c r="AA281" s="265"/>
      <c r="AB281" s="265"/>
      <c r="AC281" s="265"/>
      <c r="AD281" s="265"/>
      <c r="AE281" s="265"/>
      <c r="AF281" s="265"/>
      <c r="AG281" s="265"/>
      <c r="AH281" s="265"/>
      <c r="AI281" s="265"/>
      <c r="AJ281" s="265"/>
      <c r="AK281" s="265"/>
      <c r="AL281" s="265"/>
      <c r="AM281" s="244"/>
    </row>
    <row r="282" spans="1:39" ht="18" customHeight="1" x14ac:dyDescent="0.15">
      <c r="A282" s="242"/>
      <c r="B282" s="244"/>
      <c r="C282" s="242"/>
      <c r="D282" s="265"/>
      <c r="E282" s="244"/>
      <c r="F282" s="244"/>
      <c r="G282" s="244"/>
      <c r="H282" s="242"/>
      <c r="I282" s="242"/>
      <c r="J282" s="242"/>
      <c r="K282" s="242"/>
      <c r="L282" s="244"/>
      <c r="M282" s="242"/>
      <c r="N282" s="265"/>
      <c r="O282" s="265"/>
      <c r="P282" s="265"/>
      <c r="Q282" s="265"/>
      <c r="R282" s="265"/>
      <c r="S282" s="265"/>
      <c r="T282" s="265"/>
      <c r="U282" s="265"/>
      <c r="V282" s="265"/>
      <c r="W282" s="265"/>
      <c r="X282" s="265"/>
      <c r="Y282" s="265"/>
      <c r="Z282" s="265"/>
      <c r="AA282" s="265"/>
      <c r="AB282" s="265"/>
      <c r="AC282" s="265"/>
      <c r="AD282" s="265"/>
      <c r="AE282" s="265"/>
      <c r="AF282" s="265"/>
      <c r="AG282" s="265"/>
      <c r="AH282" s="265"/>
      <c r="AI282" s="265"/>
      <c r="AJ282" s="265"/>
      <c r="AK282" s="265"/>
      <c r="AL282" s="265"/>
      <c r="AM282" s="244"/>
    </row>
    <row r="283" spans="1:39" ht="18" customHeight="1" x14ac:dyDescent="0.15">
      <c r="A283" s="242"/>
      <c r="B283" s="244"/>
      <c r="C283" s="242"/>
      <c r="D283" s="265"/>
      <c r="E283" s="244"/>
      <c r="F283" s="244"/>
      <c r="G283" s="244"/>
      <c r="H283" s="242"/>
      <c r="I283" s="242"/>
      <c r="J283" s="242"/>
      <c r="K283" s="242"/>
      <c r="L283" s="244"/>
      <c r="M283" s="242"/>
      <c r="N283" s="265"/>
      <c r="O283" s="265"/>
      <c r="P283" s="265"/>
      <c r="Q283" s="265"/>
      <c r="R283" s="265"/>
      <c r="S283" s="265"/>
      <c r="T283" s="265"/>
      <c r="U283" s="265"/>
      <c r="V283" s="265"/>
      <c r="W283" s="265"/>
      <c r="X283" s="265"/>
      <c r="Y283" s="265"/>
      <c r="Z283" s="265"/>
      <c r="AA283" s="265"/>
      <c r="AB283" s="265"/>
      <c r="AC283" s="265"/>
      <c r="AD283" s="265"/>
      <c r="AE283" s="265"/>
      <c r="AF283" s="265"/>
      <c r="AG283" s="265"/>
      <c r="AH283" s="265"/>
      <c r="AI283" s="265"/>
      <c r="AJ283" s="265"/>
      <c r="AK283" s="265"/>
      <c r="AL283" s="265"/>
      <c r="AM283" s="244"/>
    </row>
    <row r="284" spans="1:39" ht="18" customHeight="1" x14ac:dyDescent="0.15">
      <c r="A284" s="242"/>
      <c r="B284" s="244"/>
      <c r="C284" s="242"/>
      <c r="D284" s="265"/>
      <c r="E284" s="244"/>
      <c r="F284" s="244"/>
      <c r="G284" s="244"/>
      <c r="H284" s="242"/>
      <c r="I284" s="242"/>
      <c r="J284" s="242"/>
      <c r="K284" s="242"/>
      <c r="L284" s="244"/>
      <c r="M284" s="242"/>
      <c r="N284" s="265"/>
      <c r="O284" s="265"/>
      <c r="P284" s="265"/>
      <c r="Q284" s="265"/>
      <c r="R284" s="265"/>
      <c r="S284" s="265"/>
      <c r="T284" s="265"/>
      <c r="U284" s="265"/>
      <c r="V284" s="265"/>
      <c r="W284" s="265"/>
      <c r="X284" s="265"/>
      <c r="Y284" s="265"/>
      <c r="Z284" s="265"/>
      <c r="AA284" s="265"/>
      <c r="AB284" s="265"/>
      <c r="AC284" s="265"/>
      <c r="AD284" s="265"/>
      <c r="AE284" s="265"/>
      <c r="AF284" s="265"/>
      <c r="AG284" s="265"/>
      <c r="AH284" s="265"/>
      <c r="AI284" s="265"/>
      <c r="AJ284" s="265"/>
      <c r="AK284" s="265"/>
      <c r="AL284" s="265"/>
      <c r="AM284" s="244"/>
    </row>
    <row r="285" spans="1:39" ht="18" customHeight="1" x14ac:dyDescent="0.15">
      <c r="A285" s="242"/>
      <c r="B285" s="244"/>
      <c r="C285" s="242"/>
      <c r="D285" s="265"/>
      <c r="E285" s="244"/>
      <c r="F285" s="244"/>
      <c r="G285" s="244"/>
      <c r="H285" s="242"/>
      <c r="I285" s="242"/>
      <c r="J285" s="242"/>
      <c r="K285" s="242"/>
      <c r="L285" s="244"/>
      <c r="M285" s="242"/>
      <c r="N285" s="265"/>
      <c r="O285" s="265"/>
      <c r="P285" s="265"/>
      <c r="Q285" s="265"/>
      <c r="R285" s="265"/>
      <c r="S285" s="265"/>
      <c r="T285" s="265"/>
      <c r="U285" s="265"/>
      <c r="V285" s="265"/>
      <c r="W285" s="265"/>
      <c r="X285" s="265"/>
      <c r="Y285" s="265"/>
      <c r="Z285" s="265"/>
      <c r="AA285" s="265"/>
      <c r="AB285" s="265"/>
      <c r="AC285" s="265"/>
      <c r="AD285" s="265"/>
      <c r="AE285" s="265"/>
      <c r="AF285" s="265"/>
      <c r="AG285" s="265"/>
      <c r="AH285" s="265"/>
      <c r="AI285" s="265"/>
      <c r="AJ285" s="265"/>
      <c r="AK285" s="265"/>
      <c r="AL285" s="265"/>
      <c r="AM285" s="244"/>
    </row>
    <row r="286" spans="1:39" ht="18" customHeight="1" x14ac:dyDescent="0.15">
      <c r="A286" s="242"/>
      <c r="B286" s="244"/>
      <c r="C286" s="242"/>
      <c r="D286" s="265"/>
      <c r="E286" s="244"/>
      <c r="F286" s="244"/>
      <c r="G286" s="244"/>
      <c r="H286" s="242"/>
      <c r="I286" s="242"/>
      <c r="J286" s="242"/>
      <c r="K286" s="242"/>
      <c r="L286" s="244"/>
      <c r="M286" s="242"/>
      <c r="N286" s="265"/>
      <c r="O286" s="265"/>
      <c r="P286" s="265"/>
      <c r="Q286" s="265"/>
      <c r="R286" s="265"/>
      <c r="S286" s="265"/>
      <c r="T286" s="265"/>
      <c r="U286" s="265"/>
      <c r="V286" s="265"/>
      <c r="W286" s="265"/>
      <c r="X286" s="265"/>
      <c r="Y286" s="265"/>
      <c r="Z286" s="265"/>
      <c r="AA286" s="265"/>
      <c r="AB286" s="265"/>
      <c r="AC286" s="265"/>
      <c r="AD286" s="265"/>
      <c r="AE286" s="265"/>
      <c r="AF286" s="265"/>
      <c r="AG286" s="265"/>
      <c r="AH286" s="265"/>
      <c r="AI286" s="265"/>
      <c r="AJ286" s="265"/>
      <c r="AK286" s="265"/>
      <c r="AL286" s="265"/>
      <c r="AM286" s="244"/>
    </row>
    <row r="287" spans="1:39" ht="18" customHeight="1" x14ac:dyDescent="0.15">
      <c r="A287" s="242"/>
      <c r="B287" s="244"/>
      <c r="C287" s="242"/>
      <c r="D287" s="265"/>
      <c r="E287" s="244"/>
      <c r="F287" s="244"/>
      <c r="G287" s="244"/>
      <c r="H287" s="242"/>
      <c r="I287" s="242"/>
      <c r="J287" s="242"/>
      <c r="K287" s="242"/>
      <c r="L287" s="244"/>
      <c r="M287" s="242"/>
      <c r="N287" s="265"/>
      <c r="O287" s="265"/>
      <c r="P287" s="265"/>
      <c r="Q287" s="265"/>
      <c r="R287" s="265"/>
      <c r="S287" s="265"/>
      <c r="T287" s="265"/>
      <c r="U287" s="265"/>
      <c r="V287" s="265"/>
      <c r="W287" s="265"/>
      <c r="X287" s="265"/>
      <c r="Y287" s="265"/>
      <c r="Z287" s="265"/>
      <c r="AA287" s="265"/>
      <c r="AB287" s="265"/>
      <c r="AC287" s="265"/>
      <c r="AD287" s="265"/>
      <c r="AE287" s="265"/>
      <c r="AF287" s="265"/>
      <c r="AG287" s="265"/>
      <c r="AH287" s="265"/>
      <c r="AI287" s="265"/>
      <c r="AJ287" s="265"/>
      <c r="AK287" s="265"/>
      <c r="AL287" s="265"/>
      <c r="AM287" s="244"/>
    </row>
    <row r="288" spans="1:39" ht="18" customHeight="1" x14ac:dyDescent="0.15">
      <c r="A288" s="242"/>
      <c r="B288" s="244"/>
      <c r="C288" s="242"/>
      <c r="D288" s="265"/>
      <c r="E288" s="244"/>
      <c r="F288" s="244"/>
      <c r="G288" s="244"/>
      <c r="H288" s="242"/>
      <c r="I288" s="242"/>
      <c r="J288" s="242"/>
      <c r="K288" s="242"/>
      <c r="L288" s="244"/>
      <c r="M288" s="242"/>
      <c r="N288" s="265"/>
      <c r="O288" s="265"/>
      <c r="P288" s="265"/>
      <c r="Q288" s="265"/>
      <c r="R288" s="265"/>
      <c r="S288" s="265"/>
      <c r="T288" s="265"/>
      <c r="U288" s="265"/>
      <c r="V288" s="265"/>
      <c r="W288" s="265"/>
      <c r="X288" s="265"/>
      <c r="Y288" s="265"/>
      <c r="Z288" s="265"/>
      <c r="AA288" s="265"/>
      <c r="AB288" s="265"/>
      <c r="AC288" s="265"/>
      <c r="AD288" s="265"/>
      <c r="AE288" s="265"/>
      <c r="AF288" s="265"/>
      <c r="AG288" s="265"/>
      <c r="AH288" s="265"/>
      <c r="AI288" s="265"/>
      <c r="AJ288" s="265"/>
      <c r="AK288" s="265"/>
      <c r="AL288" s="265"/>
      <c r="AM288" s="244"/>
    </row>
    <row r="289" spans="1:39" ht="18" customHeight="1" x14ac:dyDescent="0.15">
      <c r="A289" s="242"/>
      <c r="B289" s="244"/>
      <c r="C289" s="242"/>
      <c r="D289" s="265"/>
      <c r="E289" s="244"/>
      <c r="F289" s="244"/>
      <c r="G289" s="244"/>
      <c r="H289" s="242"/>
      <c r="I289" s="242"/>
      <c r="J289" s="242"/>
      <c r="K289" s="242"/>
      <c r="L289" s="244"/>
      <c r="M289" s="242"/>
      <c r="N289" s="265"/>
      <c r="O289" s="265"/>
      <c r="P289" s="265"/>
      <c r="Q289" s="265"/>
      <c r="R289" s="265"/>
      <c r="S289" s="265"/>
      <c r="T289" s="265"/>
      <c r="U289" s="265"/>
      <c r="V289" s="265"/>
      <c r="W289" s="265"/>
      <c r="X289" s="265"/>
      <c r="Y289" s="265"/>
      <c r="Z289" s="265"/>
      <c r="AA289" s="265"/>
      <c r="AB289" s="265"/>
      <c r="AC289" s="265"/>
      <c r="AD289" s="265"/>
      <c r="AE289" s="265"/>
      <c r="AF289" s="265"/>
      <c r="AG289" s="265"/>
      <c r="AH289" s="265"/>
      <c r="AI289" s="265"/>
      <c r="AJ289" s="265"/>
      <c r="AK289" s="265"/>
      <c r="AL289" s="265"/>
      <c r="AM289" s="244"/>
    </row>
    <row r="290" spans="1:39" ht="18" customHeight="1" x14ac:dyDescent="0.15">
      <c r="A290" s="242"/>
      <c r="B290" s="244"/>
      <c r="C290" s="242"/>
      <c r="D290" s="265"/>
      <c r="E290" s="244"/>
      <c r="F290" s="244"/>
      <c r="G290" s="244"/>
      <c r="H290" s="242"/>
      <c r="I290" s="242"/>
      <c r="J290" s="242"/>
      <c r="K290" s="242"/>
      <c r="L290" s="244"/>
      <c r="M290" s="242"/>
      <c r="N290" s="265"/>
      <c r="O290" s="265"/>
      <c r="P290" s="265"/>
      <c r="Q290" s="265"/>
      <c r="R290" s="265"/>
      <c r="S290" s="265"/>
      <c r="T290" s="265"/>
      <c r="U290" s="265"/>
      <c r="V290" s="265"/>
      <c r="W290" s="265"/>
      <c r="X290" s="265"/>
      <c r="Y290" s="265"/>
      <c r="Z290" s="265"/>
      <c r="AA290" s="265"/>
      <c r="AB290" s="265"/>
      <c r="AC290" s="265"/>
      <c r="AD290" s="265"/>
      <c r="AE290" s="265"/>
      <c r="AF290" s="265"/>
      <c r="AG290" s="265"/>
      <c r="AH290" s="265"/>
      <c r="AI290" s="265"/>
      <c r="AJ290" s="265"/>
      <c r="AK290" s="265"/>
      <c r="AL290" s="265"/>
      <c r="AM290" s="244"/>
    </row>
    <row r="291" spans="1:39" ht="18" customHeight="1" x14ac:dyDescent="0.15">
      <c r="A291" s="242"/>
      <c r="B291" s="244"/>
      <c r="C291" s="242"/>
      <c r="D291" s="265"/>
      <c r="E291" s="244"/>
      <c r="F291" s="244"/>
      <c r="G291" s="244"/>
      <c r="H291" s="242"/>
      <c r="I291" s="242"/>
      <c r="J291" s="242"/>
      <c r="K291" s="242"/>
      <c r="L291" s="244"/>
      <c r="M291" s="242"/>
      <c r="N291" s="265"/>
      <c r="O291" s="265"/>
      <c r="P291" s="265"/>
      <c r="Q291" s="265"/>
      <c r="R291" s="265"/>
      <c r="S291" s="265"/>
      <c r="T291" s="265"/>
      <c r="U291" s="265"/>
      <c r="V291" s="265"/>
      <c r="W291" s="265"/>
      <c r="X291" s="265"/>
      <c r="Y291" s="265"/>
      <c r="Z291" s="265"/>
      <c r="AA291" s="265"/>
      <c r="AB291" s="265"/>
      <c r="AC291" s="265"/>
      <c r="AD291" s="265"/>
      <c r="AE291" s="265"/>
      <c r="AF291" s="265"/>
      <c r="AG291" s="265"/>
      <c r="AH291" s="265"/>
      <c r="AI291" s="265"/>
      <c r="AJ291" s="265"/>
      <c r="AK291" s="265"/>
      <c r="AL291" s="265"/>
      <c r="AM291" s="244"/>
    </row>
    <row r="292" spans="1:39" ht="18" customHeight="1" x14ac:dyDescent="0.15">
      <c r="A292" s="242"/>
      <c r="B292" s="244"/>
      <c r="C292" s="242"/>
      <c r="D292" s="265"/>
      <c r="E292" s="244"/>
      <c r="F292" s="244"/>
      <c r="G292" s="244"/>
      <c r="H292" s="242"/>
      <c r="I292" s="242"/>
      <c r="J292" s="242"/>
      <c r="K292" s="242"/>
      <c r="L292" s="244"/>
      <c r="M292" s="242"/>
      <c r="N292" s="265"/>
      <c r="O292" s="265"/>
      <c r="P292" s="265"/>
      <c r="Q292" s="265"/>
      <c r="R292" s="265"/>
      <c r="S292" s="265"/>
      <c r="T292" s="265"/>
      <c r="U292" s="265"/>
      <c r="V292" s="265"/>
      <c r="W292" s="265"/>
      <c r="X292" s="265"/>
      <c r="Y292" s="265"/>
      <c r="Z292" s="265"/>
      <c r="AA292" s="265"/>
      <c r="AB292" s="265"/>
      <c r="AC292" s="265"/>
      <c r="AD292" s="265"/>
      <c r="AE292" s="265"/>
      <c r="AF292" s="265"/>
      <c r="AG292" s="265"/>
      <c r="AH292" s="265"/>
      <c r="AI292" s="265"/>
      <c r="AJ292" s="265"/>
      <c r="AK292" s="265"/>
      <c r="AL292" s="265"/>
      <c r="AM292" s="244"/>
    </row>
    <row r="293" spans="1:39" ht="18" customHeight="1" x14ac:dyDescent="0.15">
      <c r="A293" s="242"/>
      <c r="B293" s="244"/>
      <c r="C293" s="242"/>
      <c r="D293" s="265"/>
      <c r="E293" s="244"/>
      <c r="F293" s="244"/>
      <c r="G293" s="244"/>
      <c r="H293" s="242"/>
      <c r="I293" s="242"/>
      <c r="J293" s="242"/>
      <c r="K293" s="242"/>
      <c r="L293" s="244"/>
      <c r="M293" s="242"/>
      <c r="N293" s="265"/>
      <c r="O293" s="265"/>
      <c r="P293" s="265"/>
      <c r="Q293" s="265"/>
      <c r="R293" s="265"/>
      <c r="S293" s="265"/>
      <c r="T293" s="265"/>
      <c r="U293" s="265"/>
      <c r="V293" s="265"/>
      <c r="W293" s="265"/>
      <c r="X293" s="265"/>
      <c r="Y293" s="265"/>
      <c r="Z293" s="265"/>
      <c r="AA293" s="265"/>
      <c r="AB293" s="265"/>
      <c r="AC293" s="265"/>
      <c r="AD293" s="265"/>
      <c r="AE293" s="265"/>
      <c r="AF293" s="265"/>
      <c r="AG293" s="265"/>
      <c r="AH293" s="265"/>
      <c r="AI293" s="265"/>
      <c r="AJ293" s="265"/>
      <c r="AK293" s="265"/>
      <c r="AL293" s="265"/>
      <c r="AM293" s="244"/>
    </row>
    <row r="294" spans="1:39" ht="18" customHeight="1" x14ac:dyDescent="0.15">
      <c r="A294" s="242"/>
      <c r="B294" s="244"/>
      <c r="C294" s="242"/>
      <c r="D294" s="265"/>
      <c r="E294" s="244"/>
      <c r="F294" s="244"/>
      <c r="G294" s="244"/>
      <c r="H294" s="242"/>
      <c r="I294" s="242"/>
      <c r="J294" s="242"/>
      <c r="K294" s="242"/>
      <c r="L294" s="244"/>
      <c r="M294" s="242"/>
      <c r="N294" s="265"/>
      <c r="O294" s="265"/>
      <c r="P294" s="265"/>
      <c r="Q294" s="265"/>
      <c r="R294" s="265"/>
      <c r="S294" s="265"/>
      <c r="T294" s="265"/>
      <c r="U294" s="265"/>
      <c r="V294" s="265"/>
      <c r="W294" s="265"/>
      <c r="X294" s="265"/>
      <c r="Y294" s="265"/>
      <c r="Z294" s="265"/>
      <c r="AA294" s="265"/>
      <c r="AB294" s="265"/>
      <c r="AC294" s="265"/>
      <c r="AD294" s="265"/>
      <c r="AE294" s="265"/>
      <c r="AF294" s="265"/>
      <c r="AG294" s="265"/>
      <c r="AH294" s="265"/>
      <c r="AI294" s="265"/>
      <c r="AJ294" s="265"/>
      <c r="AK294" s="265"/>
      <c r="AL294" s="265"/>
      <c r="AM294" s="244"/>
    </row>
    <row r="295" spans="1:39" ht="18" customHeight="1" x14ac:dyDescent="0.15">
      <c r="A295" s="242"/>
      <c r="B295" s="244"/>
      <c r="C295" s="242"/>
      <c r="D295" s="265"/>
      <c r="E295" s="244"/>
      <c r="F295" s="244"/>
      <c r="G295" s="244"/>
      <c r="H295" s="242"/>
      <c r="I295" s="242"/>
      <c r="J295" s="242"/>
      <c r="K295" s="242"/>
      <c r="L295" s="244"/>
      <c r="M295" s="242"/>
      <c r="N295" s="265"/>
      <c r="O295" s="265"/>
      <c r="P295" s="265"/>
      <c r="Q295" s="265"/>
      <c r="R295" s="265"/>
      <c r="S295" s="265"/>
      <c r="T295" s="265"/>
      <c r="U295" s="265"/>
      <c r="V295" s="265"/>
      <c r="W295" s="265"/>
      <c r="X295" s="265"/>
      <c r="Y295" s="265"/>
      <c r="Z295" s="265"/>
      <c r="AA295" s="265"/>
      <c r="AB295" s="265"/>
      <c r="AC295" s="265"/>
      <c r="AD295" s="265"/>
      <c r="AE295" s="265"/>
      <c r="AF295" s="265"/>
      <c r="AG295" s="265"/>
      <c r="AH295" s="265"/>
      <c r="AI295" s="265"/>
      <c r="AJ295" s="265"/>
      <c r="AK295" s="265"/>
      <c r="AL295" s="265"/>
      <c r="AM295" s="244"/>
    </row>
    <row r="296" spans="1:39" ht="18" customHeight="1" x14ac:dyDescent="0.15">
      <c r="A296" s="242"/>
      <c r="B296" s="244"/>
      <c r="C296" s="242"/>
      <c r="D296" s="265"/>
      <c r="E296" s="244"/>
      <c r="F296" s="244"/>
      <c r="G296" s="244"/>
      <c r="H296" s="242"/>
      <c r="I296" s="242"/>
      <c r="J296" s="242"/>
      <c r="K296" s="242"/>
      <c r="L296" s="244"/>
      <c r="M296" s="242"/>
      <c r="N296" s="265"/>
      <c r="O296" s="265"/>
      <c r="P296" s="265"/>
      <c r="Q296" s="265"/>
      <c r="R296" s="265"/>
      <c r="S296" s="265"/>
      <c r="T296" s="265"/>
      <c r="U296" s="265"/>
      <c r="V296" s="265"/>
      <c r="W296" s="265"/>
      <c r="X296" s="265"/>
      <c r="Y296" s="265"/>
      <c r="Z296" s="265"/>
      <c r="AA296" s="265"/>
      <c r="AB296" s="265"/>
      <c r="AC296" s="265"/>
      <c r="AD296" s="265"/>
      <c r="AE296" s="265"/>
      <c r="AF296" s="265"/>
      <c r="AG296" s="265"/>
      <c r="AH296" s="265"/>
      <c r="AI296" s="265"/>
      <c r="AJ296" s="265"/>
      <c r="AK296" s="265"/>
      <c r="AL296" s="265"/>
      <c r="AM296" s="244"/>
    </row>
    <row r="297" spans="1:39" ht="18" customHeight="1" x14ac:dyDescent="0.15">
      <c r="A297" s="242"/>
      <c r="B297" s="244"/>
      <c r="C297" s="242"/>
      <c r="D297" s="265"/>
      <c r="E297" s="244"/>
      <c r="F297" s="244"/>
      <c r="G297" s="244"/>
      <c r="H297" s="242"/>
      <c r="I297" s="242"/>
      <c r="J297" s="242"/>
      <c r="K297" s="242"/>
      <c r="L297" s="244"/>
      <c r="M297" s="242"/>
      <c r="N297" s="265"/>
      <c r="O297" s="265"/>
      <c r="P297" s="265"/>
      <c r="Q297" s="265"/>
      <c r="R297" s="265"/>
      <c r="S297" s="265"/>
      <c r="T297" s="265"/>
      <c r="U297" s="265"/>
      <c r="V297" s="265"/>
      <c r="W297" s="265"/>
      <c r="X297" s="265"/>
      <c r="Y297" s="265"/>
      <c r="Z297" s="265"/>
      <c r="AA297" s="265"/>
      <c r="AB297" s="265"/>
      <c r="AC297" s="265"/>
      <c r="AD297" s="265"/>
      <c r="AE297" s="265"/>
      <c r="AF297" s="265"/>
      <c r="AG297" s="265"/>
      <c r="AH297" s="265"/>
      <c r="AI297" s="265"/>
      <c r="AJ297" s="265"/>
      <c r="AK297" s="265"/>
      <c r="AL297" s="265"/>
      <c r="AM297" s="244"/>
    </row>
    <row r="298" spans="1:39" ht="18" customHeight="1" x14ac:dyDescent="0.15">
      <c r="A298" s="242"/>
      <c r="B298" s="244"/>
      <c r="C298" s="242"/>
      <c r="D298" s="265"/>
      <c r="E298" s="244"/>
      <c r="F298" s="244"/>
      <c r="G298" s="244"/>
      <c r="H298" s="242"/>
      <c r="I298" s="242"/>
      <c r="J298" s="242"/>
      <c r="K298" s="242"/>
      <c r="L298" s="244"/>
      <c r="M298" s="242"/>
      <c r="N298" s="265"/>
      <c r="O298" s="265"/>
      <c r="P298" s="265"/>
      <c r="Q298" s="265"/>
      <c r="R298" s="265"/>
      <c r="S298" s="265"/>
      <c r="T298" s="265"/>
      <c r="U298" s="265"/>
      <c r="V298" s="265"/>
      <c r="W298" s="265"/>
      <c r="X298" s="265"/>
      <c r="Y298" s="265"/>
      <c r="Z298" s="265"/>
      <c r="AA298" s="265"/>
      <c r="AB298" s="265"/>
      <c r="AC298" s="265"/>
      <c r="AD298" s="265"/>
      <c r="AE298" s="265"/>
      <c r="AF298" s="265"/>
      <c r="AG298" s="265"/>
      <c r="AH298" s="265"/>
      <c r="AI298" s="265"/>
      <c r="AJ298" s="265"/>
      <c r="AK298" s="265"/>
      <c r="AL298" s="265"/>
      <c r="AM298" s="244"/>
    </row>
    <row r="299" spans="1:39" ht="18" customHeight="1" x14ac:dyDescent="0.15">
      <c r="A299" s="242"/>
      <c r="B299" s="244"/>
      <c r="C299" s="242"/>
      <c r="D299" s="265"/>
      <c r="E299" s="244"/>
      <c r="F299" s="244"/>
      <c r="G299" s="244"/>
      <c r="H299" s="242"/>
      <c r="I299" s="242"/>
      <c r="J299" s="242"/>
      <c r="K299" s="242"/>
      <c r="L299" s="244"/>
      <c r="M299" s="242"/>
      <c r="N299" s="265"/>
      <c r="O299" s="265"/>
      <c r="P299" s="265"/>
      <c r="Q299" s="265"/>
      <c r="R299" s="265"/>
      <c r="S299" s="265"/>
      <c r="T299" s="265"/>
      <c r="U299" s="265"/>
      <c r="V299" s="265"/>
      <c r="W299" s="265"/>
      <c r="X299" s="265"/>
      <c r="Y299" s="265"/>
      <c r="Z299" s="265"/>
      <c r="AA299" s="265"/>
      <c r="AB299" s="265"/>
      <c r="AC299" s="265"/>
      <c r="AD299" s="265"/>
      <c r="AE299" s="265"/>
      <c r="AF299" s="265"/>
      <c r="AG299" s="265"/>
      <c r="AH299" s="265"/>
      <c r="AI299" s="265"/>
      <c r="AJ299" s="265"/>
      <c r="AK299" s="265"/>
      <c r="AL299" s="265"/>
      <c r="AM299" s="244"/>
    </row>
    <row r="300" spans="1:39" ht="18" customHeight="1" x14ac:dyDescent="0.15">
      <c r="A300" s="242"/>
      <c r="B300" s="244"/>
      <c r="C300" s="242"/>
      <c r="D300" s="265"/>
      <c r="E300" s="244"/>
      <c r="F300" s="244"/>
      <c r="G300" s="244"/>
      <c r="H300" s="242"/>
      <c r="I300" s="242"/>
      <c r="J300" s="242"/>
      <c r="K300" s="242"/>
      <c r="L300" s="244"/>
      <c r="M300" s="242"/>
      <c r="N300" s="265"/>
      <c r="O300" s="265"/>
      <c r="P300" s="265"/>
      <c r="Q300" s="265"/>
      <c r="R300" s="265"/>
      <c r="S300" s="265"/>
      <c r="T300" s="265"/>
      <c r="U300" s="265"/>
      <c r="V300" s="265"/>
      <c r="W300" s="265"/>
      <c r="X300" s="265"/>
      <c r="Y300" s="265"/>
      <c r="Z300" s="265"/>
      <c r="AA300" s="265"/>
      <c r="AB300" s="265"/>
      <c r="AC300" s="265"/>
      <c r="AD300" s="265"/>
      <c r="AE300" s="265"/>
      <c r="AF300" s="265"/>
      <c r="AG300" s="265"/>
      <c r="AH300" s="265"/>
      <c r="AI300" s="265"/>
      <c r="AJ300" s="265"/>
      <c r="AK300" s="265"/>
      <c r="AL300" s="265"/>
      <c r="AM300" s="244"/>
    </row>
    <row r="301" spans="1:39" ht="18" customHeight="1" x14ac:dyDescent="0.15">
      <c r="A301" s="242"/>
      <c r="B301" s="244"/>
      <c r="C301" s="242"/>
      <c r="D301" s="265"/>
      <c r="E301" s="244"/>
      <c r="F301" s="244"/>
      <c r="G301" s="244"/>
      <c r="H301" s="242"/>
      <c r="I301" s="242"/>
      <c r="J301" s="242"/>
      <c r="K301" s="242"/>
      <c r="L301" s="244"/>
      <c r="M301" s="242"/>
      <c r="N301" s="265"/>
      <c r="O301" s="265"/>
      <c r="P301" s="265"/>
      <c r="Q301" s="265"/>
      <c r="R301" s="265"/>
      <c r="S301" s="265"/>
      <c r="T301" s="265"/>
      <c r="U301" s="265"/>
      <c r="V301" s="265"/>
      <c r="W301" s="265"/>
      <c r="X301" s="265"/>
      <c r="Y301" s="265"/>
      <c r="Z301" s="265"/>
      <c r="AA301" s="265"/>
      <c r="AB301" s="265"/>
      <c r="AC301" s="265"/>
      <c r="AD301" s="265"/>
      <c r="AE301" s="265"/>
      <c r="AF301" s="265"/>
      <c r="AG301" s="265"/>
      <c r="AH301" s="265"/>
      <c r="AI301" s="265"/>
      <c r="AJ301" s="265"/>
      <c r="AK301" s="265"/>
      <c r="AL301" s="265"/>
      <c r="AM301" s="244"/>
    </row>
    <row r="302" spans="1:39" ht="18" customHeight="1" x14ac:dyDescent="0.15">
      <c r="A302" s="242"/>
      <c r="B302" s="244"/>
      <c r="C302" s="242"/>
      <c r="D302" s="265"/>
      <c r="E302" s="244"/>
      <c r="F302" s="244"/>
      <c r="G302" s="244"/>
      <c r="H302" s="242"/>
      <c r="I302" s="242"/>
      <c r="J302" s="242"/>
      <c r="K302" s="242"/>
      <c r="L302" s="244"/>
      <c r="M302" s="242"/>
      <c r="N302" s="265"/>
      <c r="O302" s="265"/>
      <c r="P302" s="265"/>
      <c r="Q302" s="265"/>
      <c r="R302" s="265"/>
      <c r="S302" s="265"/>
      <c r="T302" s="265"/>
      <c r="U302" s="265"/>
      <c r="V302" s="265"/>
      <c r="W302" s="265"/>
      <c r="X302" s="265"/>
      <c r="Y302" s="265"/>
      <c r="Z302" s="265"/>
      <c r="AA302" s="265"/>
      <c r="AB302" s="265"/>
      <c r="AC302" s="265"/>
      <c r="AD302" s="265"/>
      <c r="AE302" s="265"/>
      <c r="AF302" s="265"/>
      <c r="AG302" s="265"/>
      <c r="AH302" s="265"/>
      <c r="AI302" s="265"/>
      <c r="AJ302" s="265"/>
      <c r="AK302" s="265"/>
      <c r="AL302" s="265"/>
      <c r="AM302" s="244"/>
    </row>
    <row r="303" spans="1:39" ht="18" customHeight="1" x14ac:dyDescent="0.15">
      <c r="A303" s="242"/>
      <c r="B303" s="244"/>
      <c r="C303" s="242"/>
      <c r="D303" s="265"/>
      <c r="E303" s="244"/>
      <c r="F303" s="244"/>
      <c r="G303" s="244"/>
      <c r="H303" s="242"/>
      <c r="I303" s="242"/>
      <c r="J303" s="242"/>
      <c r="K303" s="242"/>
      <c r="L303" s="244"/>
      <c r="M303" s="242"/>
      <c r="N303" s="265"/>
      <c r="O303" s="265"/>
      <c r="P303" s="265"/>
      <c r="Q303" s="265"/>
      <c r="R303" s="265"/>
      <c r="S303" s="265"/>
      <c r="T303" s="265"/>
      <c r="U303" s="265"/>
      <c r="V303" s="265"/>
      <c r="W303" s="265"/>
      <c r="X303" s="265"/>
      <c r="Y303" s="265"/>
      <c r="Z303" s="265"/>
      <c r="AA303" s="265"/>
      <c r="AB303" s="265"/>
      <c r="AC303" s="265"/>
      <c r="AD303" s="265"/>
      <c r="AE303" s="265"/>
      <c r="AF303" s="265"/>
      <c r="AG303" s="265"/>
      <c r="AH303" s="265"/>
      <c r="AI303" s="265"/>
      <c r="AJ303" s="265"/>
      <c r="AK303" s="265"/>
      <c r="AL303" s="265"/>
      <c r="AM303" s="244"/>
    </row>
    <row r="304" spans="1:39" ht="18" customHeight="1" x14ac:dyDescent="0.15">
      <c r="A304" s="242"/>
      <c r="B304" s="244"/>
      <c r="C304" s="242"/>
      <c r="D304" s="265"/>
      <c r="E304" s="244"/>
      <c r="F304" s="244"/>
      <c r="G304" s="244"/>
      <c r="H304" s="242"/>
      <c r="I304" s="242"/>
      <c r="J304" s="242"/>
      <c r="K304" s="242"/>
      <c r="L304" s="244"/>
      <c r="M304" s="242"/>
      <c r="N304" s="265"/>
      <c r="O304" s="265"/>
      <c r="P304" s="265"/>
      <c r="Q304" s="265"/>
      <c r="R304" s="265"/>
      <c r="S304" s="265"/>
      <c r="T304" s="265"/>
      <c r="U304" s="265"/>
      <c r="V304" s="265"/>
      <c r="W304" s="265"/>
      <c r="X304" s="265"/>
      <c r="Y304" s="265"/>
      <c r="Z304" s="265"/>
      <c r="AA304" s="265"/>
      <c r="AB304" s="265"/>
      <c r="AC304" s="265"/>
      <c r="AD304" s="265"/>
      <c r="AE304" s="265"/>
      <c r="AF304" s="265"/>
      <c r="AG304" s="265"/>
      <c r="AH304" s="265"/>
      <c r="AI304" s="265"/>
      <c r="AJ304" s="265"/>
      <c r="AK304" s="265"/>
      <c r="AL304" s="265"/>
      <c r="AM304" s="244"/>
    </row>
    <row r="305" spans="1:39" ht="18" customHeight="1" x14ac:dyDescent="0.15">
      <c r="A305" s="242"/>
      <c r="B305" s="244"/>
      <c r="C305" s="242"/>
      <c r="D305" s="265"/>
      <c r="E305" s="244"/>
      <c r="F305" s="244"/>
      <c r="G305" s="244"/>
      <c r="H305" s="242"/>
      <c r="I305" s="242"/>
      <c r="J305" s="242"/>
      <c r="K305" s="242"/>
      <c r="L305" s="244"/>
      <c r="M305" s="242"/>
      <c r="N305" s="265"/>
      <c r="O305" s="265"/>
      <c r="P305" s="265"/>
      <c r="Q305" s="265"/>
      <c r="R305" s="265"/>
      <c r="S305" s="265"/>
      <c r="T305" s="265"/>
      <c r="U305" s="265"/>
      <c r="V305" s="265"/>
      <c r="W305" s="265"/>
      <c r="X305" s="265"/>
      <c r="Y305" s="265"/>
      <c r="Z305" s="265"/>
      <c r="AA305" s="265"/>
      <c r="AB305" s="265"/>
      <c r="AC305" s="265"/>
      <c r="AD305" s="265"/>
      <c r="AE305" s="265"/>
      <c r="AF305" s="265"/>
      <c r="AG305" s="265"/>
      <c r="AH305" s="265"/>
      <c r="AI305" s="265"/>
      <c r="AJ305" s="265"/>
      <c r="AK305" s="265"/>
      <c r="AL305" s="265"/>
      <c r="AM305" s="244"/>
    </row>
    <row r="306" spans="1:39" ht="18" customHeight="1" x14ac:dyDescent="0.15">
      <c r="A306" s="242"/>
      <c r="B306" s="244"/>
      <c r="C306" s="242"/>
      <c r="D306" s="265"/>
      <c r="E306" s="244"/>
      <c r="F306" s="244"/>
      <c r="G306" s="244"/>
      <c r="H306" s="242"/>
      <c r="I306" s="242"/>
      <c r="J306" s="242"/>
      <c r="K306" s="242"/>
      <c r="L306" s="244"/>
      <c r="M306" s="242"/>
      <c r="N306" s="265"/>
      <c r="O306" s="265"/>
      <c r="P306" s="265"/>
      <c r="Q306" s="265"/>
      <c r="R306" s="265"/>
      <c r="S306" s="265"/>
      <c r="T306" s="265"/>
      <c r="U306" s="265"/>
      <c r="V306" s="265"/>
      <c r="W306" s="265"/>
      <c r="X306" s="265"/>
      <c r="Y306" s="265"/>
      <c r="Z306" s="265"/>
      <c r="AA306" s="265"/>
      <c r="AB306" s="265"/>
      <c r="AC306" s="265"/>
      <c r="AD306" s="265"/>
      <c r="AE306" s="265"/>
      <c r="AF306" s="265"/>
      <c r="AG306" s="265"/>
      <c r="AH306" s="265"/>
      <c r="AI306" s="265"/>
      <c r="AJ306" s="265"/>
      <c r="AK306" s="265"/>
      <c r="AL306" s="265"/>
      <c r="AM306" s="244"/>
    </row>
    <row r="307" spans="1:39" ht="18" customHeight="1" x14ac:dyDescent="0.15">
      <c r="A307" s="242"/>
      <c r="B307" s="244"/>
      <c r="C307" s="242"/>
      <c r="D307" s="265"/>
      <c r="E307" s="244"/>
      <c r="F307" s="244"/>
      <c r="G307" s="244"/>
      <c r="H307" s="242"/>
      <c r="I307" s="242"/>
      <c r="J307" s="242"/>
      <c r="K307" s="242"/>
      <c r="L307" s="244"/>
      <c r="M307" s="242"/>
      <c r="N307" s="265"/>
      <c r="O307" s="265"/>
      <c r="P307" s="265"/>
      <c r="Q307" s="265"/>
      <c r="R307" s="265"/>
      <c r="S307" s="265"/>
      <c r="T307" s="265"/>
      <c r="U307" s="265"/>
      <c r="V307" s="265"/>
      <c r="W307" s="265"/>
      <c r="X307" s="265"/>
      <c r="Y307" s="265"/>
      <c r="Z307" s="265"/>
      <c r="AA307" s="265"/>
      <c r="AB307" s="265"/>
      <c r="AC307" s="265"/>
      <c r="AD307" s="265"/>
      <c r="AE307" s="265"/>
      <c r="AF307" s="265"/>
      <c r="AG307" s="265"/>
      <c r="AH307" s="265"/>
      <c r="AI307" s="265"/>
      <c r="AJ307" s="265"/>
      <c r="AK307" s="265"/>
      <c r="AL307" s="265"/>
      <c r="AM307" s="244"/>
    </row>
    <row r="308" spans="1:39" ht="18" customHeight="1" x14ac:dyDescent="0.15">
      <c r="A308" s="242"/>
      <c r="B308" s="244"/>
      <c r="C308" s="242"/>
      <c r="D308" s="265"/>
      <c r="E308" s="244"/>
      <c r="F308" s="244"/>
      <c r="G308" s="244"/>
      <c r="H308" s="242"/>
      <c r="I308" s="242"/>
      <c r="J308" s="242"/>
      <c r="K308" s="242"/>
      <c r="L308" s="244"/>
      <c r="M308" s="242"/>
      <c r="N308" s="265"/>
      <c r="O308" s="265"/>
      <c r="P308" s="265"/>
      <c r="Q308" s="265"/>
      <c r="R308" s="265"/>
      <c r="S308" s="265"/>
      <c r="T308" s="265"/>
      <c r="U308" s="265"/>
      <c r="V308" s="265"/>
      <c r="W308" s="265"/>
      <c r="X308" s="265"/>
      <c r="Y308" s="265"/>
      <c r="Z308" s="265"/>
      <c r="AA308" s="265"/>
      <c r="AB308" s="265"/>
      <c r="AC308" s="265"/>
      <c r="AD308" s="265"/>
      <c r="AE308" s="265"/>
      <c r="AF308" s="265"/>
      <c r="AG308" s="265"/>
      <c r="AH308" s="265"/>
      <c r="AI308" s="265"/>
      <c r="AJ308" s="265"/>
      <c r="AK308" s="265"/>
      <c r="AL308" s="265"/>
      <c r="AM308" s="244"/>
    </row>
    <row r="309" spans="1:39" ht="18" customHeight="1" x14ac:dyDescent="0.15">
      <c r="A309" s="242"/>
      <c r="B309" s="244"/>
      <c r="C309" s="242"/>
      <c r="D309" s="265"/>
      <c r="E309" s="244"/>
      <c r="F309" s="244"/>
      <c r="G309" s="244"/>
      <c r="H309" s="242"/>
      <c r="I309" s="242"/>
      <c r="J309" s="242"/>
      <c r="K309" s="242"/>
      <c r="L309" s="244"/>
      <c r="M309" s="242"/>
      <c r="N309" s="265"/>
      <c r="O309" s="265"/>
      <c r="P309" s="265"/>
      <c r="Q309" s="265"/>
      <c r="R309" s="265"/>
      <c r="S309" s="265"/>
      <c r="T309" s="265"/>
      <c r="U309" s="265"/>
      <c r="V309" s="265"/>
      <c r="W309" s="265"/>
      <c r="X309" s="265"/>
      <c r="Y309" s="265"/>
      <c r="Z309" s="265"/>
      <c r="AA309" s="265"/>
      <c r="AB309" s="265"/>
      <c r="AC309" s="265"/>
      <c r="AD309" s="265"/>
      <c r="AE309" s="265"/>
      <c r="AF309" s="265"/>
      <c r="AG309" s="265"/>
      <c r="AH309" s="265"/>
      <c r="AI309" s="265"/>
      <c r="AJ309" s="265"/>
      <c r="AK309" s="265"/>
      <c r="AL309" s="265"/>
      <c r="AM309" s="244"/>
    </row>
    <row r="310" spans="1:39" ht="18" customHeight="1" x14ac:dyDescent="0.15">
      <c r="A310" s="242"/>
      <c r="B310" s="244"/>
      <c r="C310" s="242"/>
      <c r="D310" s="265"/>
      <c r="E310" s="244"/>
      <c r="F310" s="244"/>
      <c r="G310" s="244"/>
      <c r="H310" s="242"/>
      <c r="I310" s="242"/>
      <c r="J310" s="242"/>
      <c r="K310" s="242"/>
      <c r="L310" s="244"/>
      <c r="M310" s="242"/>
      <c r="N310" s="265"/>
      <c r="O310" s="265"/>
      <c r="P310" s="265"/>
      <c r="Q310" s="265"/>
      <c r="R310" s="265"/>
      <c r="S310" s="265"/>
      <c r="T310" s="265"/>
      <c r="U310" s="265"/>
      <c r="V310" s="265"/>
      <c r="W310" s="265"/>
      <c r="X310" s="265"/>
      <c r="Y310" s="265"/>
      <c r="Z310" s="265"/>
      <c r="AA310" s="265"/>
      <c r="AB310" s="265"/>
      <c r="AC310" s="265"/>
      <c r="AD310" s="265"/>
      <c r="AE310" s="265"/>
      <c r="AF310" s="265"/>
      <c r="AG310" s="265"/>
      <c r="AH310" s="265"/>
      <c r="AI310" s="265"/>
      <c r="AJ310" s="265"/>
      <c r="AK310" s="265"/>
      <c r="AL310" s="265"/>
      <c r="AM310" s="244"/>
    </row>
    <row r="311" spans="1:39" ht="18" customHeight="1" x14ac:dyDescent="0.15">
      <c r="A311" s="242"/>
      <c r="B311" s="244"/>
      <c r="C311" s="242"/>
      <c r="D311" s="265"/>
      <c r="E311" s="244"/>
      <c r="F311" s="244"/>
      <c r="G311" s="244"/>
      <c r="H311" s="242"/>
      <c r="I311" s="242"/>
      <c r="J311" s="242"/>
      <c r="K311" s="242"/>
      <c r="L311" s="244"/>
      <c r="M311" s="242"/>
      <c r="N311" s="265"/>
      <c r="O311" s="265"/>
      <c r="P311" s="265"/>
      <c r="Q311" s="265"/>
      <c r="R311" s="265"/>
      <c r="S311" s="265"/>
      <c r="T311" s="265"/>
      <c r="U311" s="265"/>
      <c r="V311" s="265"/>
      <c r="W311" s="265"/>
      <c r="X311" s="265"/>
      <c r="Y311" s="265"/>
      <c r="Z311" s="265"/>
      <c r="AA311" s="265"/>
      <c r="AB311" s="265"/>
      <c r="AC311" s="265"/>
      <c r="AD311" s="265"/>
      <c r="AE311" s="265"/>
      <c r="AF311" s="265"/>
      <c r="AG311" s="265"/>
      <c r="AH311" s="265"/>
      <c r="AI311" s="265"/>
      <c r="AJ311" s="265"/>
      <c r="AK311" s="265"/>
      <c r="AL311" s="265"/>
      <c r="AM311" s="244"/>
    </row>
    <row r="312" spans="1:39" ht="18" customHeight="1" x14ac:dyDescent="0.15">
      <c r="A312" s="242"/>
      <c r="B312" s="244"/>
      <c r="C312" s="242"/>
      <c r="D312" s="265"/>
      <c r="E312" s="244"/>
      <c r="F312" s="244"/>
      <c r="G312" s="244"/>
      <c r="H312" s="242"/>
      <c r="I312" s="242"/>
      <c r="J312" s="242"/>
      <c r="K312" s="242"/>
      <c r="L312" s="244"/>
      <c r="M312" s="242"/>
      <c r="N312" s="265"/>
      <c r="O312" s="265"/>
      <c r="P312" s="265"/>
      <c r="Q312" s="265"/>
      <c r="R312" s="265"/>
      <c r="S312" s="265"/>
      <c r="T312" s="265"/>
      <c r="U312" s="265"/>
      <c r="V312" s="265"/>
      <c r="W312" s="265"/>
      <c r="X312" s="265"/>
      <c r="Y312" s="265"/>
      <c r="Z312" s="265"/>
      <c r="AA312" s="265"/>
      <c r="AB312" s="265"/>
      <c r="AC312" s="265"/>
      <c r="AD312" s="265"/>
      <c r="AE312" s="265"/>
      <c r="AF312" s="265"/>
      <c r="AG312" s="265"/>
      <c r="AH312" s="265"/>
      <c r="AI312" s="265"/>
      <c r="AJ312" s="265"/>
      <c r="AK312" s="265"/>
      <c r="AL312" s="265"/>
      <c r="AM312" s="244"/>
    </row>
    <row r="313" spans="1:39" ht="18" customHeight="1" x14ac:dyDescent="0.15">
      <c r="A313" s="242"/>
      <c r="B313" s="244"/>
      <c r="C313" s="242"/>
      <c r="D313" s="265"/>
      <c r="E313" s="244"/>
      <c r="F313" s="244"/>
      <c r="G313" s="244"/>
      <c r="H313" s="242"/>
      <c r="I313" s="242"/>
      <c r="J313" s="242"/>
      <c r="K313" s="242"/>
      <c r="L313" s="244"/>
      <c r="M313" s="242"/>
      <c r="N313" s="265"/>
      <c r="O313" s="265"/>
      <c r="P313" s="265"/>
      <c r="Q313" s="265"/>
      <c r="R313" s="265"/>
      <c r="S313" s="265"/>
      <c r="T313" s="265"/>
      <c r="U313" s="265"/>
      <c r="V313" s="265"/>
      <c r="W313" s="265"/>
      <c r="X313" s="265"/>
      <c r="Y313" s="265"/>
      <c r="Z313" s="265"/>
      <c r="AA313" s="265"/>
      <c r="AB313" s="265"/>
      <c r="AC313" s="265"/>
      <c r="AD313" s="265"/>
      <c r="AE313" s="265"/>
      <c r="AF313" s="265"/>
      <c r="AG313" s="265"/>
      <c r="AH313" s="265"/>
      <c r="AI313" s="265"/>
      <c r="AJ313" s="265"/>
      <c r="AK313" s="265"/>
      <c r="AL313" s="265"/>
      <c r="AM313" s="244"/>
    </row>
    <row r="314" spans="1:39" ht="18" customHeight="1" x14ac:dyDescent="0.15">
      <c r="A314" s="242"/>
      <c r="B314" s="244"/>
      <c r="C314" s="242"/>
      <c r="D314" s="265"/>
      <c r="E314" s="244"/>
      <c r="F314" s="244"/>
      <c r="G314" s="244"/>
      <c r="H314" s="242"/>
      <c r="I314" s="242"/>
      <c r="J314" s="242"/>
      <c r="K314" s="242"/>
      <c r="L314" s="244"/>
      <c r="M314" s="242"/>
      <c r="N314" s="265"/>
      <c r="O314" s="265"/>
      <c r="P314" s="265"/>
      <c r="Q314" s="265"/>
      <c r="R314" s="265"/>
      <c r="S314" s="265"/>
      <c r="T314" s="265"/>
      <c r="U314" s="265"/>
      <c r="V314" s="265"/>
      <c r="W314" s="265"/>
      <c r="X314" s="265"/>
      <c r="Y314" s="265"/>
      <c r="Z314" s="265"/>
      <c r="AA314" s="265"/>
      <c r="AB314" s="265"/>
      <c r="AC314" s="265"/>
      <c r="AD314" s="265"/>
      <c r="AE314" s="265"/>
      <c r="AF314" s="265"/>
      <c r="AG314" s="265"/>
      <c r="AH314" s="265"/>
      <c r="AI314" s="265"/>
      <c r="AJ314" s="265"/>
      <c r="AK314" s="265"/>
      <c r="AL314" s="265"/>
      <c r="AM314" s="244"/>
    </row>
    <row r="315" spans="1:39" ht="18" customHeight="1" x14ac:dyDescent="0.15">
      <c r="A315" s="242"/>
      <c r="B315" s="244"/>
      <c r="C315" s="242"/>
      <c r="D315" s="265"/>
      <c r="E315" s="244"/>
      <c r="F315" s="244"/>
      <c r="G315" s="244"/>
      <c r="H315" s="242"/>
      <c r="I315" s="242"/>
      <c r="J315" s="242"/>
      <c r="K315" s="242"/>
      <c r="L315" s="244"/>
      <c r="M315" s="242"/>
      <c r="N315" s="265"/>
      <c r="O315" s="265"/>
      <c r="P315" s="265"/>
      <c r="Q315" s="265"/>
      <c r="R315" s="265"/>
      <c r="S315" s="265"/>
      <c r="T315" s="265"/>
      <c r="U315" s="265"/>
      <c r="V315" s="265"/>
      <c r="W315" s="265"/>
      <c r="X315" s="265"/>
      <c r="Y315" s="265"/>
      <c r="Z315" s="265"/>
      <c r="AA315" s="265"/>
      <c r="AB315" s="265"/>
      <c r="AC315" s="265"/>
      <c r="AD315" s="265"/>
      <c r="AE315" s="265"/>
      <c r="AF315" s="265"/>
      <c r="AG315" s="265"/>
      <c r="AH315" s="265"/>
      <c r="AI315" s="265"/>
      <c r="AJ315" s="265"/>
      <c r="AK315" s="265"/>
      <c r="AL315" s="265"/>
      <c r="AM315" s="244"/>
    </row>
    <row r="316" spans="1:39" ht="18" customHeight="1" x14ac:dyDescent="0.15">
      <c r="A316" s="242"/>
      <c r="B316" s="244"/>
      <c r="C316" s="242"/>
      <c r="D316" s="265"/>
      <c r="E316" s="244"/>
      <c r="F316" s="244"/>
      <c r="G316" s="244"/>
      <c r="H316" s="242"/>
      <c r="I316" s="242"/>
      <c r="J316" s="242"/>
      <c r="K316" s="242"/>
      <c r="L316" s="244"/>
      <c r="M316" s="242"/>
      <c r="N316" s="265"/>
      <c r="O316" s="265"/>
      <c r="P316" s="265"/>
      <c r="Q316" s="265"/>
      <c r="R316" s="265"/>
      <c r="S316" s="265"/>
      <c r="T316" s="265"/>
      <c r="U316" s="265"/>
      <c r="V316" s="265"/>
      <c r="W316" s="265"/>
      <c r="X316" s="265"/>
      <c r="Y316" s="265"/>
      <c r="Z316" s="265"/>
      <c r="AA316" s="265"/>
      <c r="AB316" s="265"/>
      <c r="AC316" s="265"/>
      <c r="AD316" s="265"/>
      <c r="AE316" s="265"/>
      <c r="AF316" s="265"/>
      <c r="AG316" s="265"/>
      <c r="AH316" s="265"/>
      <c r="AI316" s="265"/>
      <c r="AJ316" s="265"/>
      <c r="AK316" s="265"/>
      <c r="AL316" s="265"/>
      <c r="AM316" s="244"/>
    </row>
    <row r="317" spans="1:39" ht="18" customHeight="1" x14ac:dyDescent="0.15">
      <c r="A317" s="242"/>
      <c r="B317" s="244"/>
      <c r="C317" s="242"/>
      <c r="D317" s="265"/>
      <c r="E317" s="244"/>
      <c r="F317" s="244"/>
      <c r="G317" s="244"/>
      <c r="H317" s="242"/>
      <c r="I317" s="242"/>
      <c r="J317" s="242"/>
      <c r="K317" s="242"/>
      <c r="L317" s="244"/>
      <c r="M317" s="242"/>
      <c r="N317" s="265"/>
      <c r="O317" s="265"/>
      <c r="P317" s="265"/>
      <c r="Q317" s="265"/>
      <c r="R317" s="265"/>
      <c r="S317" s="265"/>
      <c r="T317" s="265"/>
      <c r="U317" s="265"/>
      <c r="V317" s="265"/>
      <c r="W317" s="265"/>
      <c r="X317" s="265"/>
      <c r="Y317" s="265"/>
      <c r="Z317" s="265"/>
      <c r="AA317" s="265"/>
      <c r="AB317" s="265"/>
      <c r="AC317" s="265"/>
      <c r="AD317" s="265"/>
      <c r="AE317" s="265"/>
      <c r="AF317" s="265"/>
      <c r="AG317" s="265"/>
      <c r="AH317" s="265"/>
      <c r="AI317" s="265"/>
      <c r="AJ317" s="265"/>
      <c r="AK317" s="265"/>
      <c r="AL317" s="265"/>
      <c r="AM317" s="244"/>
    </row>
    <row r="318" spans="1:39" ht="18" customHeight="1" x14ac:dyDescent="0.15">
      <c r="A318" s="242"/>
      <c r="B318" s="244"/>
      <c r="C318" s="242"/>
      <c r="D318" s="265"/>
      <c r="E318" s="244"/>
      <c r="F318" s="244"/>
      <c r="G318" s="244"/>
      <c r="H318" s="242"/>
      <c r="I318" s="242"/>
      <c r="J318" s="242"/>
      <c r="K318" s="242"/>
      <c r="L318" s="244"/>
      <c r="M318" s="242"/>
      <c r="N318" s="265"/>
      <c r="O318" s="265"/>
      <c r="P318" s="265"/>
      <c r="Q318" s="265"/>
      <c r="R318" s="265"/>
      <c r="S318" s="265"/>
      <c r="T318" s="265"/>
      <c r="U318" s="265"/>
      <c r="V318" s="265"/>
      <c r="W318" s="265"/>
      <c r="X318" s="265"/>
      <c r="Y318" s="265"/>
      <c r="Z318" s="265"/>
      <c r="AA318" s="265"/>
      <c r="AB318" s="265"/>
      <c r="AC318" s="265"/>
      <c r="AD318" s="265"/>
      <c r="AE318" s="265"/>
      <c r="AF318" s="265"/>
      <c r="AG318" s="265"/>
      <c r="AH318" s="265"/>
      <c r="AI318" s="265"/>
      <c r="AJ318" s="265"/>
      <c r="AK318" s="265"/>
      <c r="AL318" s="265"/>
      <c r="AM318" s="244"/>
    </row>
    <row r="319" spans="1:39" ht="18" customHeight="1" x14ac:dyDescent="0.15">
      <c r="A319" s="242"/>
      <c r="B319" s="244"/>
      <c r="C319" s="242"/>
      <c r="D319" s="265"/>
      <c r="E319" s="244"/>
      <c r="F319" s="244"/>
      <c r="G319" s="244"/>
      <c r="H319" s="242"/>
      <c r="I319" s="242"/>
      <c r="J319" s="242"/>
      <c r="K319" s="242"/>
      <c r="L319" s="244"/>
      <c r="M319" s="242"/>
      <c r="N319" s="265"/>
      <c r="O319" s="265"/>
      <c r="P319" s="265"/>
      <c r="Q319" s="265"/>
      <c r="R319" s="265"/>
      <c r="S319" s="265"/>
      <c r="T319" s="265"/>
      <c r="U319" s="265"/>
      <c r="V319" s="265"/>
      <c r="W319" s="265"/>
      <c r="X319" s="265"/>
      <c r="Y319" s="265"/>
      <c r="Z319" s="265"/>
      <c r="AA319" s="265"/>
      <c r="AB319" s="265"/>
      <c r="AC319" s="265"/>
      <c r="AD319" s="265"/>
      <c r="AE319" s="265"/>
      <c r="AF319" s="265"/>
      <c r="AG319" s="265"/>
      <c r="AH319" s="265"/>
      <c r="AI319" s="265"/>
      <c r="AJ319" s="265"/>
      <c r="AK319" s="265"/>
      <c r="AL319" s="265"/>
      <c r="AM319" s="244"/>
    </row>
    <row r="320" spans="1:39" ht="18" customHeight="1" x14ac:dyDescent="0.15">
      <c r="A320" s="242"/>
      <c r="B320" s="244"/>
      <c r="C320" s="242"/>
      <c r="D320" s="265"/>
      <c r="E320" s="244"/>
      <c r="F320" s="244"/>
      <c r="G320" s="244"/>
      <c r="H320" s="242"/>
      <c r="I320" s="242"/>
      <c r="J320" s="242"/>
      <c r="K320" s="242"/>
      <c r="L320" s="244"/>
      <c r="M320" s="242"/>
      <c r="N320" s="265"/>
      <c r="O320" s="265"/>
      <c r="P320" s="265"/>
      <c r="Q320" s="265"/>
      <c r="R320" s="265"/>
      <c r="S320" s="265"/>
      <c r="T320" s="265"/>
      <c r="U320" s="265"/>
      <c r="V320" s="265"/>
      <c r="W320" s="265"/>
      <c r="X320" s="265"/>
      <c r="Y320" s="265"/>
      <c r="Z320" s="265"/>
      <c r="AA320" s="265"/>
      <c r="AB320" s="265"/>
      <c r="AC320" s="265"/>
      <c r="AD320" s="265"/>
      <c r="AE320" s="265"/>
      <c r="AF320" s="265"/>
      <c r="AG320" s="265"/>
      <c r="AH320" s="265"/>
      <c r="AI320" s="265"/>
      <c r="AJ320" s="265"/>
      <c r="AK320" s="265"/>
      <c r="AL320" s="265"/>
      <c r="AM320" s="244"/>
    </row>
    <row r="321" spans="1:39" ht="18" customHeight="1" x14ac:dyDescent="0.15">
      <c r="A321" s="242"/>
      <c r="B321" s="244"/>
      <c r="C321" s="242"/>
      <c r="D321" s="265"/>
      <c r="E321" s="244"/>
      <c r="F321" s="244"/>
      <c r="G321" s="244"/>
      <c r="H321" s="242"/>
      <c r="I321" s="242"/>
      <c r="J321" s="242"/>
      <c r="K321" s="242"/>
      <c r="L321" s="244"/>
      <c r="M321" s="242"/>
      <c r="N321" s="265"/>
      <c r="O321" s="265"/>
      <c r="P321" s="265"/>
      <c r="Q321" s="265"/>
      <c r="R321" s="265"/>
      <c r="S321" s="265"/>
      <c r="T321" s="265"/>
      <c r="U321" s="265"/>
      <c r="V321" s="265"/>
      <c r="W321" s="265"/>
      <c r="X321" s="265"/>
      <c r="Y321" s="265"/>
      <c r="Z321" s="265"/>
      <c r="AA321" s="265"/>
      <c r="AB321" s="265"/>
      <c r="AC321" s="265"/>
      <c r="AD321" s="265"/>
      <c r="AE321" s="265"/>
      <c r="AF321" s="265"/>
      <c r="AG321" s="265"/>
      <c r="AH321" s="265"/>
      <c r="AI321" s="265"/>
      <c r="AJ321" s="265"/>
      <c r="AK321" s="265"/>
      <c r="AL321" s="265"/>
      <c r="AM321" s="244"/>
    </row>
    <row r="322" spans="1:39" ht="18" customHeight="1" x14ac:dyDescent="0.15">
      <c r="A322" s="242"/>
      <c r="B322" s="244"/>
      <c r="C322" s="242"/>
      <c r="D322" s="265"/>
      <c r="E322" s="244"/>
      <c r="F322" s="244"/>
      <c r="G322" s="244"/>
      <c r="H322" s="242"/>
      <c r="I322" s="242"/>
      <c r="J322" s="242"/>
      <c r="K322" s="242"/>
      <c r="L322" s="244"/>
      <c r="M322" s="242"/>
      <c r="N322" s="265"/>
      <c r="O322" s="265"/>
      <c r="P322" s="265"/>
      <c r="Q322" s="265"/>
      <c r="R322" s="265"/>
      <c r="S322" s="265"/>
      <c r="T322" s="265"/>
      <c r="U322" s="265"/>
      <c r="V322" s="265"/>
      <c r="W322" s="265"/>
      <c r="X322" s="265"/>
      <c r="Y322" s="265"/>
      <c r="Z322" s="265"/>
      <c r="AA322" s="265"/>
      <c r="AB322" s="265"/>
      <c r="AC322" s="265"/>
      <c r="AD322" s="265"/>
      <c r="AE322" s="265"/>
      <c r="AF322" s="265"/>
      <c r="AG322" s="265"/>
      <c r="AH322" s="265"/>
      <c r="AI322" s="265"/>
      <c r="AJ322" s="265"/>
      <c r="AK322" s="265"/>
      <c r="AL322" s="265"/>
      <c r="AM322" s="244"/>
    </row>
    <row r="323" spans="1:39" ht="18" customHeight="1" x14ac:dyDescent="0.15">
      <c r="A323" s="242"/>
      <c r="B323" s="244"/>
      <c r="C323" s="242"/>
      <c r="D323" s="265"/>
      <c r="E323" s="244"/>
      <c r="F323" s="244"/>
      <c r="G323" s="244"/>
      <c r="H323" s="242"/>
      <c r="I323" s="242"/>
      <c r="J323" s="242"/>
      <c r="K323" s="242"/>
      <c r="L323" s="244"/>
      <c r="M323" s="242"/>
      <c r="N323" s="265"/>
      <c r="O323" s="265"/>
      <c r="P323" s="265"/>
      <c r="Q323" s="265"/>
      <c r="R323" s="265"/>
      <c r="S323" s="265"/>
      <c r="T323" s="265"/>
      <c r="U323" s="265"/>
      <c r="V323" s="265"/>
      <c r="W323" s="265"/>
      <c r="X323" s="265"/>
      <c r="Y323" s="265"/>
      <c r="Z323" s="265"/>
      <c r="AA323" s="265"/>
      <c r="AB323" s="265"/>
      <c r="AC323" s="265"/>
      <c r="AD323" s="265"/>
      <c r="AE323" s="265"/>
      <c r="AF323" s="265"/>
      <c r="AG323" s="265"/>
      <c r="AH323" s="265"/>
      <c r="AI323" s="265"/>
      <c r="AJ323" s="265"/>
      <c r="AK323" s="265"/>
      <c r="AL323" s="265"/>
      <c r="AM323" s="244"/>
    </row>
    <row r="324" spans="1:39" ht="18" customHeight="1" x14ac:dyDescent="0.15">
      <c r="A324" s="242"/>
      <c r="B324" s="244"/>
      <c r="C324" s="242"/>
      <c r="D324" s="265"/>
      <c r="E324" s="244"/>
      <c r="F324" s="244"/>
      <c r="G324" s="244"/>
      <c r="H324" s="242"/>
      <c r="I324" s="242"/>
      <c r="J324" s="242"/>
      <c r="K324" s="242"/>
      <c r="L324" s="244"/>
      <c r="M324" s="242"/>
      <c r="N324" s="265"/>
      <c r="O324" s="265"/>
      <c r="P324" s="265"/>
      <c r="Q324" s="265"/>
      <c r="R324" s="265"/>
      <c r="S324" s="265"/>
      <c r="T324" s="265"/>
      <c r="U324" s="265"/>
      <c r="V324" s="265"/>
      <c r="W324" s="265"/>
      <c r="X324" s="265"/>
      <c r="Y324" s="265"/>
      <c r="Z324" s="265"/>
      <c r="AA324" s="265"/>
      <c r="AB324" s="265"/>
      <c r="AC324" s="265"/>
      <c r="AD324" s="265"/>
      <c r="AE324" s="265"/>
      <c r="AF324" s="265"/>
      <c r="AG324" s="265"/>
      <c r="AH324" s="265"/>
      <c r="AI324" s="265"/>
      <c r="AJ324" s="265"/>
      <c r="AK324" s="265"/>
      <c r="AL324" s="265"/>
      <c r="AM324" s="244"/>
    </row>
    <row r="325" spans="1:39" ht="18" customHeight="1" x14ac:dyDescent="0.15">
      <c r="A325" s="242"/>
      <c r="B325" s="244"/>
      <c r="C325" s="242"/>
      <c r="D325" s="265"/>
      <c r="E325" s="244"/>
      <c r="F325" s="244"/>
      <c r="G325" s="244"/>
      <c r="H325" s="242"/>
      <c r="I325" s="242"/>
      <c r="J325" s="242"/>
      <c r="K325" s="242"/>
      <c r="L325" s="244"/>
      <c r="M325" s="242"/>
      <c r="N325" s="265"/>
      <c r="O325" s="265"/>
      <c r="P325" s="265"/>
      <c r="Q325" s="265"/>
      <c r="R325" s="265"/>
      <c r="S325" s="265"/>
      <c r="T325" s="265"/>
      <c r="U325" s="265"/>
      <c r="V325" s="265"/>
      <c r="W325" s="265"/>
      <c r="X325" s="265"/>
      <c r="Y325" s="265"/>
      <c r="Z325" s="265"/>
      <c r="AA325" s="265"/>
      <c r="AB325" s="265"/>
      <c r="AC325" s="265"/>
      <c r="AD325" s="265"/>
      <c r="AE325" s="265"/>
      <c r="AF325" s="265"/>
      <c r="AG325" s="265"/>
      <c r="AH325" s="265"/>
      <c r="AI325" s="265"/>
      <c r="AJ325" s="265"/>
      <c r="AK325" s="265"/>
      <c r="AL325" s="265"/>
      <c r="AM325" s="244"/>
    </row>
    <row r="326" spans="1:39" ht="18" customHeight="1" x14ac:dyDescent="0.15">
      <c r="A326" s="242"/>
      <c r="B326" s="244"/>
      <c r="C326" s="242"/>
      <c r="D326" s="265"/>
      <c r="E326" s="244"/>
      <c r="F326" s="244"/>
      <c r="G326" s="244"/>
      <c r="H326" s="242"/>
      <c r="I326" s="242"/>
      <c r="J326" s="242"/>
      <c r="K326" s="242"/>
      <c r="L326" s="244"/>
      <c r="M326" s="242"/>
      <c r="N326" s="265"/>
      <c r="O326" s="265"/>
      <c r="P326" s="265"/>
      <c r="Q326" s="265"/>
      <c r="R326" s="265"/>
      <c r="S326" s="265"/>
      <c r="T326" s="265"/>
      <c r="U326" s="265"/>
      <c r="V326" s="265"/>
      <c r="W326" s="265"/>
      <c r="X326" s="265"/>
      <c r="Y326" s="265"/>
      <c r="Z326" s="265"/>
      <c r="AA326" s="265"/>
      <c r="AB326" s="265"/>
      <c r="AC326" s="265"/>
      <c r="AD326" s="265"/>
      <c r="AE326" s="265"/>
      <c r="AF326" s="265"/>
      <c r="AG326" s="265"/>
      <c r="AH326" s="265"/>
      <c r="AI326" s="265"/>
      <c r="AJ326" s="265"/>
      <c r="AK326" s="265"/>
      <c r="AL326" s="265"/>
      <c r="AM326" s="244"/>
    </row>
    <row r="327" spans="1:39" ht="18" customHeight="1" x14ac:dyDescent="0.15">
      <c r="A327" s="242"/>
      <c r="B327" s="244"/>
      <c r="C327" s="242"/>
      <c r="D327" s="265"/>
      <c r="E327" s="244"/>
      <c r="F327" s="244"/>
      <c r="G327" s="244"/>
      <c r="H327" s="242"/>
      <c r="I327" s="242"/>
      <c r="J327" s="242"/>
      <c r="K327" s="242"/>
      <c r="L327" s="244"/>
      <c r="M327" s="242"/>
      <c r="N327" s="265"/>
      <c r="O327" s="265"/>
      <c r="P327" s="265"/>
      <c r="Q327" s="265"/>
      <c r="R327" s="265"/>
      <c r="S327" s="265"/>
      <c r="T327" s="265"/>
      <c r="U327" s="265"/>
      <c r="V327" s="265"/>
      <c r="W327" s="265"/>
      <c r="X327" s="265"/>
      <c r="Y327" s="265"/>
      <c r="Z327" s="265"/>
      <c r="AA327" s="265"/>
      <c r="AB327" s="265"/>
      <c r="AC327" s="265"/>
      <c r="AD327" s="265"/>
      <c r="AE327" s="265"/>
      <c r="AF327" s="265"/>
      <c r="AG327" s="265"/>
      <c r="AH327" s="265"/>
      <c r="AI327" s="265"/>
      <c r="AJ327" s="265"/>
      <c r="AK327" s="265"/>
      <c r="AL327" s="265"/>
      <c r="AM327" s="244"/>
    </row>
    <row r="328" spans="1:39" ht="18" customHeight="1" x14ac:dyDescent="0.15">
      <c r="A328" s="242"/>
      <c r="B328" s="244"/>
      <c r="C328" s="242"/>
      <c r="D328" s="265"/>
      <c r="E328" s="244"/>
      <c r="F328" s="244"/>
      <c r="G328" s="244"/>
      <c r="H328" s="242"/>
      <c r="I328" s="242"/>
      <c r="J328" s="242"/>
      <c r="K328" s="242"/>
      <c r="L328" s="244"/>
      <c r="M328" s="242"/>
      <c r="N328" s="265"/>
      <c r="O328" s="265"/>
      <c r="P328" s="265"/>
      <c r="Q328" s="265"/>
      <c r="R328" s="265"/>
      <c r="S328" s="265"/>
      <c r="T328" s="265"/>
      <c r="U328" s="265"/>
      <c r="V328" s="265"/>
      <c r="W328" s="265"/>
      <c r="X328" s="265"/>
      <c r="Y328" s="265"/>
      <c r="Z328" s="265"/>
      <c r="AA328" s="265"/>
      <c r="AB328" s="265"/>
      <c r="AC328" s="265"/>
      <c r="AD328" s="265"/>
      <c r="AE328" s="265"/>
      <c r="AF328" s="265"/>
      <c r="AG328" s="265"/>
      <c r="AH328" s="265"/>
      <c r="AI328" s="265"/>
      <c r="AJ328" s="265"/>
      <c r="AK328" s="265"/>
      <c r="AL328" s="265"/>
      <c r="AM328" s="244"/>
    </row>
    <row r="329" spans="1:39" ht="18" customHeight="1" x14ac:dyDescent="0.15">
      <c r="A329" s="242"/>
      <c r="B329" s="244"/>
      <c r="C329" s="242"/>
      <c r="D329" s="265"/>
      <c r="E329" s="244"/>
      <c r="F329" s="244"/>
      <c r="G329" s="244"/>
      <c r="H329" s="242"/>
      <c r="I329" s="242"/>
      <c r="J329" s="242"/>
      <c r="K329" s="242"/>
      <c r="L329" s="244"/>
      <c r="M329" s="242"/>
      <c r="N329" s="265"/>
      <c r="O329" s="265"/>
      <c r="P329" s="265"/>
      <c r="Q329" s="265"/>
      <c r="R329" s="265"/>
      <c r="S329" s="265"/>
      <c r="T329" s="265"/>
      <c r="U329" s="265"/>
      <c r="V329" s="265"/>
      <c r="W329" s="265"/>
      <c r="X329" s="265"/>
      <c r="Y329" s="265"/>
      <c r="Z329" s="265"/>
      <c r="AA329" s="265"/>
      <c r="AB329" s="265"/>
      <c r="AC329" s="265"/>
      <c r="AD329" s="265"/>
      <c r="AE329" s="265"/>
      <c r="AF329" s="265"/>
      <c r="AG329" s="265"/>
      <c r="AH329" s="265"/>
      <c r="AI329" s="265"/>
      <c r="AJ329" s="265"/>
      <c r="AK329" s="265"/>
      <c r="AL329" s="265"/>
      <c r="AM329" s="244"/>
    </row>
    <row r="330" spans="1:39" ht="18" customHeight="1" x14ac:dyDescent="0.15">
      <c r="A330" s="242"/>
      <c r="B330" s="244"/>
      <c r="C330" s="242"/>
      <c r="D330" s="265"/>
      <c r="E330" s="244"/>
      <c r="F330" s="244"/>
      <c r="G330" s="244"/>
      <c r="H330" s="242"/>
      <c r="I330" s="242"/>
      <c r="J330" s="242"/>
      <c r="K330" s="242"/>
      <c r="L330" s="244"/>
      <c r="M330" s="242"/>
      <c r="N330" s="265"/>
      <c r="O330" s="265"/>
      <c r="P330" s="265"/>
      <c r="Q330" s="265"/>
      <c r="R330" s="265"/>
      <c r="S330" s="265"/>
      <c r="T330" s="265"/>
      <c r="U330" s="265"/>
      <c r="V330" s="265"/>
      <c r="W330" s="265"/>
      <c r="X330" s="265"/>
      <c r="Y330" s="265"/>
      <c r="Z330" s="265"/>
      <c r="AA330" s="265"/>
      <c r="AB330" s="265"/>
      <c r="AC330" s="265"/>
      <c r="AD330" s="265"/>
      <c r="AE330" s="265"/>
      <c r="AF330" s="265"/>
      <c r="AG330" s="265"/>
      <c r="AH330" s="265"/>
      <c r="AI330" s="265"/>
      <c r="AJ330" s="265"/>
      <c r="AK330" s="265"/>
      <c r="AL330" s="265"/>
      <c r="AM330" s="244"/>
    </row>
    <row r="331" spans="1:39" ht="18" customHeight="1" x14ac:dyDescent="0.15">
      <c r="A331" s="242"/>
      <c r="B331" s="244"/>
      <c r="C331" s="242"/>
      <c r="D331" s="265"/>
      <c r="E331" s="244"/>
      <c r="F331" s="244"/>
      <c r="G331" s="244"/>
      <c r="H331" s="242"/>
      <c r="I331" s="242"/>
      <c r="J331" s="242"/>
      <c r="K331" s="242"/>
      <c r="L331" s="244"/>
      <c r="M331" s="242"/>
      <c r="N331" s="265"/>
      <c r="O331" s="265"/>
      <c r="P331" s="265"/>
      <c r="Q331" s="265"/>
      <c r="R331" s="265"/>
      <c r="S331" s="265"/>
      <c r="T331" s="265"/>
      <c r="U331" s="265"/>
      <c r="V331" s="265"/>
      <c r="W331" s="265"/>
      <c r="X331" s="265"/>
      <c r="Y331" s="265"/>
      <c r="Z331" s="265"/>
      <c r="AA331" s="265"/>
      <c r="AB331" s="265"/>
      <c r="AC331" s="265"/>
      <c r="AD331" s="265"/>
      <c r="AE331" s="265"/>
      <c r="AF331" s="265"/>
      <c r="AG331" s="265"/>
      <c r="AH331" s="265"/>
      <c r="AI331" s="265"/>
      <c r="AJ331" s="265"/>
      <c r="AK331" s="265"/>
      <c r="AL331" s="265"/>
      <c r="AM331" s="244"/>
    </row>
    <row r="332" spans="1:39" ht="18" customHeight="1" x14ac:dyDescent="0.15">
      <c r="A332" s="242"/>
      <c r="B332" s="244"/>
      <c r="C332" s="242"/>
      <c r="D332" s="265"/>
      <c r="E332" s="244"/>
      <c r="F332" s="244"/>
      <c r="G332" s="244"/>
      <c r="H332" s="242"/>
      <c r="I332" s="242"/>
      <c r="J332" s="242"/>
      <c r="K332" s="242"/>
      <c r="L332" s="244"/>
      <c r="M332" s="242"/>
      <c r="N332" s="265"/>
      <c r="O332" s="265"/>
      <c r="P332" s="265"/>
      <c r="Q332" s="265"/>
      <c r="R332" s="265"/>
      <c r="S332" s="265"/>
      <c r="T332" s="265"/>
      <c r="U332" s="265"/>
      <c r="V332" s="265"/>
      <c r="W332" s="265"/>
      <c r="X332" s="265"/>
      <c r="Y332" s="265"/>
      <c r="Z332" s="265"/>
      <c r="AA332" s="265"/>
      <c r="AB332" s="265"/>
      <c r="AC332" s="265"/>
      <c r="AD332" s="265"/>
      <c r="AE332" s="265"/>
      <c r="AF332" s="265"/>
      <c r="AG332" s="265"/>
      <c r="AH332" s="265"/>
      <c r="AI332" s="265"/>
      <c r="AJ332" s="265"/>
      <c r="AK332" s="265"/>
      <c r="AL332" s="265"/>
      <c r="AM332" s="244"/>
    </row>
    <row r="333" spans="1:39" ht="18" customHeight="1" x14ac:dyDescent="0.15">
      <c r="A333" s="242"/>
      <c r="B333" s="244"/>
      <c r="C333" s="242"/>
      <c r="D333" s="265"/>
      <c r="E333" s="244"/>
      <c r="F333" s="244"/>
      <c r="G333" s="244"/>
      <c r="H333" s="242"/>
      <c r="I333" s="242"/>
      <c r="J333" s="242"/>
      <c r="K333" s="242"/>
      <c r="L333" s="244"/>
      <c r="M333" s="242"/>
      <c r="N333" s="265"/>
      <c r="O333" s="265"/>
      <c r="P333" s="265"/>
      <c r="Q333" s="265"/>
      <c r="R333" s="265"/>
      <c r="S333" s="265"/>
      <c r="T333" s="265"/>
      <c r="U333" s="265"/>
      <c r="V333" s="265"/>
      <c r="W333" s="265"/>
      <c r="X333" s="265"/>
      <c r="Y333" s="265"/>
      <c r="Z333" s="265"/>
      <c r="AA333" s="265"/>
      <c r="AB333" s="265"/>
      <c r="AC333" s="265"/>
      <c r="AD333" s="265"/>
      <c r="AE333" s="265"/>
      <c r="AF333" s="265"/>
      <c r="AG333" s="265"/>
      <c r="AH333" s="265"/>
      <c r="AI333" s="265"/>
      <c r="AJ333" s="265"/>
      <c r="AK333" s="265"/>
      <c r="AL333" s="265"/>
      <c r="AM333" s="244"/>
    </row>
    <row r="334" spans="1:39" ht="18" customHeight="1" x14ac:dyDescent="0.15">
      <c r="A334" s="242"/>
      <c r="B334" s="244"/>
      <c r="C334" s="242"/>
      <c r="D334" s="265"/>
      <c r="E334" s="244"/>
      <c r="F334" s="244"/>
      <c r="G334" s="244"/>
      <c r="H334" s="242"/>
      <c r="I334" s="242"/>
      <c r="J334" s="242"/>
      <c r="K334" s="242"/>
      <c r="L334" s="244"/>
      <c r="M334" s="242"/>
      <c r="N334" s="265"/>
      <c r="O334" s="265"/>
      <c r="P334" s="265"/>
      <c r="Q334" s="265"/>
      <c r="R334" s="265"/>
      <c r="S334" s="265"/>
      <c r="T334" s="265"/>
      <c r="U334" s="265"/>
      <c r="V334" s="265"/>
      <c r="W334" s="265"/>
      <c r="X334" s="265"/>
      <c r="Y334" s="265"/>
      <c r="Z334" s="265"/>
      <c r="AA334" s="265"/>
      <c r="AB334" s="265"/>
      <c r="AC334" s="265"/>
      <c r="AD334" s="265"/>
      <c r="AE334" s="265"/>
      <c r="AF334" s="265"/>
      <c r="AG334" s="265"/>
      <c r="AH334" s="265"/>
      <c r="AI334" s="265"/>
      <c r="AJ334" s="265"/>
      <c r="AK334" s="265"/>
      <c r="AL334" s="265"/>
      <c r="AM334" s="244"/>
    </row>
    <row r="335" spans="1:39" ht="18" customHeight="1" x14ac:dyDescent="0.15">
      <c r="A335" s="242"/>
      <c r="B335" s="244"/>
      <c r="C335" s="242"/>
      <c r="D335" s="265"/>
      <c r="E335" s="244"/>
      <c r="F335" s="244"/>
      <c r="G335" s="244"/>
      <c r="H335" s="242"/>
      <c r="I335" s="242"/>
      <c r="J335" s="242"/>
      <c r="K335" s="242"/>
      <c r="L335" s="244"/>
      <c r="M335" s="242"/>
      <c r="N335" s="265"/>
      <c r="O335" s="265"/>
      <c r="P335" s="265"/>
      <c r="Q335" s="265"/>
      <c r="R335" s="265"/>
      <c r="S335" s="265"/>
      <c r="T335" s="265"/>
      <c r="U335" s="265"/>
      <c r="V335" s="265"/>
      <c r="W335" s="265"/>
      <c r="X335" s="265"/>
      <c r="Y335" s="265"/>
      <c r="Z335" s="265"/>
      <c r="AA335" s="265"/>
      <c r="AB335" s="265"/>
      <c r="AC335" s="265"/>
      <c r="AD335" s="265"/>
      <c r="AE335" s="265"/>
      <c r="AF335" s="265"/>
      <c r="AG335" s="265"/>
      <c r="AH335" s="265"/>
      <c r="AI335" s="265"/>
      <c r="AJ335" s="265"/>
      <c r="AK335" s="265"/>
      <c r="AL335" s="265"/>
      <c r="AM335" s="244"/>
    </row>
    <row r="336" spans="1:39" ht="18" customHeight="1" x14ac:dyDescent="0.15">
      <c r="A336" s="242"/>
      <c r="B336" s="244"/>
      <c r="C336" s="242"/>
      <c r="D336" s="265"/>
      <c r="E336" s="244"/>
      <c r="F336" s="244"/>
      <c r="G336" s="244"/>
      <c r="H336" s="242"/>
      <c r="I336" s="242"/>
      <c r="J336" s="242"/>
      <c r="K336" s="242"/>
      <c r="L336" s="244"/>
      <c r="M336" s="242"/>
      <c r="N336" s="265"/>
      <c r="O336" s="265"/>
      <c r="P336" s="265"/>
      <c r="Q336" s="265"/>
      <c r="R336" s="265"/>
      <c r="S336" s="265"/>
      <c r="T336" s="265"/>
      <c r="U336" s="265"/>
      <c r="V336" s="265"/>
      <c r="W336" s="265"/>
      <c r="X336" s="265"/>
      <c r="Y336" s="265"/>
      <c r="Z336" s="265"/>
      <c r="AA336" s="265"/>
      <c r="AB336" s="265"/>
      <c r="AC336" s="265"/>
      <c r="AD336" s="265"/>
      <c r="AE336" s="265"/>
      <c r="AF336" s="265"/>
      <c r="AG336" s="265"/>
      <c r="AH336" s="265"/>
      <c r="AI336" s="265"/>
      <c r="AJ336" s="265"/>
      <c r="AK336" s="265"/>
      <c r="AL336" s="265"/>
      <c r="AM336" s="244"/>
    </row>
    <row r="337" spans="1:39" ht="18" customHeight="1" x14ac:dyDescent="0.15">
      <c r="A337" s="242"/>
      <c r="B337" s="244"/>
      <c r="C337" s="242"/>
      <c r="D337" s="265"/>
      <c r="E337" s="244"/>
      <c r="F337" s="244"/>
      <c r="G337" s="244"/>
      <c r="H337" s="242"/>
      <c r="I337" s="242"/>
      <c r="J337" s="242"/>
      <c r="K337" s="242"/>
      <c r="L337" s="244"/>
      <c r="M337" s="242"/>
      <c r="N337" s="265"/>
      <c r="O337" s="265"/>
      <c r="P337" s="265"/>
      <c r="Q337" s="265"/>
      <c r="R337" s="265"/>
      <c r="S337" s="265"/>
      <c r="T337" s="265"/>
      <c r="U337" s="265"/>
      <c r="V337" s="265"/>
      <c r="W337" s="265"/>
      <c r="X337" s="265"/>
      <c r="Y337" s="265"/>
      <c r="Z337" s="265"/>
      <c r="AA337" s="265"/>
      <c r="AB337" s="265"/>
      <c r="AC337" s="265"/>
      <c r="AD337" s="265"/>
      <c r="AE337" s="265"/>
      <c r="AF337" s="265"/>
      <c r="AG337" s="265"/>
      <c r="AH337" s="265"/>
      <c r="AI337" s="265"/>
      <c r="AJ337" s="265"/>
      <c r="AK337" s="265"/>
      <c r="AL337" s="265"/>
      <c r="AM337" s="244"/>
    </row>
    <row r="338" spans="1:39" ht="18" customHeight="1" x14ac:dyDescent="0.15">
      <c r="A338" s="242"/>
      <c r="B338" s="244"/>
      <c r="C338" s="242"/>
      <c r="D338" s="265"/>
      <c r="E338" s="244"/>
      <c r="F338" s="244"/>
      <c r="G338" s="244"/>
      <c r="H338" s="242"/>
      <c r="I338" s="242"/>
      <c r="J338" s="242"/>
      <c r="K338" s="242"/>
      <c r="L338" s="244"/>
      <c r="M338" s="242"/>
      <c r="N338" s="265"/>
      <c r="O338" s="265"/>
      <c r="P338" s="265"/>
      <c r="Q338" s="265"/>
      <c r="R338" s="265"/>
      <c r="S338" s="265"/>
      <c r="T338" s="265"/>
      <c r="U338" s="265"/>
      <c r="V338" s="265"/>
      <c r="W338" s="265"/>
      <c r="X338" s="265"/>
      <c r="Y338" s="265"/>
      <c r="Z338" s="265"/>
      <c r="AA338" s="265"/>
      <c r="AB338" s="265"/>
      <c r="AC338" s="265"/>
      <c r="AD338" s="265"/>
      <c r="AE338" s="265"/>
      <c r="AF338" s="265"/>
      <c r="AG338" s="265"/>
      <c r="AH338" s="265"/>
      <c r="AI338" s="265"/>
      <c r="AJ338" s="265"/>
      <c r="AK338" s="265"/>
      <c r="AL338" s="265"/>
      <c r="AM338" s="244"/>
    </row>
    <row r="339" spans="1:39" ht="18" customHeight="1" x14ac:dyDescent="0.15">
      <c r="A339" s="242"/>
      <c r="B339" s="244"/>
      <c r="C339" s="242"/>
      <c r="D339" s="265"/>
      <c r="E339" s="244"/>
      <c r="F339" s="244"/>
      <c r="G339" s="244"/>
      <c r="H339" s="242"/>
      <c r="I339" s="242"/>
      <c r="J339" s="242"/>
      <c r="K339" s="242"/>
      <c r="L339" s="244"/>
      <c r="M339" s="242"/>
      <c r="N339" s="265"/>
      <c r="O339" s="265"/>
      <c r="P339" s="265"/>
      <c r="Q339" s="265"/>
      <c r="R339" s="265"/>
      <c r="S339" s="265"/>
      <c r="T339" s="265"/>
      <c r="U339" s="265"/>
      <c r="V339" s="265"/>
      <c r="W339" s="265"/>
      <c r="X339" s="265"/>
      <c r="Y339" s="265"/>
      <c r="Z339" s="265"/>
      <c r="AA339" s="265"/>
      <c r="AB339" s="265"/>
      <c r="AC339" s="265"/>
      <c r="AD339" s="265"/>
      <c r="AE339" s="265"/>
      <c r="AF339" s="265"/>
      <c r="AG339" s="265"/>
      <c r="AH339" s="265"/>
      <c r="AI339" s="265"/>
      <c r="AJ339" s="265"/>
      <c r="AK339" s="265"/>
      <c r="AL339" s="265"/>
      <c r="AM339" s="244"/>
    </row>
    <row r="340" spans="1:39" ht="18" customHeight="1" x14ac:dyDescent="0.15">
      <c r="A340" s="242"/>
      <c r="B340" s="244"/>
      <c r="C340" s="242"/>
      <c r="D340" s="265"/>
      <c r="E340" s="244"/>
      <c r="F340" s="244"/>
      <c r="G340" s="244"/>
      <c r="H340" s="242"/>
      <c r="I340" s="265"/>
      <c r="J340" s="265"/>
      <c r="K340" s="265"/>
      <c r="L340" s="244"/>
      <c r="M340" s="242"/>
      <c r="N340" s="265"/>
      <c r="O340" s="265"/>
      <c r="P340" s="265"/>
      <c r="Q340" s="265"/>
      <c r="R340" s="265"/>
      <c r="S340" s="265"/>
      <c r="T340" s="265"/>
      <c r="U340" s="265"/>
      <c r="V340" s="265"/>
      <c r="W340" s="265"/>
      <c r="X340" s="265"/>
      <c r="Y340" s="265"/>
      <c r="Z340" s="265"/>
      <c r="AA340" s="265"/>
      <c r="AB340" s="265"/>
      <c r="AC340" s="265"/>
      <c r="AD340" s="265"/>
      <c r="AE340" s="265"/>
      <c r="AF340" s="265"/>
      <c r="AG340" s="265"/>
      <c r="AH340" s="265"/>
      <c r="AI340" s="265"/>
      <c r="AJ340" s="265"/>
      <c r="AK340" s="265"/>
      <c r="AL340" s="265"/>
      <c r="AM340" s="244"/>
    </row>
    <row r="341" spans="1:39" ht="18" customHeight="1" x14ac:dyDescent="0.15">
      <c r="A341" s="242"/>
      <c r="B341" s="244"/>
      <c r="C341" s="242"/>
      <c r="D341" s="265"/>
      <c r="E341" s="244"/>
      <c r="F341" s="244"/>
      <c r="G341" s="244"/>
      <c r="H341" s="242"/>
      <c r="I341" s="265"/>
      <c r="J341" s="265"/>
      <c r="K341" s="265"/>
      <c r="L341" s="244"/>
      <c r="M341" s="242"/>
      <c r="N341" s="242"/>
      <c r="O341" s="242"/>
      <c r="P341" s="242"/>
      <c r="Q341" s="265"/>
      <c r="R341" s="265"/>
      <c r="S341" s="265"/>
      <c r="T341" s="265"/>
      <c r="U341" s="265"/>
      <c r="V341" s="265"/>
      <c r="W341" s="265"/>
      <c r="X341" s="265"/>
      <c r="Y341" s="265"/>
      <c r="Z341" s="265"/>
      <c r="AA341" s="265"/>
      <c r="AB341" s="265"/>
      <c r="AC341" s="265"/>
      <c r="AD341" s="265"/>
      <c r="AE341" s="265"/>
      <c r="AF341" s="265"/>
      <c r="AG341" s="265"/>
      <c r="AH341" s="265"/>
      <c r="AI341" s="265"/>
      <c r="AJ341" s="265"/>
      <c r="AK341" s="265"/>
      <c r="AL341" s="265"/>
      <c r="AM341" s="244"/>
    </row>
    <row r="342" spans="1:39" ht="18" customHeight="1" x14ac:dyDescent="0.15">
      <c r="A342" s="242"/>
      <c r="B342" s="244"/>
      <c r="C342" s="242"/>
      <c r="D342" s="265"/>
      <c r="E342" s="244"/>
      <c r="F342" s="244"/>
      <c r="G342" s="244"/>
      <c r="H342" s="242"/>
      <c r="I342" s="265"/>
      <c r="J342" s="265"/>
      <c r="K342" s="265"/>
      <c r="L342" s="244"/>
      <c r="M342" s="242"/>
      <c r="N342" s="242"/>
      <c r="O342" s="242"/>
      <c r="P342" s="242"/>
      <c r="Q342" s="265"/>
      <c r="R342" s="265"/>
      <c r="S342" s="265"/>
      <c r="T342" s="265"/>
      <c r="U342" s="265"/>
      <c r="V342" s="265"/>
      <c r="W342" s="265"/>
      <c r="X342" s="265"/>
      <c r="Y342" s="265"/>
      <c r="Z342" s="265"/>
      <c r="AA342" s="265"/>
      <c r="AB342" s="265"/>
      <c r="AC342" s="265"/>
      <c r="AD342" s="265"/>
      <c r="AE342" s="265"/>
      <c r="AF342" s="265"/>
      <c r="AG342" s="265"/>
      <c r="AH342" s="265"/>
      <c r="AI342" s="265"/>
      <c r="AJ342" s="265"/>
      <c r="AK342" s="265"/>
      <c r="AL342" s="265"/>
      <c r="AM342" s="244"/>
    </row>
    <row r="343" spans="1:39" ht="18" customHeight="1" x14ac:dyDescent="0.15">
      <c r="A343" s="242"/>
      <c r="B343" s="244"/>
      <c r="C343" s="242"/>
      <c r="D343" s="265"/>
      <c r="E343" s="244"/>
      <c r="F343" s="244"/>
      <c r="G343" s="244"/>
      <c r="H343" s="242"/>
      <c r="I343" s="265"/>
      <c r="J343" s="265"/>
      <c r="K343" s="265"/>
      <c r="L343" s="244"/>
      <c r="M343" s="242"/>
      <c r="N343" s="242"/>
      <c r="O343" s="242"/>
      <c r="P343" s="242"/>
      <c r="Q343" s="265"/>
      <c r="R343" s="265"/>
      <c r="S343" s="265"/>
      <c r="T343" s="265"/>
      <c r="U343" s="265"/>
      <c r="V343" s="265"/>
      <c r="W343" s="265"/>
      <c r="X343" s="265"/>
      <c r="Y343" s="265"/>
      <c r="Z343" s="265"/>
      <c r="AA343" s="265"/>
      <c r="AB343" s="265"/>
      <c r="AC343" s="265"/>
      <c r="AD343" s="265"/>
      <c r="AE343" s="265"/>
      <c r="AF343" s="265"/>
      <c r="AG343" s="265"/>
      <c r="AH343" s="265"/>
      <c r="AI343" s="265"/>
      <c r="AJ343" s="265"/>
      <c r="AK343" s="265"/>
      <c r="AL343" s="265"/>
      <c r="AM343" s="244"/>
    </row>
    <row r="344" spans="1:39" ht="18" customHeight="1" x14ac:dyDescent="0.15">
      <c r="A344" s="242"/>
      <c r="B344" s="244"/>
      <c r="C344" s="242"/>
      <c r="D344" s="265"/>
      <c r="E344" s="244"/>
      <c r="F344" s="244"/>
      <c r="G344" s="244"/>
      <c r="H344" s="242"/>
      <c r="I344" s="265"/>
      <c r="J344" s="265"/>
      <c r="K344" s="265"/>
      <c r="L344" s="244"/>
      <c r="M344" s="242"/>
      <c r="N344" s="242"/>
      <c r="O344" s="242"/>
      <c r="P344" s="242"/>
      <c r="Q344" s="265"/>
      <c r="R344" s="265"/>
      <c r="S344" s="265"/>
      <c r="T344" s="265"/>
      <c r="U344" s="265"/>
      <c r="V344" s="265"/>
      <c r="W344" s="265"/>
      <c r="X344" s="265"/>
      <c r="Y344" s="265"/>
      <c r="Z344" s="265"/>
      <c r="AA344" s="265"/>
      <c r="AB344" s="265"/>
      <c r="AC344" s="265"/>
      <c r="AD344" s="265"/>
      <c r="AE344" s="265"/>
      <c r="AF344" s="265"/>
      <c r="AG344" s="265"/>
      <c r="AH344" s="265"/>
      <c r="AI344" s="265"/>
      <c r="AJ344" s="265"/>
      <c r="AK344" s="265"/>
      <c r="AL344" s="265"/>
      <c r="AM344" s="244"/>
    </row>
    <row r="345" spans="1:39" ht="18" customHeight="1" x14ac:dyDescent="0.15">
      <c r="A345" s="242"/>
      <c r="B345" s="244"/>
      <c r="C345" s="242"/>
      <c r="D345" s="265"/>
      <c r="E345" s="244"/>
      <c r="F345" s="244"/>
      <c r="G345" s="244"/>
      <c r="H345" s="242"/>
      <c r="I345" s="265"/>
      <c r="J345" s="265"/>
      <c r="K345" s="265"/>
      <c r="L345" s="244"/>
      <c r="M345" s="242"/>
      <c r="N345" s="242"/>
      <c r="O345" s="242"/>
      <c r="P345" s="242"/>
      <c r="Q345" s="265"/>
      <c r="R345" s="265"/>
      <c r="S345" s="265"/>
      <c r="T345" s="265"/>
      <c r="U345" s="265"/>
      <c r="V345" s="265"/>
      <c r="W345" s="265"/>
      <c r="X345" s="265"/>
      <c r="Y345" s="265"/>
      <c r="Z345" s="265"/>
      <c r="AA345" s="265"/>
      <c r="AB345" s="265"/>
      <c r="AC345" s="265"/>
      <c r="AD345" s="265"/>
      <c r="AE345" s="265"/>
      <c r="AF345" s="265"/>
      <c r="AG345" s="265"/>
      <c r="AH345" s="265"/>
      <c r="AI345" s="265"/>
      <c r="AJ345" s="265"/>
      <c r="AK345" s="265"/>
      <c r="AL345" s="265"/>
      <c r="AM345" s="244"/>
    </row>
    <row r="346" spans="1:39" ht="18" customHeight="1" x14ac:dyDescent="0.15">
      <c r="A346" s="242"/>
      <c r="B346" s="244"/>
      <c r="C346" s="242"/>
      <c r="D346" s="265"/>
      <c r="E346" s="244"/>
      <c r="F346" s="244"/>
      <c r="G346" s="244"/>
      <c r="H346" s="242"/>
      <c r="I346" s="265"/>
      <c r="J346" s="265"/>
      <c r="K346" s="265"/>
      <c r="L346" s="244"/>
      <c r="M346" s="242"/>
      <c r="N346" s="242"/>
      <c r="O346" s="242"/>
      <c r="P346" s="242"/>
      <c r="Q346" s="265"/>
      <c r="R346" s="265"/>
      <c r="S346" s="265"/>
      <c r="T346" s="265"/>
      <c r="U346" s="265"/>
      <c r="V346" s="265"/>
      <c r="W346" s="265"/>
      <c r="X346" s="265"/>
      <c r="Y346" s="265"/>
      <c r="Z346" s="265"/>
      <c r="AA346" s="265"/>
      <c r="AB346" s="265"/>
      <c r="AC346" s="265"/>
      <c r="AD346" s="265"/>
      <c r="AE346" s="265"/>
      <c r="AF346" s="265"/>
      <c r="AG346" s="265"/>
      <c r="AH346" s="265"/>
      <c r="AI346" s="265"/>
      <c r="AJ346" s="265"/>
      <c r="AK346" s="265"/>
      <c r="AL346" s="265"/>
      <c r="AM346" s="244"/>
    </row>
    <row r="347" spans="1:39" ht="18" customHeight="1" x14ac:dyDescent="0.15">
      <c r="A347" s="242"/>
      <c r="B347" s="244"/>
      <c r="C347" s="242"/>
      <c r="D347" s="265"/>
      <c r="E347" s="244"/>
      <c r="F347" s="244"/>
      <c r="G347" s="244"/>
      <c r="H347" s="242"/>
      <c r="I347" s="265"/>
      <c r="J347" s="265"/>
      <c r="K347" s="265"/>
      <c r="L347" s="244"/>
      <c r="M347" s="242"/>
      <c r="N347" s="242"/>
      <c r="O347" s="242"/>
      <c r="P347" s="242"/>
      <c r="Q347" s="265"/>
      <c r="R347" s="265"/>
      <c r="S347" s="265"/>
      <c r="T347" s="265"/>
      <c r="U347" s="265"/>
      <c r="V347" s="265"/>
      <c r="W347" s="265"/>
      <c r="X347" s="265"/>
      <c r="Y347" s="265"/>
      <c r="Z347" s="265"/>
      <c r="AA347" s="265"/>
      <c r="AB347" s="265"/>
      <c r="AC347" s="265"/>
      <c r="AD347" s="265"/>
      <c r="AE347" s="265"/>
      <c r="AF347" s="265"/>
      <c r="AG347" s="265"/>
      <c r="AH347" s="265"/>
      <c r="AI347" s="265"/>
      <c r="AJ347" s="265"/>
      <c r="AK347" s="265"/>
      <c r="AL347" s="265"/>
      <c r="AM347" s="244"/>
    </row>
    <row r="348" spans="1:39" ht="18" customHeight="1" x14ac:dyDescent="0.15">
      <c r="A348" s="242"/>
      <c r="B348" s="244"/>
      <c r="C348" s="242"/>
      <c r="D348" s="265"/>
      <c r="E348" s="244"/>
      <c r="F348" s="244"/>
      <c r="G348" s="244"/>
      <c r="H348" s="242"/>
      <c r="I348" s="265"/>
      <c r="J348" s="265"/>
      <c r="K348" s="265"/>
      <c r="L348" s="244"/>
      <c r="M348" s="242"/>
      <c r="N348" s="242"/>
      <c r="O348" s="242"/>
      <c r="P348" s="242"/>
      <c r="Q348" s="265"/>
      <c r="R348" s="265"/>
      <c r="S348" s="265"/>
      <c r="T348" s="265"/>
      <c r="U348" s="265"/>
      <c r="V348" s="265"/>
      <c r="W348" s="265"/>
      <c r="X348" s="265"/>
      <c r="Y348" s="265"/>
      <c r="Z348" s="265"/>
      <c r="AA348" s="265"/>
      <c r="AB348" s="265"/>
      <c r="AC348" s="265"/>
      <c r="AD348" s="265"/>
      <c r="AE348" s="265"/>
      <c r="AF348" s="265"/>
      <c r="AG348" s="265"/>
      <c r="AH348" s="265"/>
      <c r="AI348" s="265"/>
      <c r="AJ348" s="265"/>
      <c r="AK348" s="265"/>
      <c r="AL348" s="265"/>
      <c r="AM348" s="244"/>
    </row>
    <row r="349" spans="1:39" ht="18" customHeight="1" x14ac:dyDescent="0.15">
      <c r="A349" s="242"/>
      <c r="B349" s="244"/>
      <c r="C349" s="242"/>
      <c r="D349" s="265"/>
      <c r="E349" s="244"/>
      <c r="F349" s="244"/>
      <c r="G349" s="244"/>
      <c r="H349" s="242"/>
      <c r="I349" s="265"/>
      <c r="J349" s="265"/>
      <c r="K349" s="265"/>
      <c r="L349" s="244"/>
      <c r="M349" s="242"/>
      <c r="N349" s="242"/>
      <c r="O349" s="242"/>
      <c r="P349" s="242"/>
      <c r="Q349" s="265"/>
      <c r="R349" s="265"/>
      <c r="S349" s="265"/>
      <c r="T349" s="265"/>
      <c r="U349" s="265"/>
      <c r="V349" s="265"/>
      <c r="W349" s="265"/>
      <c r="X349" s="265"/>
      <c r="Y349" s="265"/>
      <c r="Z349" s="265"/>
      <c r="AA349" s="265"/>
      <c r="AB349" s="265"/>
      <c r="AC349" s="265"/>
      <c r="AD349" s="265"/>
      <c r="AE349" s="265"/>
      <c r="AF349" s="265"/>
      <c r="AG349" s="265"/>
      <c r="AH349" s="265"/>
      <c r="AI349" s="265"/>
      <c r="AJ349" s="265"/>
      <c r="AK349" s="265"/>
      <c r="AL349" s="265"/>
      <c r="AM349" s="244"/>
    </row>
    <row r="350" spans="1:39" ht="18" customHeight="1" x14ac:dyDescent="0.15">
      <c r="A350" s="242"/>
      <c r="B350" s="244"/>
      <c r="C350" s="242"/>
      <c r="D350" s="265"/>
      <c r="E350" s="244"/>
      <c r="F350" s="244"/>
      <c r="G350" s="244"/>
      <c r="H350" s="242"/>
      <c r="I350" s="265"/>
      <c r="J350" s="265"/>
      <c r="K350" s="265"/>
      <c r="L350" s="244"/>
      <c r="M350" s="242"/>
      <c r="N350" s="242"/>
      <c r="O350" s="242"/>
      <c r="P350" s="242"/>
      <c r="Q350" s="265"/>
      <c r="R350" s="265"/>
      <c r="S350" s="265"/>
      <c r="T350" s="265"/>
      <c r="U350" s="265"/>
      <c r="V350" s="265"/>
      <c r="W350" s="265"/>
      <c r="X350" s="265"/>
      <c r="Y350" s="265"/>
      <c r="Z350" s="265"/>
      <c r="AA350" s="265"/>
      <c r="AB350" s="265"/>
      <c r="AC350" s="265"/>
      <c r="AD350" s="265"/>
      <c r="AE350" s="265"/>
      <c r="AF350" s="265"/>
      <c r="AG350" s="265"/>
      <c r="AH350" s="265"/>
      <c r="AI350" s="265"/>
      <c r="AJ350" s="265"/>
      <c r="AK350" s="265"/>
      <c r="AL350" s="265"/>
      <c r="AM350" s="244"/>
    </row>
    <row r="351" spans="1:39" ht="18" customHeight="1" x14ac:dyDescent="0.15">
      <c r="A351" s="242"/>
      <c r="B351" s="244"/>
      <c r="C351" s="242"/>
      <c r="D351" s="265"/>
      <c r="E351" s="244"/>
      <c r="F351" s="244"/>
      <c r="G351" s="244"/>
      <c r="H351" s="242"/>
      <c r="I351" s="265"/>
      <c r="J351" s="265"/>
      <c r="K351" s="265"/>
      <c r="L351" s="244"/>
      <c r="M351" s="242"/>
      <c r="N351" s="242"/>
      <c r="O351" s="242"/>
      <c r="P351" s="242"/>
      <c r="Q351" s="265"/>
      <c r="R351" s="265"/>
      <c r="S351" s="265"/>
      <c r="T351" s="265"/>
      <c r="U351" s="265"/>
      <c r="V351" s="265"/>
      <c r="W351" s="265"/>
      <c r="X351" s="265"/>
      <c r="Y351" s="265"/>
      <c r="Z351" s="265"/>
      <c r="AA351" s="265"/>
      <c r="AB351" s="265"/>
      <c r="AC351" s="265"/>
      <c r="AD351" s="265"/>
      <c r="AE351" s="265"/>
      <c r="AF351" s="265"/>
      <c r="AG351" s="265"/>
      <c r="AH351" s="265"/>
      <c r="AI351" s="265"/>
      <c r="AJ351" s="265"/>
      <c r="AK351" s="265"/>
      <c r="AL351" s="265"/>
      <c r="AM351" s="244"/>
    </row>
    <row r="352" spans="1:39" ht="18" customHeight="1" x14ac:dyDescent="0.15">
      <c r="A352" s="242"/>
      <c r="B352" s="244"/>
      <c r="C352" s="242"/>
      <c r="D352" s="265"/>
      <c r="E352" s="244"/>
      <c r="F352" s="244"/>
      <c r="G352" s="244"/>
      <c r="H352" s="242"/>
      <c r="I352" s="265"/>
      <c r="J352" s="265"/>
      <c r="K352" s="265"/>
      <c r="L352" s="244"/>
      <c r="M352" s="242"/>
      <c r="N352" s="242"/>
      <c r="O352" s="242"/>
      <c r="P352" s="242"/>
      <c r="Q352" s="265"/>
      <c r="R352" s="265"/>
      <c r="S352" s="265"/>
      <c r="T352" s="265"/>
      <c r="U352" s="265"/>
      <c r="V352" s="265"/>
      <c r="W352" s="265"/>
      <c r="X352" s="265"/>
      <c r="Y352" s="265"/>
      <c r="Z352" s="265"/>
      <c r="AA352" s="265"/>
      <c r="AB352" s="265"/>
      <c r="AC352" s="265"/>
      <c r="AD352" s="265"/>
      <c r="AE352" s="265"/>
      <c r="AF352" s="265"/>
      <c r="AG352" s="265"/>
      <c r="AH352" s="265"/>
      <c r="AI352" s="265"/>
      <c r="AJ352" s="265"/>
      <c r="AK352" s="265"/>
      <c r="AL352" s="265"/>
      <c r="AM352" s="244"/>
    </row>
    <row r="353" spans="1:39" ht="18" customHeight="1" x14ac:dyDescent="0.15">
      <c r="A353" s="242"/>
      <c r="B353" s="244"/>
      <c r="C353" s="242"/>
      <c r="D353" s="265"/>
      <c r="E353" s="244"/>
      <c r="F353" s="244"/>
      <c r="G353" s="244"/>
      <c r="H353" s="242"/>
      <c r="I353" s="265"/>
      <c r="J353" s="265"/>
      <c r="K353" s="265"/>
      <c r="L353" s="244"/>
      <c r="M353" s="242"/>
      <c r="N353" s="242"/>
      <c r="O353" s="242"/>
      <c r="P353" s="242"/>
      <c r="Q353" s="265"/>
      <c r="R353" s="265"/>
      <c r="S353" s="265"/>
      <c r="T353" s="265"/>
      <c r="U353" s="265"/>
      <c r="V353" s="265"/>
      <c r="W353" s="265"/>
      <c r="X353" s="265"/>
      <c r="Y353" s="265"/>
      <c r="Z353" s="265"/>
      <c r="AA353" s="265"/>
      <c r="AB353" s="265"/>
      <c r="AC353" s="265"/>
      <c r="AD353" s="265"/>
      <c r="AE353" s="265"/>
      <c r="AF353" s="265"/>
      <c r="AG353" s="265"/>
      <c r="AH353" s="265"/>
      <c r="AI353" s="265"/>
      <c r="AJ353" s="265"/>
      <c r="AK353" s="265"/>
      <c r="AL353" s="265"/>
      <c r="AM353" s="244"/>
    </row>
    <row r="354" spans="1:39" ht="18" customHeight="1" x14ac:dyDescent="0.15">
      <c r="A354" s="242"/>
      <c r="B354" s="244"/>
      <c r="C354" s="242"/>
      <c r="D354" s="265"/>
      <c r="E354" s="244"/>
      <c r="F354" s="244"/>
      <c r="G354" s="244"/>
      <c r="H354" s="242"/>
      <c r="I354" s="265"/>
      <c r="J354" s="265"/>
      <c r="K354" s="265"/>
      <c r="L354" s="244"/>
      <c r="M354" s="242"/>
      <c r="N354" s="242"/>
      <c r="O354" s="242"/>
      <c r="P354" s="242"/>
      <c r="Q354" s="265"/>
      <c r="R354" s="265"/>
      <c r="S354" s="265"/>
      <c r="T354" s="265"/>
      <c r="U354" s="265"/>
      <c r="V354" s="265"/>
      <c r="W354" s="265"/>
      <c r="X354" s="265"/>
      <c r="Y354" s="265"/>
      <c r="Z354" s="265"/>
      <c r="AA354" s="265"/>
      <c r="AB354" s="265"/>
      <c r="AC354" s="265"/>
      <c r="AD354" s="265"/>
      <c r="AE354" s="265"/>
      <c r="AF354" s="265"/>
      <c r="AG354" s="265"/>
      <c r="AH354" s="265"/>
      <c r="AI354" s="265"/>
      <c r="AJ354" s="265"/>
      <c r="AK354" s="265"/>
      <c r="AL354" s="265"/>
      <c r="AM354" s="244"/>
    </row>
    <row r="355" spans="1:39" ht="18" customHeight="1" x14ac:dyDescent="0.15">
      <c r="A355" s="242"/>
      <c r="B355" s="244"/>
      <c r="C355" s="242"/>
      <c r="D355" s="265"/>
      <c r="E355" s="244"/>
      <c r="F355" s="244"/>
      <c r="G355" s="244"/>
      <c r="H355" s="242"/>
      <c r="I355" s="265"/>
      <c r="J355" s="265"/>
      <c r="K355" s="265"/>
      <c r="L355" s="244"/>
      <c r="M355" s="242"/>
      <c r="N355" s="242"/>
      <c r="O355" s="242"/>
      <c r="P355" s="242"/>
      <c r="Q355" s="265"/>
      <c r="R355" s="265"/>
      <c r="S355" s="265"/>
      <c r="T355" s="265"/>
      <c r="U355" s="265"/>
      <c r="V355" s="265"/>
      <c r="W355" s="265"/>
      <c r="X355" s="265"/>
      <c r="Y355" s="265"/>
      <c r="Z355" s="265"/>
      <c r="AA355" s="265"/>
      <c r="AB355" s="265"/>
      <c r="AC355" s="265"/>
      <c r="AD355" s="265"/>
      <c r="AE355" s="265"/>
      <c r="AF355" s="265"/>
      <c r="AG355" s="265"/>
      <c r="AH355" s="265"/>
      <c r="AI355" s="265"/>
      <c r="AJ355" s="265"/>
      <c r="AK355" s="265"/>
      <c r="AL355" s="265"/>
      <c r="AM355" s="244"/>
    </row>
    <row r="356" spans="1:39" ht="18" customHeight="1" x14ac:dyDescent="0.15">
      <c r="A356" s="242"/>
      <c r="B356" s="244"/>
      <c r="C356" s="242"/>
      <c r="D356" s="265"/>
      <c r="E356" s="244"/>
      <c r="F356" s="244"/>
      <c r="G356" s="244"/>
      <c r="H356" s="242"/>
      <c r="I356" s="265"/>
      <c r="J356" s="265"/>
      <c r="K356" s="265"/>
      <c r="L356" s="244"/>
      <c r="M356" s="242"/>
      <c r="N356" s="242"/>
      <c r="O356" s="242"/>
      <c r="P356" s="242"/>
      <c r="Q356" s="265"/>
      <c r="R356" s="265"/>
      <c r="S356" s="265"/>
      <c r="T356" s="265"/>
      <c r="U356" s="265"/>
      <c r="V356" s="265"/>
      <c r="W356" s="265"/>
      <c r="X356" s="265"/>
      <c r="Y356" s="265"/>
      <c r="Z356" s="265"/>
      <c r="AA356" s="265"/>
      <c r="AB356" s="265"/>
      <c r="AC356" s="265"/>
      <c r="AD356" s="265"/>
      <c r="AE356" s="265"/>
      <c r="AF356" s="265"/>
      <c r="AG356" s="265"/>
      <c r="AH356" s="265"/>
      <c r="AI356" s="265"/>
      <c r="AJ356" s="265"/>
      <c r="AK356" s="265"/>
      <c r="AL356" s="265"/>
      <c r="AM356" s="244"/>
    </row>
    <row r="357" spans="1:39" ht="18" customHeight="1" x14ac:dyDescent="0.15">
      <c r="A357" s="242"/>
      <c r="B357" s="244"/>
      <c r="C357" s="242"/>
      <c r="D357" s="265"/>
      <c r="E357" s="244"/>
      <c r="F357" s="244"/>
      <c r="G357" s="244"/>
      <c r="H357" s="242"/>
      <c r="I357" s="265"/>
      <c r="J357" s="265"/>
      <c r="K357" s="265"/>
      <c r="L357" s="244"/>
      <c r="M357" s="242"/>
      <c r="N357" s="242"/>
      <c r="O357" s="242"/>
      <c r="P357" s="242"/>
      <c r="Q357" s="265"/>
      <c r="R357" s="265"/>
      <c r="S357" s="265"/>
      <c r="T357" s="265"/>
      <c r="U357" s="265"/>
      <c r="V357" s="265"/>
      <c r="W357" s="265"/>
      <c r="X357" s="265"/>
      <c r="Y357" s="265"/>
      <c r="Z357" s="265"/>
      <c r="AA357" s="265"/>
      <c r="AB357" s="265"/>
      <c r="AC357" s="265"/>
      <c r="AD357" s="265"/>
      <c r="AE357" s="265"/>
      <c r="AF357" s="265"/>
      <c r="AG357" s="265"/>
      <c r="AH357" s="265"/>
      <c r="AI357" s="265"/>
      <c r="AJ357" s="265"/>
      <c r="AK357" s="265"/>
      <c r="AL357" s="265"/>
      <c r="AM357" s="244"/>
    </row>
    <row r="358" spans="1:39" ht="18" customHeight="1" x14ac:dyDescent="0.15">
      <c r="A358" s="242"/>
      <c r="B358" s="244"/>
      <c r="C358" s="242"/>
      <c r="D358" s="265"/>
      <c r="E358" s="244"/>
      <c r="F358" s="244"/>
      <c r="G358" s="244"/>
      <c r="H358" s="242"/>
      <c r="I358" s="265"/>
      <c r="J358" s="265"/>
      <c r="K358" s="265"/>
      <c r="L358" s="244"/>
      <c r="M358" s="242"/>
      <c r="N358" s="242"/>
      <c r="O358" s="242"/>
      <c r="P358" s="242"/>
      <c r="Q358" s="265"/>
      <c r="R358" s="265"/>
      <c r="S358" s="265"/>
      <c r="T358" s="265"/>
      <c r="U358" s="265"/>
      <c r="V358" s="265"/>
      <c r="W358" s="265"/>
      <c r="X358" s="265"/>
      <c r="Y358" s="265"/>
      <c r="Z358" s="265"/>
      <c r="AA358" s="265"/>
      <c r="AB358" s="265"/>
      <c r="AC358" s="265"/>
      <c r="AD358" s="265"/>
      <c r="AE358" s="265"/>
      <c r="AF358" s="265"/>
      <c r="AG358" s="265"/>
      <c r="AH358" s="265"/>
      <c r="AI358" s="265"/>
      <c r="AJ358" s="265"/>
      <c r="AK358" s="265"/>
      <c r="AL358" s="265"/>
      <c r="AM358" s="244"/>
    </row>
    <row r="359" spans="1:39" ht="18" customHeight="1" x14ac:dyDescent="0.15">
      <c r="A359" s="242"/>
      <c r="B359" s="244"/>
      <c r="C359" s="242"/>
      <c r="D359" s="265"/>
      <c r="E359" s="244"/>
      <c r="F359" s="244"/>
      <c r="G359" s="244"/>
      <c r="H359" s="242"/>
      <c r="I359" s="265"/>
      <c r="J359" s="265"/>
      <c r="K359" s="265"/>
      <c r="L359" s="244"/>
      <c r="M359" s="242"/>
      <c r="N359" s="242"/>
      <c r="O359" s="242"/>
      <c r="P359" s="242"/>
      <c r="Q359" s="265"/>
      <c r="R359" s="265"/>
      <c r="S359" s="265"/>
      <c r="T359" s="265"/>
      <c r="U359" s="265"/>
      <c r="V359" s="265"/>
      <c r="W359" s="265"/>
      <c r="X359" s="265"/>
      <c r="Y359" s="265"/>
      <c r="Z359" s="265"/>
      <c r="AA359" s="265"/>
      <c r="AB359" s="265"/>
      <c r="AC359" s="265"/>
      <c r="AD359" s="265"/>
      <c r="AE359" s="265"/>
      <c r="AF359" s="265"/>
      <c r="AG359" s="265"/>
      <c r="AH359" s="265"/>
      <c r="AI359" s="265"/>
      <c r="AJ359" s="265"/>
      <c r="AK359" s="265"/>
      <c r="AL359" s="265"/>
      <c r="AM359" s="244"/>
    </row>
    <row r="360" spans="1:39" ht="18" customHeight="1" x14ac:dyDescent="0.15">
      <c r="A360" s="242"/>
      <c r="B360" s="244"/>
      <c r="C360" s="242"/>
      <c r="D360" s="265"/>
      <c r="E360" s="244"/>
      <c r="F360" s="244"/>
      <c r="G360" s="244"/>
      <c r="H360" s="242"/>
      <c r="I360" s="265"/>
      <c r="J360" s="265"/>
      <c r="K360" s="265"/>
      <c r="L360" s="244"/>
      <c r="M360" s="242"/>
      <c r="N360" s="242"/>
      <c r="O360" s="242"/>
      <c r="P360" s="242"/>
      <c r="Q360" s="265"/>
      <c r="R360" s="265"/>
      <c r="S360" s="265"/>
      <c r="T360" s="265"/>
      <c r="U360" s="265"/>
      <c r="V360" s="265"/>
      <c r="W360" s="265"/>
      <c r="X360" s="265"/>
      <c r="Y360" s="265"/>
      <c r="Z360" s="265"/>
      <c r="AA360" s="265"/>
      <c r="AB360" s="265"/>
      <c r="AC360" s="265"/>
      <c r="AD360" s="265"/>
      <c r="AE360" s="265"/>
      <c r="AF360" s="265"/>
      <c r="AG360" s="265"/>
      <c r="AH360" s="265"/>
      <c r="AI360" s="265"/>
      <c r="AJ360" s="265"/>
      <c r="AK360" s="265"/>
      <c r="AL360" s="265"/>
      <c r="AM360" s="244"/>
    </row>
    <row r="361" spans="1:39" ht="18" customHeight="1" x14ac:dyDescent="0.15">
      <c r="A361" s="242"/>
      <c r="B361" s="244"/>
      <c r="C361" s="242"/>
      <c r="D361" s="265"/>
      <c r="E361" s="244"/>
      <c r="F361" s="244"/>
      <c r="G361" s="244"/>
      <c r="H361" s="242"/>
      <c r="I361" s="265"/>
      <c r="J361" s="265"/>
      <c r="K361" s="265"/>
      <c r="L361" s="244"/>
      <c r="M361" s="242"/>
      <c r="N361" s="242"/>
      <c r="O361" s="242"/>
      <c r="P361" s="242"/>
      <c r="Q361" s="265"/>
      <c r="R361" s="265"/>
      <c r="S361" s="265"/>
      <c r="T361" s="265"/>
      <c r="U361" s="265"/>
      <c r="V361" s="265"/>
      <c r="W361" s="265"/>
      <c r="X361" s="265"/>
      <c r="Y361" s="265"/>
      <c r="Z361" s="265"/>
      <c r="AA361" s="265"/>
      <c r="AB361" s="265"/>
      <c r="AC361" s="265"/>
      <c r="AD361" s="265"/>
      <c r="AE361" s="265"/>
      <c r="AF361" s="265"/>
      <c r="AG361" s="265"/>
      <c r="AH361" s="265"/>
      <c r="AI361" s="265"/>
      <c r="AJ361" s="265"/>
      <c r="AK361" s="265"/>
      <c r="AL361" s="265"/>
      <c r="AM361" s="244"/>
    </row>
    <row r="362" spans="1:39" ht="18" customHeight="1" x14ac:dyDescent="0.15">
      <c r="A362" s="242"/>
      <c r="B362" s="244"/>
      <c r="C362" s="242"/>
      <c r="D362" s="265"/>
      <c r="E362" s="244"/>
      <c r="F362" s="244"/>
      <c r="G362" s="244"/>
      <c r="H362" s="242"/>
      <c r="I362" s="265"/>
      <c r="J362" s="265"/>
      <c r="K362" s="265"/>
      <c r="L362" s="244"/>
      <c r="M362" s="242"/>
      <c r="N362" s="242"/>
      <c r="O362" s="242"/>
      <c r="P362" s="242"/>
      <c r="Q362" s="265"/>
      <c r="R362" s="265"/>
      <c r="S362" s="265"/>
      <c r="T362" s="265"/>
      <c r="U362" s="265"/>
      <c r="V362" s="265"/>
      <c r="W362" s="265"/>
      <c r="X362" s="265"/>
      <c r="Y362" s="265"/>
      <c r="Z362" s="265"/>
      <c r="AA362" s="265"/>
      <c r="AB362" s="265"/>
      <c r="AC362" s="265"/>
      <c r="AD362" s="265"/>
      <c r="AE362" s="265"/>
      <c r="AF362" s="265"/>
      <c r="AG362" s="265"/>
      <c r="AH362" s="265"/>
      <c r="AI362" s="265"/>
      <c r="AJ362" s="265"/>
      <c r="AK362" s="265"/>
      <c r="AL362" s="265"/>
      <c r="AM362" s="244"/>
    </row>
    <row r="363" spans="1:39" ht="18" customHeight="1" x14ac:dyDescent="0.15">
      <c r="A363" s="242"/>
      <c r="B363" s="244"/>
      <c r="C363" s="242"/>
      <c r="D363" s="265"/>
      <c r="E363" s="244"/>
      <c r="F363" s="244"/>
      <c r="G363" s="244"/>
      <c r="H363" s="242"/>
      <c r="I363" s="265"/>
      <c r="J363" s="265"/>
      <c r="K363" s="265"/>
      <c r="L363" s="244"/>
      <c r="M363" s="242"/>
      <c r="N363" s="242"/>
      <c r="O363" s="242"/>
      <c r="P363" s="242"/>
      <c r="Q363" s="265"/>
      <c r="R363" s="265"/>
      <c r="S363" s="265"/>
      <c r="T363" s="265"/>
      <c r="U363" s="265"/>
      <c r="V363" s="265"/>
      <c r="W363" s="265"/>
      <c r="X363" s="265"/>
      <c r="Y363" s="265"/>
      <c r="Z363" s="265"/>
      <c r="AA363" s="265"/>
      <c r="AB363" s="265"/>
      <c r="AC363" s="265"/>
      <c r="AD363" s="265"/>
      <c r="AE363" s="265"/>
      <c r="AF363" s="265"/>
      <c r="AG363" s="265"/>
      <c r="AH363" s="265"/>
      <c r="AI363" s="265"/>
      <c r="AJ363" s="265"/>
      <c r="AK363" s="265"/>
      <c r="AL363" s="265"/>
      <c r="AM363" s="244"/>
    </row>
    <row r="364" spans="1:39" ht="18" customHeight="1" x14ac:dyDescent="0.15">
      <c r="A364" s="242"/>
      <c r="B364" s="244"/>
      <c r="C364" s="242"/>
      <c r="D364" s="265"/>
      <c r="E364" s="244"/>
      <c r="F364" s="244"/>
      <c r="G364" s="244"/>
      <c r="H364" s="242"/>
      <c r="I364" s="265"/>
      <c r="J364" s="265"/>
      <c r="K364" s="265"/>
      <c r="L364" s="244"/>
      <c r="M364" s="242"/>
      <c r="N364" s="242"/>
      <c r="O364" s="242"/>
      <c r="P364" s="242"/>
      <c r="Q364" s="265"/>
      <c r="R364" s="265"/>
      <c r="S364" s="265"/>
      <c r="T364" s="265"/>
      <c r="U364" s="265"/>
      <c r="V364" s="265"/>
      <c r="W364" s="265"/>
      <c r="X364" s="265"/>
      <c r="Y364" s="265"/>
      <c r="Z364" s="265"/>
      <c r="AA364" s="265"/>
      <c r="AB364" s="265"/>
      <c r="AC364" s="265"/>
      <c r="AD364" s="265"/>
      <c r="AE364" s="265"/>
      <c r="AF364" s="265"/>
      <c r="AG364" s="265"/>
      <c r="AH364" s="265"/>
      <c r="AI364" s="265"/>
      <c r="AJ364" s="265"/>
      <c r="AK364" s="265"/>
      <c r="AL364" s="265"/>
      <c r="AM364" s="244"/>
    </row>
    <row r="365" spans="1:39" ht="18" customHeight="1" x14ac:dyDescent="0.15">
      <c r="A365" s="242"/>
      <c r="B365" s="244"/>
      <c r="C365" s="242"/>
      <c r="D365" s="265"/>
      <c r="E365" s="244"/>
      <c r="F365" s="244"/>
      <c r="G365" s="244"/>
      <c r="H365" s="242"/>
      <c r="I365" s="265"/>
      <c r="J365" s="265"/>
      <c r="K365" s="265"/>
      <c r="L365" s="244"/>
      <c r="M365" s="242"/>
      <c r="N365" s="242"/>
      <c r="O365" s="242"/>
      <c r="P365" s="242"/>
      <c r="Q365" s="265"/>
      <c r="R365" s="265"/>
      <c r="S365" s="265"/>
      <c r="T365" s="265"/>
      <c r="U365" s="265"/>
      <c r="V365" s="265"/>
      <c r="W365" s="265"/>
      <c r="X365" s="265"/>
      <c r="Y365" s="265"/>
      <c r="Z365" s="265"/>
      <c r="AA365" s="265"/>
      <c r="AB365" s="265"/>
      <c r="AC365" s="265"/>
      <c r="AD365" s="265"/>
      <c r="AE365" s="265"/>
      <c r="AF365" s="265"/>
      <c r="AG365" s="265"/>
      <c r="AH365" s="265"/>
      <c r="AI365" s="265"/>
      <c r="AJ365" s="265"/>
      <c r="AK365" s="265"/>
      <c r="AL365" s="265"/>
      <c r="AM365" s="244"/>
    </row>
    <row r="366" spans="1:39" ht="18" customHeight="1" x14ac:dyDescent="0.15">
      <c r="A366" s="242"/>
      <c r="B366" s="244"/>
      <c r="C366" s="242"/>
      <c r="D366" s="265"/>
      <c r="E366" s="244"/>
      <c r="F366" s="244"/>
      <c r="G366" s="244"/>
      <c r="H366" s="242"/>
      <c r="I366" s="265"/>
      <c r="J366" s="265"/>
      <c r="K366" s="265"/>
      <c r="L366" s="244"/>
      <c r="M366" s="242"/>
      <c r="N366" s="242"/>
      <c r="O366" s="242"/>
      <c r="P366" s="242"/>
      <c r="Q366" s="265"/>
      <c r="R366" s="265"/>
      <c r="S366" s="265"/>
      <c r="T366" s="265"/>
      <c r="U366" s="265"/>
      <c r="V366" s="265"/>
      <c r="W366" s="265"/>
      <c r="X366" s="265"/>
      <c r="Y366" s="265"/>
      <c r="Z366" s="265"/>
      <c r="AA366" s="265"/>
      <c r="AB366" s="265"/>
      <c r="AC366" s="265"/>
      <c r="AD366" s="265"/>
      <c r="AE366" s="265"/>
      <c r="AF366" s="265"/>
      <c r="AG366" s="265"/>
      <c r="AH366" s="265"/>
      <c r="AI366" s="265"/>
      <c r="AJ366" s="265"/>
      <c r="AK366" s="265"/>
      <c r="AL366" s="265"/>
      <c r="AM366" s="244"/>
    </row>
    <row r="367" spans="1:39" ht="18" customHeight="1" x14ac:dyDescent="0.15">
      <c r="A367" s="242"/>
      <c r="B367" s="244"/>
      <c r="C367" s="242"/>
      <c r="D367" s="265"/>
      <c r="E367" s="244"/>
      <c r="F367" s="244"/>
      <c r="G367" s="244"/>
      <c r="H367" s="242"/>
      <c r="I367" s="265"/>
      <c r="J367" s="265"/>
      <c r="K367" s="265"/>
      <c r="L367" s="244"/>
      <c r="M367" s="242"/>
      <c r="N367" s="242"/>
      <c r="O367" s="242"/>
      <c r="P367" s="242"/>
      <c r="Q367" s="265"/>
      <c r="R367" s="265"/>
      <c r="S367" s="265"/>
      <c r="T367" s="265"/>
      <c r="U367" s="265"/>
      <c r="V367" s="265"/>
      <c r="W367" s="265"/>
      <c r="X367" s="265"/>
      <c r="Y367" s="265"/>
      <c r="Z367" s="265"/>
      <c r="AA367" s="265"/>
      <c r="AB367" s="265"/>
      <c r="AC367" s="265"/>
      <c r="AD367" s="265"/>
      <c r="AE367" s="265"/>
      <c r="AF367" s="265"/>
      <c r="AG367" s="265"/>
      <c r="AH367" s="265"/>
      <c r="AI367" s="265"/>
      <c r="AJ367" s="265"/>
      <c r="AK367" s="265"/>
      <c r="AL367" s="265"/>
      <c r="AM367" s="244"/>
    </row>
    <row r="368" spans="1:39" ht="18" customHeight="1" x14ac:dyDescent="0.15">
      <c r="A368" s="242"/>
      <c r="B368" s="244"/>
      <c r="C368" s="242"/>
      <c r="D368" s="265"/>
      <c r="E368" s="244"/>
      <c r="F368" s="244"/>
      <c r="G368" s="244"/>
      <c r="H368" s="242"/>
      <c r="I368" s="265"/>
      <c r="J368" s="265"/>
      <c r="K368" s="265"/>
      <c r="L368" s="244"/>
      <c r="M368" s="242"/>
      <c r="N368" s="242"/>
      <c r="O368" s="242"/>
      <c r="P368" s="242"/>
      <c r="Q368" s="265"/>
      <c r="R368" s="265"/>
      <c r="S368" s="265"/>
      <c r="T368" s="265"/>
      <c r="U368" s="265"/>
      <c r="V368" s="265"/>
      <c r="W368" s="265"/>
      <c r="X368" s="265"/>
      <c r="Y368" s="265"/>
      <c r="Z368" s="265"/>
      <c r="AA368" s="265"/>
      <c r="AB368" s="265"/>
      <c r="AC368" s="265"/>
      <c r="AD368" s="265"/>
      <c r="AE368" s="265"/>
      <c r="AF368" s="265"/>
      <c r="AG368" s="265"/>
      <c r="AH368" s="265"/>
      <c r="AI368" s="265"/>
      <c r="AJ368" s="265"/>
      <c r="AK368" s="265"/>
      <c r="AL368" s="265"/>
      <c r="AM368" s="244"/>
    </row>
    <row r="369" spans="1:39" ht="18" customHeight="1" x14ac:dyDescent="0.15">
      <c r="A369" s="242"/>
      <c r="B369" s="244"/>
      <c r="C369" s="242"/>
      <c r="D369" s="265"/>
      <c r="E369" s="244"/>
      <c r="F369" s="244"/>
      <c r="G369" s="244"/>
      <c r="H369" s="242"/>
      <c r="I369" s="265"/>
      <c r="J369" s="265"/>
      <c r="K369" s="265"/>
      <c r="L369" s="244"/>
      <c r="M369" s="242"/>
      <c r="N369" s="242"/>
      <c r="O369" s="242"/>
      <c r="P369" s="242"/>
      <c r="Q369" s="265"/>
      <c r="R369" s="265"/>
      <c r="S369" s="265"/>
      <c r="T369" s="265"/>
      <c r="U369" s="265"/>
      <c r="V369" s="265"/>
      <c r="W369" s="265"/>
      <c r="X369" s="265"/>
      <c r="Y369" s="265"/>
      <c r="Z369" s="265"/>
      <c r="AA369" s="265"/>
      <c r="AB369" s="265"/>
      <c r="AC369" s="265"/>
      <c r="AD369" s="265"/>
      <c r="AE369" s="265"/>
      <c r="AF369" s="265"/>
      <c r="AG369" s="265"/>
      <c r="AH369" s="265"/>
      <c r="AI369" s="265"/>
      <c r="AJ369" s="265"/>
      <c r="AK369" s="265"/>
      <c r="AL369" s="265"/>
      <c r="AM369" s="244"/>
    </row>
    <row r="370" spans="1:39" ht="18" customHeight="1" x14ac:dyDescent="0.15">
      <c r="A370" s="242"/>
      <c r="B370" s="244"/>
      <c r="C370" s="242"/>
      <c r="D370" s="265"/>
      <c r="E370" s="244"/>
      <c r="F370" s="244"/>
      <c r="G370" s="244"/>
      <c r="H370" s="242"/>
      <c r="I370" s="265"/>
      <c r="J370" s="265"/>
      <c r="K370" s="265"/>
      <c r="L370" s="244"/>
      <c r="M370" s="242"/>
      <c r="N370" s="242"/>
      <c r="O370" s="242"/>
      <c r="P370" s="242"/>
      <c r="Q370" s="265"/>
      <c r="R370" s="265"/>
      <c r="S370" s="265"/>
      <c r="T370" s="265"/>
      <c r="U370" s="265"/>
      <c r="V370" s="265"/>
      <c r="W370" s="265"/>
      <c r="X370" s="265"/>
      <c r="Y370" s="265"/>
      <c r="Z370" s="265"/>
      <c r="AA370" s="265"/>
      <c r="AB370" s="265"/>
      <c r="AC370" s="265"/>
      <c r="AD370" s="265"/>
      <c r="AE370" s="265"/>
      <c r="AF370" s="265"/>
      <c r="AG370" s="265"/>
      <c r="AH370" s="265"/>
      <c r="AI370" s="265"/>
      <c r="AJ370" s="265"/>
      <c r="AK370" s="265"/>
      <c r="AL370" s="265"/>
      <c r="AM370" s="244"/>
    </row>
    <row r="371" spans="1:39" ht="18" customHeight="1" x14ac:dyDescent="0.15">
      <c r="A371" s="242"/>
      <c r="B371" s="244"/>
      <c r="C371" s="242"/>
      <c r="D371" s="265"/>
      <c r="E371" s="244"/>
      <c r="F371" s="244"/>
      <c r="G371" s="244"/>
      <c r="H371" s="242"/>
      <c r="I371" s="265"/>
      <c r="J371" s="265"/>
      <c r="K371" s="265"/>
      <c r="L371" s="244"/>
      <c r="M371" s="242"/>
      <c r="N371" s="242"/>
      <c r="O371" s="242"/>
      <c r="P371" s="242"/>
      <c r="Q371" s="265"/>
      <c r="R371" s="265"/>
      <c r="S371" s="265"/>
      <c r="T371" s="265"/>
      <c r="U371" s="265"/>
      <c r="V371" s="265"/>
      <c r="W371" s="265"/>
      <c r="X371" s="265"/>
      <c r="Y371" s="265"/>
      <c r="Z371" s="265"/>
      <c r="AA371" s="265"/>
      <c r="AB371" s="265"/>
      <c r="AC371" s="265"/>
      <c r="AD371" s="265"/>
      <c r="AE371" s="265"/>
      <c r="AF371" s="265"/>
      <c r="AG371" s="265"/>
      <c r="AH371" s="265"/>
      <c r="AI371" s="265"/>
      <c r="AJ371" s="265"/>
      <c r="AK371" s="265"/>
      <c r="AL371" s="265"/>
      <c r="AM371" s="244"/>
    </row>
    <row r="372" spans="1:39" ht="18" customHeight="1" x14ac:dyDescent="0.15">
      <c r="A372" s="242"/>
      <c r="B372" s="244"/>
      <c r="C372" s="242"/>
      <c r="D372" s="265"/>
      <c r="E372" s="244"/>
      <c r="F372" s="244"/>
      <c r="G372" s="244"/>
      <c r="H372" s="242"/>
      <c r="I372" s="265"/>
      <c r="J372" s="265"/>
      <c r="K372" s="265"/>
      <c r="L372" s="244"/>
      <c r="M372" s="242"/>
      <c r="N372" s="242"/>
      <c r="O372" s="242"/>
      <c r="P372" s="242"/>
      <c r="Q372" s="265"/>
      <c r="R372" s="265"/>
      <c r="S372" s="265"/>
      <c r="T372" s="265"/>
      <c r="U372" s="265"/>
      <c r="V372" s="265"/>
      <c r="W372" s="265"/>
      <c r="X372" s="265"/>
      <c r="Y372" s="265"/>
      <c r="Z372" s="265"/>
      <c r="AA372" s="265"/>
      <c r="AB372" s="265"/>
      <c r="AC372" s="265"/>
      <c r="AD372" s="265"/>
      <c r="AE372" s="265"/>
      <c r="AF372" s="265"/>
      <c r="AG372" s="265"/>
      <c r="AH372" s="265"/>
      <c r="AI372" s="265"/>
      <c r="AJ372" s="265"/>
      <c r="AK372" s="265"/>
      <c r="AL372" s="265"/>
      <c r="AM372" s="244"/>
    </row>
    <row r="373" spans="1:39" ht="18" customHeight="1" x14ac:dyDescent="0.15">
      <c r="A373" s="242"/>
      <c r="B373" s="244"/>
      <c r="C373" s="242"/>
      <c r="D373" s="265"/>
      <c r="E373" s="244"/>
      <c r="F373" s="244"/>
      <c r="G373" s="244"/>
      <c r="H373" s="242"/>
      <c r="I373" s="265"/>
      <c r="J373" s="265"/>
      <c r="K373" s="265"/>
      <c r="L373" s="244"/>
      <c r="M373" s="242"/>
      <c r="N373" s="242"/>
      <c r="O373" s="242"/>
      <c r="P373" s="242"/>
      <c r="Q373" s="265"/>
      <c r="R373" s="265"/>
      <c r="S373" s="265"/>
      <c r="T373" s="265"/>
      <c r="U373" s="265"/>
      <c r="V373" s="265"/>
      <c r="W373" s="265"/>
      <c r="X373" s="265"/>
      <c r="Y373" s="265"/>
      <c r="Z373" s="265"/>
      <c r="AA373" s="265"/>
      <c r="AB373" s="265"/>
      <c r="AC373" s="265"/>
      <c r="AD373" s="265"/>
      <c r="AE373" s="265"/>
      <c r="AF373" s="265"/>
      <c r="AG373" s="265"/>
      <c r="AH373" s="265"/>
      <c r="AI373" s="265"/>
      <c r="AJ373" s="265"/>
      <c r="AK373" s="265"/>
      <c r="AL373" s="265"/>
      <c r="AM373" s="244"/>
    </row>
    <row r="374" spans="1:39" ht="18" customHeight="1" x14ac:dyDescent="0.15">
      <c r="A374" s="242"/>
      <c r="B374" s="244"/>
      <c r="C374" s="242"/>
      <c r="D374" s="265"/>
      <c r="E374" s="244"/>
      <c r="F374" s="244"/>
      <c r="G374" s="244"/>
      <c r="H374" s="242"/>
      <c r="I374" s="265"/>
      <c r="J374" s="265"/>
      <c r="K374" s="265"/>
      <c r="L374" s="244"/>
      <c r="M374" s="242"/>
      <c r="N374" s="242"/>
      <c r="O374" s="242"/>
      <c r="P374" s="242"/>
      <c r="Q374" s="265"/>
      <c r="R374" s="265"/>
      <c r="S374" s="265"/>
      <c r="T374" s="265"/>
      <c r="U374" s="265"/>
      <c r="V374" s="265"/>
      <c r="W374" s="265"/>
      <c r="X374" s="265"/>
      <c r="Y374" s="265"/>
      <c r="Z374" s="265"/>
      <c r="AA374" s="265"/>
      <c r="AB374" s="265"/>
      <c r="AC374" s="265"/>
      <c r="AD374" s="265"/>
      <c r="AE374" s="265"/>
      <c r="AF374" s="265"/>
      <c r="AG374" s="265"/>
      <c r="AH374" s="265"/>
      <c r="AI374" s="265"/>
      <c r="AJ374" s="265"/>
      <c r="AK374" s="265"/>
      <c r="AL374" s="265"/>
      <c r="AM374" s="244"/>
    </row>
    <row r="375" spans="1:39" ht="18" customHeight="1" x14ac:dyDescent="0.15">
      <c r="A375" s="242"/>
      <c r="B375" s="244"/>
      <c r="C375" s="242"/>
      <c r="D375" s="265"/>
      <c r="E375" s="244"/>
      <c r="F375" s="244"/>
      <c r="G375" s="244"/>
      <c r="H375" s="242"/>
      <c r="I375" s="265"/>
      <c r="J375" s="265"/>
      <c r="K375" s="265"/>
      <c r="L375" s="244"/>
      <c r="M375" s="242"/>
      <c r="N375" s="242"/>
      <c r="O375" s="242"/>
      <c r="P375" s="242"/>
      <c r="Q375" s="265"/>
      <c r="R375" s="265"/>
      <c r="S375" s="265"/>
      <c r="T375" s="265"/>
      <c r="U375" s="265"/>
      <c r="V375" s="265"/>
      <c r="W375" s="265"/>
      <c r="X375" s="265"/>
      <c r="Y375" s="265"/>
      <c r="Z375" s="265"/>
      <c r="AA375" s="265"/>
      <c r="AB375" s="265"/>
      <c r="AC375" s="265"/>
      <c r="AD375" s="265"/>
      <c r="AE375" s="265"/>
      <c r="AF375" s="265"/>
      <c r="AG375" s="265"/>
      <c r="AH375" s="265"/>
      <c r="AI375" s="265"/>
      <c r="AJ375" s="265"/>
      <c r="AK375" s="265"/>
      <c r="AL375" s="265"/>
      <c r="AM375" s="244"/>
    </row>
    <row r="376" spans="1:39" ht="18" customHeight="1" x14ac:dyDescent="0.15">
      <c r="A376" s="242"/>
      <c r="B376" s="244"/>
      <c r="C376" s="242"/>
      <c r="D376" s="265"/>
      <c r="E376" s="244"/>
      <c r="F376" s="244"/>
      <c r="G376" s="244"/>
      <c r="H376" s="242"/>
      <c r="I376" s="265"/>
      <c r="J376" s="265"/>
      <c r="K376" s="265"/>
      <c r="L376" s="244"/>
      <c r="M376" s="242"/>
      <c r="N376" s="242"/>
      <c r="O376" s="242"/>
      <c r="P376" s="242"/>
      <c r="Q376" s="265"/>
      <c r="R376" s="265"/>
      <c r="S376" s="265"/>
      <c r="T376" s="265"/>
      <c r="U376" s="265"/>
      <c r="V376" s="265"/>
      <c r="W376" s="265"/>
      <c r="X376" s="265"/>
      <c r="Y376" s="265"/>
      <c r="Z376" s="265"/>
      <c r="AA376" s="265"/>
      <c r="AB376" s="265"/>
      <c r="AC376" s="265"/>
      <c r="AD376" s="265"/>
      <c r="AE376" s="265"/>
      <c r="AF376" s="265"/>
      <c r="AG376" s="265"/>
      <c r="AH376" s="265"/>
      <c r="AI376" s="265"/>
      <c r="AJ376" s="265"/>
      <c r="AK376" s="265"/>
      <c r="AL376" s="265"/>
      <c r="AM376" s="244"/>
    </row>
    <row r="377" spans="1:39" ht="18" customHeight="1" x14ac:dyDescent="0.15">
      <c r="A377" s="242"/>
      <c r="B377" s="244"/>
      <c r="C377" s="242"/>
      <c r="D377" s="265"/>
      <c r="E377" s="244"/>
      <c r="F377" s="244"/>
      <c r="G377" s="244"/>
      <c r="H377" s="242"/>
      <c r="I377" s="265"/>
      <c r="J377" s="265"/>
      <c r="K377" s="265"/>
      <c r="L377" s="244"/>
      <c r="M377" s="242"/>
      <c r="N377" s="242"/>
      <c r="O377" s="242"/>
      <c r="P377" s="242"/>
      <c r="Q377" s="265"/>
      <c r="R377" s="265"/>
      <c r="S377" s="265"/>
      <c r="T377" s="265"/>
      <c r="U377" s="265"/>
      <c r="V377" s="265"/>
      <c r="W377" s="265"/>
      <c r="X377" s="265"/>
      <c r="Y377" s="265"/>
      <c r="Z377" s="265"/>
      <c r="AA377" s="265"/>
      <c r="AB377" s="265"/>
      <c r="AC377" s="265"/>
      <c r="AD377" s="265"/>
      <c r="AE377" s="265"/>
      <c r="AF377" s="265"/>
      <c r="AG377" s="265"/>
      <c r="AH377" s="265"/>
      <c r="AI377" s="265"/>
      <c r="AJ377" s="265"/>
      <c r="AK377" s="265"/>
      <c r="AL377" s="265"/>
      <c r="AM377" s="244"/>
    </row>
    <row r="378" spans="1:39" ht="18" customHeight="1" x14ac:dyDescent="0.15">
      <c r="A378" s="242"/>
      <c r="B378" s="244"/>
      <c r="C378" s="242"/>
      <c r="D378" s="265"/>
      <c r="E378" s="244"/>
      <c r="F378" s="244"/>
      <c r="G378" s="244"/>
      <c r="H378" s="242"/>
      <c r="I378" s="265"/>
      <c r="J378" s="265"/>
      <c r="K378" s="265"/>
      <c r="L378" s="244"/>
      <c r="M378" s="242"/>
      <c r="N378" s="242"/>
      <c r="O378" s="242"/>
      <c r="P378" s="242"/>
      <c r="Q378" s="265"/>
      <c r="R378" s="265"/>
      <c r="S378" s="265"/>
      <c r="T378" s="265"/>
      <c r="U378" s="265"/>
      <c r="V378" s="265"/>
      <c r="W378" s="265"/>
      <c r="X378" s="265"/>
      <c r="Y378" s="265"/>
      <c r="Z378" s="265"/>
      <c r="AA378" s="265"/>
      <c r="AB378" s="265"/>
      <c r="AC378" s="265"/>
      <c r="AD378" s="265"/>
      <c r="AE378" s="265"/>
      <c r="AF378" s="265"/>
      <c r="AG378" s="265"/>
      <c r="AH378" s="265"/>
      <c r="AI378" s="265"/>
      <c r="AJ378" s="265"/>
      <c r="AK378" s="265"/>
      <c r="AL378" s="265"/>
      <c r="AM378" s="244"/>
    </row>
    <row r="379" spans="1:39" ht="18" customHeight="1" x14ac:dyDescent="0.15">
      <c r="A379" s="242"/>
      <c r="B379" s="244"/>
      <c r="C379" s="242"/>
      <c r="D379" s="265"/>
      <c r="E379" s="244"/>
      <c r="F379" s="244"/>
      <c r="G379" s="244"/>
      <c r="H379" s="242"/>
      <c r="I379" s="265"/>
      <c r="J379" s="265"/>
      <c r="K379" s="265"/>
      <c r="L379" s="244"/>
      <c r="M379" s="242"/>
      <c r="N379" s="242"/>
      <c r="O379" s="242"/>
      <c r="P379" s="242"/>
      <c r="Q379" s="265"/>
      <c r="R379" s="265"/>
      <c r="S379" s="265"/>
      <c r="T379" s="265"/>
      <c r="U379" s="265"/>
      <c r="V379" s="265"/>
      <c r="W379" s="265"/>
      <c r="X379" s="265"/>
      <c r="Y379" s="265"/>
      <c r="Z379" s="265"/>
      <c r="AA379" s="265"/>
      <c r="AB379" s="265"/>
      <c r="AC379" s="265"/>
      <c r="AD379" s="265"/>
      <c r="AE379" s="265"/>
      <c r="AF379" s="265"/>
      <c r="AG379" s="265"/>
      <c r="AH379" s="265"/>
      <c r="AI379" s="265"/>
      <c r="AJ379" s="265"/>
      <c r="AK379" s="265"/>
      <c r="AL379" s="265"/>
      <c r="AM379" s="244"/>
    </row>
    <row r="380" spans="1:39" ht="18" customHeight="1" x14ac:dyDescent="0.15">
      <c r="A380" s="242"/>
      <c r="B380" s="244"/>
      <c r="C380" s="242"/>
      <c r="D380" s="265"/>
      <c r="E380" s="244"/>
      <c r="F380" s="244"/>
      <c r="G380" s="244"/>
      <c r="H380" s="242"/>
      <c r="I380" s="265"/>
      <c r="J380" s="265"/>
      <c r="K380" s="265"/>
      <c r="L380" s="244"/>
      <c r="M380" s="242"/>
      <c r="N380" s="242"/>
      <c r="O380" s="242"/>
      <c r="P380" s="242"/>
      <c r="Q380" s="265"/>
      <c r="R380" s="265"/>
      <c r="S380" s="265"/>
      <c r="T380" s="265"/>
      <c r="U380" s="265"/>
      <c r="V380" s="265"/>
      <c r="W380" s="265"/>
      <c r="X380" s="265"/>
      <c r="Y380" s="265"/>
      <c r="Z380" s="265"/>
      <c r="AA380" s="265"/>
      <c r="AB380" s="265"/>
      <c r="AC380" s="265"/>
      <c r="AD380" s="265"/>
      <c r="AE380" s="265"/>
      <c r="AF380" s="265"/>
      <c r="AG380" s="265"/>
      <c r="AH380" s="265"/>
      <c r="AI380" s="265"/>
      <c r="AJ380" s="265"/>
      <c r="AK380" s="265"/>
      <c r="AL380" s="265"/>
      <c r="AM380" s="244"/>
    </row>
    <row r="381" spans="1:39" ht="18" customHeight="1" x14ac:dyDescent="0.15">
      <c r="A381" s="242"/>
      <c r="B381" s="244"/>
      <c r="C381" s="242"/>
      <c r="D381" s="265"/>
      <c r="E381" s="244"/>
      <c r="F381" s="244"/>
      <c r="G381" s="244"/>
      <c r="H381" s="242"/>
      <c r="I381" s="265"/>
      <c r="J381" s="265"/>
      <c r="K381" s="265"/>
      <c r="L381" s="244"/>
      <c r="M381" s="242"/>
      <c r="N381" s="242"/>
      <c r="O381" s="242"/>
      <c r="P381" s="242"/>
      <c r="Q381" s="265"/>
      <c r="R381" s="265"/>
      <c r="S381" s="265"/>
      <c r="T381" s="265"/>
      <c r="U381" s="265"/>
      <c r="V381" s="265"/>
      <c r="W381" s="265"/>
      <c r="X381" s="265"/>
      <c r="Y381" s="265"/>
      <c r="Z381" s="265"/>
      <c r="AA381" s="265"/>
      <c r="AB381" s="265"/>
      <c r="AC381" s="265"/>
      <c r="AD381" s="265"/>
      <c r="AE381" s="265"/>
      <c r="AF381" s="265"/>
      <c r="AG381" s="265"/>
      <c r="AH381" s="265"/>
      <c r="AI381" s="265"/>
      <c r="AJ381" s="265"/>
      <c r="AK381" s="265"/>
      <c r="AL381" s="265"/>
      <c r="AM381" s="244"/>
    </row>
    <row r="382" spans="1:39" ht="18" customHeight="1" x14ac:dyDescent="0.15">
      <c r="A382" s="242"/>
      <c r="B382" s="244"/>
      <c r="C382" s="242"/>
      <c r="D382" s="265"/>
      <c r="E382" s="244"/>
      <c r="F382" s="244"/>
      <c r="G382" s="244"/>
      <c r="H382" s="242"/>
      <c r="I382" s="265"/>
      <c r="J382" s="265"/>
      <c r="K382" s="265"/>
      <c r="L382" s="244"/>
      <c r="M382" s="242"/>
      <c r="N382" s="242"/>
      <c r="O382" s="242"/>
      <c r="P382" s="242"/>
      <c r="Q382" s="265"/>
      <c r="R382" s="265"/>
      <c r="S382" s="265"/>
      <c r="T382" s="265"/>
      <c r="U382" s="265"/>
      <c r="V382" s="265"/>
      <c r="W382" s="265"/>
      <c r="X382" s="265"/>
      <c r="Y382" s="265"/>
      <c r="Z382" s="265"/>
      <c r="AA382" s="265"/>
      <c r="AB382" s="265"/>
      <c r="AC382" s="265"/>
      <c r="AD382" s="265"/>
      <c r="AE382" s="265"/>
      <c r="AF382" s="265"/>
      <c r="AG382" s="265"/>
      <c r="AH382" s="265"/>
      <c r="AI382" s="265"/>
      <c r="AJ382" s="265"/>
      <c r="AK382" s="265"/>
      <c r="AL382" s="265"/>
      <c r="AM382" s="244"/>
    </row>
    <row r="383" spans="1:39" ht="18" customHeight="1" x14ac:dyDescent="0.15">
      <c r="A383" s="242"/>
      <c r="B383" s="244"/>
      <c r="C383" s="242"/>
      <c r="D383" s="265"/>
      <c r="E383" s="244"/>
      <c r="F383" s="244"/>
      <c r="G383" s="244"/>
      <c r="H383" s="242"/>
      <c r="I383" s="265"/>
      <c r="J383" s="265"/>
      <c r="K383" s="265"/>
      <c r="L383" s="244"/>
      <c r="M383" s="242"/>
      <c r="N383" s="242"/>
      <c r="O383" s="242"/>
      <c r="P383" s="242"/>
      <c r="Q383" s="265"/>
      <c r="R383" s="265"/>
      <c r="S383" s="265"/>
      <c r="T383" s="265"/>
      <c r="U383" s="265"/>
      <c r="V383" s="265"/>
      <c r="W383" s="265"/>
      <c r="X383" s="265"/>
      <c r="Y383" s="265"/>
      <c r="Z383" s="265"/>
      <c r="AA383" s="265"/>
      <c r="AB383" s="265"/>
      <c r="AC383" s="265"/>
      <c r="AD383" s="265"/>
      <c r="AE383" s="265"/>
      <c r="AF383" s="265"/>
      <c r="AG383" s="265"/>
      <c r="AH383" s="265"/>
      <c r="AI383" s="265"/>
      <c r="AJ383" s="265"/>
      <c r="AK383" s="265"/>
      <c r="AL383" s="265"/>
      <c r="AM383" s="244"/>
    </row>
    <row r="384" spans="1:39" ht="18" customHeight="1" x14ac:dyDescent="0.15">
      <c r="A384" s="242"/>
      <c r="B384" s="244"/>
      <c r="C384" s="242"/>
      <c r="D384" s="265"/>
      <c r="E384" s="244"/>
      <c r="F384" s="244"/>
      <c r="G384" s="244"/>
      <c r="H384" s="242"/>
      <c r="I384" s="265"/>
      <c r="J384" s="265"/>
      <c r="K384" s="265"/>
      <c r="L384" s="244"/>
      <c r="M384" s="242"/>
      <c r="N384" s="242"/>
      <c r="O384" s="242"/>
      <c r="P384" s="242"/>
      <c r="Q384" s="265"/>
      <c r="R384" s="265"/>
      <c r="S384" s="265"/>
      <c r="T384" s="265"/>
      <c r="U384" s="265"/>
      <c r="V384" s="265"/>
      <c r="W384" s="265"/>
      <c r="X384" s="265"/>
      <c r="Y384" s="265"/>
      <c r="Z384" s="265"/>
      <c r="AA384" s="265"/>
      <c r="AB384" s="265"/>
      <c r="AC384" s="265"/>
      <c r="AD384" s="265"/>
      <c r="AE384" s="265"/>
      <c r="AF384" s="265"/>
      <c r="AG384" s="265"/>
      <c r="AH384" s="265"/>
      <c r="AI384" s="265"/>
      <c r="AJ384" s="265"/>
      <c r="AK384" s="265"/>
      <c r="AL384" s="265"/>
      <c r="AM384" s="244"/>
    </row>
    <row r="385" spans="1:39" ht="18" customHeight="1" x14ac:dyDescent="0.15">
      <c r="A385" s="242"/>
      <c r="B385" s="244"/>
      <c r="C385" s="242"/>
      <c r="D385" s="265"/>
      <c r="E385" s="244"/>
      <c r="F385" s="244"/>
      <c r="G385" s="244"/>
      <c r="H385" s="242"/>
      <c r="I385" s="265"/>
      <c r="J385" s="265"/>
      <c r="K385" s="265"/>
      <c r="L385" s="244"/>
      <c r="M385" s="242"/>
      <c r="N385" s="242"/>
      <c r="O385" s="242"/>
      <c r="P385" s="242"/>
      <c r="Q385" s="265"/>
      <c r="R385" s="265"/>
      <c r="S385" s="265"/>
      <c r="T385" s="265"/>
      <c r="U385" s="265"/>
      <c r="V385" s="265"/>
      <c r="W385" s="265"/>
      <c r="X385" s="265"/>
      <c r="Y385" s="265"/>
      <c r="Z385" s="265"/>
      <c r="AA385" s="265"/>
      <c r="AB385" s="265"/>
      <c r="AC385" s="265"/>
      <c r="AD385" s="265"/>
      <c r="AE385" s="265"/>
      <c r="AF385" s="265"/>
      <c r="AG385" s="265"/>
      <c r="AH385" s="265"/>
      <c r="AI385" s="265"/>
      <c r="AJ385" s="265"/>
      <c r="AK385" s="265"/>
      <c r="AL385" s="265"/>
      <c r="AM385" s="244"/>
    </row>
    <row r="386" spans="1:39" ht="18" customHeight="1" x14ac:dyDescent="0.15">
      <c r="A386" s="242"/>
      <c r="B386" s="244"/>
      <c r="C386" s="242"/>
      <c r="D386" s="265"/>
      <c r="E386" s="244"/>
      <c r="F386" s="244"/>
      <c r="G386" s="244"/>
      <c r="H386" s="242"/>
      <c r="I386" s="265"/>
      <c r="J386" s="265"/>
      <c r="K386" s="265"/>
      <c r="L386" s="244"/>
      <c r="M386" s="242"/>
      <c r="N386" s="242"/>
      <c r="O386" s="242"/>
      <c r="P386" s="242"/>
      <c r="Q386" s="265"/>
      <c r="R386" s="265"/>
      <c r="S386" s="265"/>
      <c r="T386" s="265"/>
      <c r="U386" s="265"/>
      <c r="V386" s="265"/>
      <c r="W386" s="265"/>
      <c r="X386" s="265"/>
      <c r="Y386" s="265"/>
      <c r="Z386" s="265"/>
      <c r="AA386" s="265"/>
      <c r="AB386" s="265"/>
      <c r="AC386" s="265"/>
      <c r="AD386" s="265"/>
      <c r="AE386" s="265"/>
      <c r="AF386" s="265"/>
      <c r="AG386" s="265"/>
      <c r="AH386" s="265"/>
      <c r="AI386" s="265"/>
      <c r="AJ386" s="265"/>
      <c r="AK386" s="265"/>
      <c r="AL386" s="265"/>
      <c r="AM386" s="244"/>
    </row>
    <row r="387" spans="1:39" ht="18" customHeight="1" x14ac:dyDescent="0.15">
      <c r="A387" s="242"/>
      <c r="B387" s="244"/>
      <c r="C387" s="242"/>
      <c r="D387" s="265"/>
      <c r="E387" s="244"/>
      <c r="F387" s="244"/>
      <c r="G387" s="244"/>
      <c r="H387" s="242"/>
      <c r="I387" s="265"/>
      <c r="J387" s="265"/>
      <c r="K387" s="265"/>
      <c r="L387" s="244"/>
      <c r="M387" s="242"/>
      <c r="N387" s="242"/>
      <c r="O387" s="242"/>
      <c r="P387" s="242"/>
      <c r="Q387" s="265"/>
      <c r="R387" s="265"/>
      <c r="S387" s="265"/>
      <c r="T387" s="265"/>
      <c r="U387" s="265"/>
      <c r="V387" s="265"/>
      <c r="W387" s="265"/>
      <c r="X387" s="265"/>
      <c r="Y387" s="265"/>
      <c r="Z387" s="265"/>
      <c r="AA387" s="265"/>
      <c r="AB387" s="265"/>
      <c r="AC387" s="265"/>
      <c r="AD387" s="265"/>
      <c r="AE387" s="265"/>
      <c r="AF387" s="265"/>
      <c r="AG387" s="265"/>
      <c r="AH387" s="265"/>
      <c r="AI387" s="265"/>
      <c r="AJ387" s="265"/>
      <c r="AK387" s="265"/>
      <c r="AL387" s="265"/>
      <c r="AM387" s="244"/>
    </row>
    <row r="388" spans="1:39" ht="18" customHeight="1" x14ac:dyDescent="0.15">
      <c r="A388" s="242"/>
      <c r="B388" s="244"/>
      <c r="C388" s="242"/>
      <c r="D388" s="265"/>
      <c r="E388" s="244"/>
      <c r="F388" s="244"/>
      <c r="G388" s="244"/>
      <c r="H388" s="242"/>
      <c r="I388" s="265"/>
      <c r="J388" s="265"/>
      <c r="K388" s="265"/>
      <c r="L388" s="244"/>
      <c r="M388" s="242"/>
      <c r="N388" s="242"/>
      <c r="O388" s="242"/>
      <c r="P388" s="242"/>
      <c r="Q388" s="265"/>
      <c r="R388" s="265"/>
      <c r="S388" s="265"/>
      <c r="T388" s="265"/>
      <c r="U388" s="265"/>
      <c r="V388" s="265"/>
      <c r="W388" s="265"/>
      <c r="X388" s="265"/>
      <c r="Y388" s="265"/>
      <c r="Z388" s="265"/>
      <c r="AA388" s="265"/>
      <c r="AB388" s="265"/>
      <c r="AC388" s="265"/>
      <c r="AD388" s="265"/>
      <c r="AE388" s="265"/>
      <c r="AF388" s="265"/>
      <c r="AG388" s="265"/>
      <c r="AH388" s="265"/>
      <c r="AI388" s="265"/>
      <c r="AJ388" s="265"/>
      <c r="AK388" s="265"/>
      <c r="AL388" s="265"/>
      <c r="AM388" s="244"/>
    </row>
    <row r="389" spans="1:39" ht="18" customHeight="1" x14ac:dyDescent="0.15">
      <c r="A389" s="242"/>
      <c r="B389" s="244"/>
      <c r="C389" s="242"/>
      <c r="D389" s="265"/>
      <c r="E389" s="244"/>
      <c r="F389" s="244"/>
      <c r="G389" s="244"/>
      <c r="H389" s="242"/>
      <c r="I389" s="265"/>
      <c r="J389" s="265"/>
      <c r="K389" s="265"/>
      <c r="L389" s="244"/>
      <c r="M389" s="242"/>
      <c r="N389" s="242"/>
      <c r="O389" s="242"/>
      <c r="P389" s="242"/>
      <c r="Q389" s="265"/>
      <c r="R389" s="265"/>
      <c r="S389" s="265"/>
      <c r="T389" s="265"/>
      <c r="U389" s="265"/>
      <c r="V389" s="265"/>
      <c r="W389" s="265"/>
      <c r="X389" s="265"/>
      <c r="Y389" s="265"/>
      <c r="Z389" s="265"/>
      <c r="AA389" s="265"/>
      <c r="AB389" s="265"/>
      <c r="AC389" s="265"/>
      <c r="AD389" s="265"/>
      <c r="AE389" s="265"/>
      <c r="AF389" s="265"/>
      <c r="AG389" s="265"/>
      <c r="AH389" s="265"/>
      <c r="AI389" s="265"/>
      <c r="AJ389" s="265"/>
      <c r="AK389" s="265"/>
      <c r="AL389" s="265"/>
      <c r="AM389" s="244"/>
    </row>
    <row r="390" spans="1:39" ht="18" customHeight="1" x14ac:dyDescent="0.15">
      <c r="A390" s="242"/>
      <c r="B390" s="244"/>
      <c r="C390" s="242"/>
      <c r="D390" s="265"/>
      <c r="E390" s="244"/>
      <c r="F390" s="244"/>
      <c r="G390" s="244"/>
      <c r="H390" s="242"/>
      <c r="I390" s="265"/>
      <c r="J390" s="265"/>
      <c r="K390" s="265"/>
      <c r="L390" s="244"/>
      <c r="M390" s="242"/>
      <c r="N390" s="242"/>
      <c r="O390" s="242"/>
      <c r="P390" s="242"/>
      <c r="Q390" s="265"/>
      <c r="R390" s="265"/>
      <c r="S390" s="265"/>
      <c r="T390" s="265"/>
      <c r="U390" s="265"/>
      <c r="V390" s="265"/>
      <c r="W390" s="265"/>
      <c r="X390" s="265"/>
      <c r="Y390" s="265"/>
      <c r="Z390" s="265"/>
      <c r="AA390" s="265"/>
      <c r="AB390" s="265"/>
      <c r="AC390" s="265"/>
      <c r="AD390" s="265"/>
      <c r="AE390" s="265"/>
      <c r="AF390" s="265"/>
      <c r="AG390" s="265"/>
      <c r="AH390" s="265"/>
      <c r="AI390" s="265"/>
      <c r="AJ390" s="265"/>
      <c r="AK390" s="265"/>
      <c r="AL390" s="265"/>
      <c r="AM390" s="244"/>
    </row>
    <row r="391" spans="1:39" ht="18" customHeight="1" x14ac:dyDescent="0.15">
      <c r="A391" s="242"/>
      <c r="B391" s="244"/>
      <c r="C391" s="242"/>
      <c r="D391" s="265"/>
      <c r="E391" s="244"/>
      <c r="F391" s="244"/>
      <c r="G391" s="244"/>
      <c r="H391" s="242"/>
      <c r="I391" s="265"/>
      <c r="J391" s="265"/>
      <c r="K391" s="265"/>
      <c r="L391" s="244"/>
      <c r="M391" s="242"/>
      <c r="N391" s="242"/>
      <c r="O391" s="242"/>
      <c r="P391" s="242"/>
      <c r="Q391" s="265"/>
      <c r="R391" s="265"/>
      <c r="S391" s="265"/>
      <c r="T391" s="265"/>
      <c r="U391" s="265"/>
      <c r="V391" s="265"/>
      <c r="W391" s="265"/>
      <c r="X391" s="265"/>
      <c r="Y391" s="265"/>
      <c r="Z391" s="265"/>
      <c r="AA391" s="265"/>
      <c r="AB391" s="265"/>
      <c r="AC391" s="265"/>
      <c r="AD391" s="265"/>
      <c r="AE391" s="265"/>
      <c r="AF391" s="265"/>
      <c r="AG391" s="265"/>
      <c r="AH391" s="265"/>
      <c r="AI391" s="265"/>
      <c r="AJ391" s="265"/>
      <c r="AK391" s="265"/>
      <c r="AL391" s="265"/>
      <c r="AM391" s="244"/>
    </row>
    <row r="392" spans="1:39" ht="18" customHeight="1" x14ac:dyDescent="0.15">
      <c r="A392" s="242"/>
      <c r="B392" s="244"/>
      <c r="C392" s="242"/>
      <c r="D392" s="265"/>
      <c r="E392" s="244"/>
      <c r="F392" s="244"/>
      <c r="G392" s="244"/>
      <c r="H392" s="242"/>
      <c r="I392" s="265"/>
      <c r="J392" s="265"/>
      <c r="K392" s="265"/>
      <c r="L392" s="244"/>
      <c r="M392" s="242"/>
      <c r="N392" s="242"/>
      <c r="O392" s="242"/>
      <c r="P392" s="242"/>
      <c r="Q392" s="265"/>
      <c r="R392" s="265"/>
      <c r="S392" s="265"/>
      <c r="T392" s="265"/>
      <c r="U392" s="265"/>
      <c r="V392" s="265"/>
      <c r="W392" s="265"/>
      <c r="X392" s="265"/>
      <c r="Y392" s="265"/>
      <c r="Z392" s="265"/>
      <c r="AA392" s="265"/>
      <c r="AB392" s="265"/>
      <c r="AC392" s="265"/>
      <c r="AD392" s="265"/>
      <c r="AE392" s="265"/>
      <c r="AF392" s="265"/>
      <c r="AG392" s="265"/>
      <c r="AH392" s="265"/>
      <c r="AI392" s="265"/>
      <c r="AJ392" s="265"/>
      <c r="AK392" s="265"/>
      <c r="AL392" s="265"/>
      <c r="AM392" s="244"/>
    </row>
    <row r="393" spans="1:39" ht="18" customHeight="1" x14ac:dyDescent="0.15">
      <c r="A393" s="242"/>
      <c r="B393" s="244"/>
      <c r="C393" s="242"/>
      <c r="D393" s="265"/>
      <c r="E393" s="244"/>
      <c r="F393" s="244"/>
      <c r="G393" s="244"/>
      <c r="H393" s="242"/>
      <c r="I393" s="265"/>
      <c r="J393" s="265"/>
      <c r="K393" s="265"/>
      <c r="L393" s="244"/>
      <c r="M393" s="242"/>
      <c r="N393" s="242"/>
      <c r="O393" s="242"/>
      <c r="P393" s="242"/>
      <c r="Q393" s="265"/>
      <c r="R393" s="265"/>
      <c r="S393" s="265"/>
      <c r="T393" s="265"/>
      <c r="U393" s="265"/>
      <c r="V393" s="265"/>
      <c r="W393" s="265"/>
      <c r="X393" s="265"/>
      <c r="Y393" s="265"/>
      <c r="Z393" s="265"/>
      <c r="AA393" s="265"/>
      <c r="AB393" s="265"/>
      <c r="AC393" s="265"/>
      <c r="AD393" s="265"/>
      <c r="AE393" s="265"/>
      <c r="AF393" s="265"/>
      <c r="AG393" s="265"/>
      <c r="AH393" s="265"/>
      <c r="AI393" s="265"/>
      <c r="AJ393" s="265"/>
      <c r="AK393" s="265"/>
      <c r="AL393" s="265"/>
      <c r="AM393" s="244"/>
    </row>
    <row r="394" spans="1:39" ht="18" customHeight="1" x14ac:dyDescent="0.15">
      <c r="A394" s="242"/>
      <c r="B394" s="244"/>
      <c r="C394" s="242"/>
      <c r="D394" s="265"/>
      <c r="E394" s="244"/>
      <c r="F394" s="244"/>
      <c r="G394" s="244"/>
      <c r="H394" s="242"/>
      <c r="I394" s="265"/>
      <c r="J394" s="265"/>
      <c r="K394" s="265"/>
      <c r="L394" s="244"/>
      <c r="M394" s="242"/>
      <c r="N394" s="242"/>
      <c r="O394" s="242"/>
      <c r="P394" s="242"/>
      <c r="Q394" s="265"/>
      <c r="R394" s="265"/>
      <c r="S394" s="265"/>
      <c r="T394" s="265"/>
      <c r="U394" s="265"/>
      <c r="V394" s="265"/>
      <c r="W394" s="265"/>
      <c r="X394" s="265"/>
      <c r="Y394" s="265"/>
      <c r="Z394" s="265"/>
      <c r="AA394" s="265"/>
      <c r="AB394" s="265"/>
      <c r="AC394" s="265"/>
      <c r="AD394" s="265"/>
      <c r="AE394" s="265"/>
      <c r="AF394" s="265"/>
      <c r="AG394" s="265"/>
      <c r="AH394" s="265"/>
      <c r="AI394" s="265"/>
      <c r="AJ394" s="265"/>
      <c r="AK394" s="265"/>
      <c r="AL394" s="265"/>
      <c r="AM394" s="244"/>
    </row>
    <row r="395" spans="1:39" ht="18" customHeight="1" x14ac:dyDescent="0.15">
      <c r="A395" s="242"/>
      <c r="B395" s="244"/>
      <c r="C395" s="242"/>
      <c r="D395" s="265"/>
      <c r="E395" s="244"/>
      <c r="F395" s="244"/>
      <c r="G395" s="244"/>
      <c r="H395" s="242"/>
      <c r="I395" s="265"/>
      <c r="J395" s="265"/>
      <c r="K395" s="265"/>
      <c r="L395" s="244"/>
      <c r="M395" s="242"/>
      <c r="N395" s="242"/>
      <c r="O395" s="242"/>
      <c r="P395" s="242"/>
      <c r="Q395" s="265"/>
      <c r="R395" s="265"/>
      <c r="S395" s="265"/>
      <c r="T395" s="265"/>
      <c r="U395" s="265"/>
      <c r="V395" s="265"/>
      <c r="W395" s="265"/>
      <c r="X395" s="265"/>
      <c r="Y395" s="265"/>
      <c r="Z395" s="265"/>
      <c r="AA395" s="265"/>
      <c r="AB395" s="265"/>
      <c r="AC395" s="265"/>
      <c r="AD395" s="265"/>
      <c r="AE395" s="265"/>
      <c r="AF395" s="265"/>
      <c r="AG395" s="265"/>
      <c r="AH395" s="265"/>
      <c r="AI395" s="265"/>
      <c r="AJ395" s="265"/>
      <c r="AK395" s="265"/>
      <c r="AL395" s="265"/>
      <c r="AM395" s="244"/>
    </row>
    <row r="396" spans="1:39" ht="18" customHeight="1" x14ac:dyDescent="0.15">
      <c r="A396" s="242"/>
      <c r="B396" s="244"/>
      <c r="C396" s="242"/>
      <c r="D396" s="265"/>
      <c r="E396" s="244"/>
      <c r="F396" s="244"/>
      <c r="G396" s="244"/>
      <c r="H396" s="242"/>
      <c r="I396" s="265"/>
      <c r="J396" s="265"/>
      <c r="K396" s="265"/>
      <c r="L396" s="244"/>
      <c r="M396" s="242"/>
      <c r="N396" s="242"/>
      <c r="O396" s="242"/>
      <c r="P396" s="242"/>
      <c r="Q396" s="265"/>
      <c r="R396" s="265"/>
      <c r="S396" s="265"/>
      <c r="T396" s="265"/>
      <c r="U396" s="265"/>
      <c r="V396" s="265"/>
      <c r="W396" s="265"/>
      <c r="X396" s="265"/>
      <c r="Y396" s="265"/>
      <c r="Z396" s="265"/>
      <c r="AA396" s="265"/>
      <c r="AB396" s="265"/>
      <c r="AC396" s="265"/>
      <c r="AD396" s="265"/>
      <c r="AE396" s="265"/>
      <c r="AF396" s="265"/>
      <c r="AG396" s="265"/>
      <c r="AH396" s="265"/>
      <c r="AI396" s="265"/>
      <c r="AJ396" s="265"/>
      <c r="AK396" s="265"/>
      <c r="AL396" s="265"/>
      <c r="AM396" s="244"/>
    </row>
    <row r="397" spans="1:39" ht="18" customHeight="1" x14ac:dyDescent="0.15">
      <c r="A397" s="242"/>
      <c r="B397" s="244"/>
      <c r="C397" s="242"/>
      <c r="D397" s="265"/>
      <c r="E397" s="244"/>
      <c r="F397" s="244"/>
      <c r="G397" s="244"/>
      <c r="H397" s="242"/>
      <c r="I397" s="265"/>
      <c r="J397" s="265"/>
      <c r="K397" s="265"/>
      <c r="L397" s="244"/>
      <c r="M397" s="242"/>
      <c r="N397" s="242"/>
      <c r="O397" s="242"/>
      <c r="P397" s="242"/>
      <c r="Q397" s="265"/>
      <c r="R397" s="265"/>
      <c r="S397" s="265"/>
      <c r="T397" s="265"/>
      <c r="U397" s="265"/>
      <c r="V397" s="265"/>
      <c r="W397" s="265"/>
      <c r="X397" s="265"/>
      <c r="Y397" s="265"/>
      <c r="Z397" s="265"/>
      <c r="AA397" s="265"/>
      <c r="AB397" s="265"/>
      <c r="AC397" s="265"/>
      <c r="AD397" s="265"/>
      <c r="AE397" s="265"/>
      <c r="AF397" s="265"/>
      <c r="AG397" s="265"/>
      <c r="AH397" s="265"/>
      <c r="AI397" s="265"/>
      <c r="AJ397" s="265"/>
      <c r="AK397" s="265"/>
      <c r="AL397" s="265"/>
      <c r="AM397" s="244"/>
    </row>
    <row r="398" spans="1:39" ht="18" customHeight="1" x14ac:dyDescent="0.15">
      <c r="A398" s="242"/>
      <c r="B398" s="244"/>
      <c r="C398" s="242"/>
      <c r="D398" s="265"/>
      <c r="E398" s="244"/>
      <c r="F398" s="244"/>
      <c r="G398" s="244"/>
      <c r="H398" s="242"/>
      <c r="I398" s="265"/>
      <c r="J398" s="265"/>
      <c r="K398" s="265"/>
      <c r="L398" s="244"/>
      <c r="M398" s="242"/>
      <c r="N398" s="242"/>
      <c r="O398" s="242"/>
      <c r="P398" s="242"/>
      <c r="Q398" s="265"/>
      <c r="R398" s="265"/>
      <c r="S398" s="265"/>
      <c r="T398" s="265"/>
      <c r="U398" s="265"/>
      <c r="V398" s="265"/>
      <c r="W398" s="265"/>
      <c r="X398" s="265"/>
      <c r="Y398" s="265"/>
      <c r="Z398" s="265"/>
      <c r="AA398" s="265"/>
      <c r="AB398" s="265"/>
      <c r="AC398" s="265"/>
      <c r="AD398" s="265"/>
      <c r="AE398" s="265"/>
      <c r="AF398" s="265"/>
      <c r="AG398" s="265"/>
      <c r="AH398" s="265"/>
      <c r="AI398" s="265"/>
      <c r="AJ398" s="265"/>
      <c r="AK398" s="265"/>
      <c r="AL398" s="265"/>
      <c r="AM398" s="244"/>
    </row>
    <row r="399" spans="1:39" ht="18" customHeight="1" x14ac:dyDescent="0.15">
      <c r="A399" s="242"/>
      <c r="B399" s="244"/>
      <c r="C399" s="242"/>
      <c r="D399" s="265"/>
      <c r="E399" s="244"/>
      <c r="F399" s="244"/>
      <c r="G399" s="244"/>
      <c r="H399" s="242"/>
      <c r="I399" s="265"/>
      <c r="J399" s="265"/>
      <c r="K399" s="265"/>
      <c r="L399" s="244"/>
      <c r="M399" s="242"/>
      <c r="N399" s="242"/>
      <c r="O399" s="242"/>
      <c r="P399" s="242"/>
      <c r="Q399" s="265"/>
      <c r="R399" s="265"/>
      <c r="S399" s="265"/>
      <c r="T399" s="265"/>
      <c r="U399" s="265"/>
      <c r="V399" s="265"/>
      <c r="W399" s="265"/>
      <c r="X399" s="265"/>
      <c r="Y399" s="265"/>
      <c r="Z399" s="265"/>
      <c r="AA399" s="265"/>
      <c r="AB399" s="265"/>
      <c r="AC399" s="265"/>
      <c r="AD399" s="265"/>
      <c r="AE399" s="265"/>
      <c r="AF399" s="265"/>
      <c r="AG399" s="265"/>
      <c r="AH399" s="265"/>
      <c r="AI399" s="265"/>
      <c r="AJ399" s="265"/>
      <c r="AK399" s="265"/>
      <c r="AL399" s="265"/>
      <c r="AM399" s="244"/>
    </row>
    <row r="400" spans="1:39" ht="18" customHeight="1" x14ac:dyDescent="0.15">
      <c r="A400" s="242"/>
      <c r="B400" s="244"/>
      <c r="C400" s="242"/>
      <c r="D400" s="265"/>
      <c r="E400" s="244"/>
      <c r="F400" s="244"/>
      <c r="G400" s="244"/>
      <c r="H400" s="242"/>
      <c r="I400" s="265"/>
      <c r="J400" s="265"/>
      <c r="K400" s="265"/>
      <c r="L400" s="244"/>
      <c r="M400" s="242"/>
      <c r="N400" s="242"/>
      <c r="O400" s="242"/>
      <c r="P400" s="242"/>
      <c r="Q400" s="265"/>
      <c r="R400" s="265"/>
      <c r="S400" s="265"/>
      <c r="T400" s="265"/>
      <c r="U400" s="265"/>
      <c r="V400" s="265"/>
      <c r="W400" s="265"/>
      <c r="X400" s="265"/>
      <c r="Y400" s="265"/>
      <c r="Z400" s="265"/>
      <c r="AA400" s="265"/>
      <c r="AB400" s="265"/>
      <c r="AC400" s="265"/>
      <c r="AD400" s="265"/>
      <c r="AE400" s="265"/>
      <c r="AF400" s="265"/>
      <c r="AG400" s="265"/>
      <c r="AH400" s="265"/>
      <c r="AI400" s="265"/>
      <c r="AJ400" s="265"/>
      <c r="AK400" s="265"/>
      <c r="AL400" s="265"/>
      <c r="AM400" s="244"/>
    </row>
    <row r="401" spans="1:39" ht="18" customHeight="1" x14ac:dyDescent="0.15">
      <c r="A401" s="242"/>
      <c r="B401" s="244"/>
      <c r="C401" s="242"/>
      <c r="D401" s="265"/>
      <c r="E401" s="244"/>
      <c r="F401" s="244"/>
      <c r="G401" s="244"/>
      <c r="H401" s="242"/>
      <c r="I401" s="265"/>
      <c r="J401" s="265"/>
      <c r="K401" s="265"/>
      <c r="L401" s="244"/>
      <c r="M401" s="242"/>
      <c r="N401" s="242"/>
      <c r="O401" s="242"/>
      <c r="P401" s="242"/>
      <c r="Q401" s="265"/>
      <c r="R401" s="265"/>
      <c r="S401" s="265"/>
      <c r="T401" s="265"/>
      <c r="U401" s="265"/>
      <c r="V401" s="265"/>
      <c r="W401" s="265"/>
      <c r="X401" s="265"/>
      <c r="Y401" s="265"/>
      <c r="Z401" s="265"/>
      <c r="AA401" s="265"/>
      <c r="AB401" s="265"/>
      <c r="AC401" s="265"/>
      <c r="AD401" s="265"/>
      <c r="AE401" s="265"/>
      <c r="AF401" s="265"/>
      <c r="AG401" s="265"/>
      <c r="AH401" s="265"/>
      <c r="AI401" s="265"/>
      <c r="AJ401" s="265"/>
      <c r="AK401" s="265"/>
      <c r="AL401" s="265"/>
      <c r="AM401" s="244"/>
    </row>
    <row r="402" spans="1:39" ht="18" customHeight="1" x14ac:dyDescent="0.15">
      <c r="A402" s="242"/>
      <c r="B402" s="244"/>
      <c r="C402" s="242"/>
      <c r="D402" s="265"/>
      <c r="E402" s="244"/>
      <c r="F402" s="244"/>
      <c r="G402" s="244"/>
      <c r="H402" s="242"/>
      <c r="I402" s="265"/>
      <c r="J402" s="265"/>
      <c r="K402" s="265"/>
      <c r="L402" s="244"/>
      <c r="M402" s="242"/>
      <c r="N402" s="242"/>
      <c r="O402" s="242"/>
      <c r="P402" s="242"/>
      <c r="Q402" s="265"/>
      <c r="R402" s="265"/>
      <c r="S402" s="265"/>
      <c r="T402" s="265"/>
      <c r="U402" s="265"/>
      <c r="V402" s="265"/>
      <c r="W402" s="265"/>
      <c r="X402" s="265"/>
      <c r="Y402" s="265"/>
      <c r="Z402" s="265"/>
      <c r="AA402" s="265"/>
      <c r="AB402" s="265"/>
      <c r="AC402" s="265"/>
      <c r="AD402" s="265"/>
      <c r="AE402" s="265"/>
      <c r="AF402" s="265"/>
      <c r="AG402" s="265"/>
      <c r="AH402" s="265"/>
      <c r="AI402" s="265"/>
      <c r="AJ402" s="265"/>
      <c r="AK402" s="265"/>
      <c r="AL402" s="265"/>
      <c r="AM402" s="244"/>
    </row>
    <row r="403" spans="1:39" ht="18" customHeight="1" x14ac:dyDescent="0.15">
      <c r="A403" s="242"/>
      <c r="B403" s="244"/>
      <c r="C403" s="242"/>
      <c r="D403" s="265"/>
      <c r="E403" s="244"/>
      <c r="F403" s="244"/>
      <c r="G403" s="244"/>
      <c r="H403" s="242"/>
      <c r="I403" s="265"/>
      <c r="J403" s="265"/>
      <c r="K403" s="265"/>
      <c r="L403" s="244"/>
      <c r="M403" s="242"/>
      <c r="N403" s="242"/>
      <c r="O403" s="242"/>
      <c r="P403" s="242"/>
      <c r="Q403" s="265"/>
      <c r="R403" s="265"/>
      <c r="S403" s="265"/>
      <c r="T403" s="265"/>
      <c r="U403" s="265"/>
      <c r="V403" s="265"/>
      <c r="W403" s="265"/>
      <c r="X403" s="265"/>
      <c r="Y403" s="265"/>
      <c r="Z403" s="265"/>
      <c r="AA403" s="265"/>
      <c r="AB403" s="265"/>
      <c r="AC403" s="265"/>
      <c r="AD403" s="265"/>
      <c r="AE403" s="265"/>
      <c r="AF403" s="265"/>
      <c r="AG403" s="265"/>
      <c r="AH403" s="265"/>
      <c r="AI403" s="265"/>
      <c r="AJ403" s="265"/>
      <c r="AK403" s="265"/>
      <c r="AL403" s="265"/>
      <c r="AM403" s="244"/>
    </row>
    <row r="404" spans="1:39" ht="18" customHeight="1" x14ac:dyDescent="0.15">
      <c r="A404" s="242"/>
      <c r="B404" s="244"/>
      <c r="C404" s="242"/>
      <c r="D404" s="265"/>
      <c r="E404" s="244"/>
      <c r="F404" s="244"/>
      <c r="G404" s="244"/>
      <c r="H404" s="242"/>
      <c r="I404" s="265"/>
      <c r="J404" s="265"/>
      <c r="K404" s="265"/>
      <c r="L404" s="244"/>
      <c r="M404" s="242"/>
      <c r="N404" s="242"/>
      <c r="O404" s="242"/>
      <c r="P404" s="242"/>
      <c r="Q404" s="265"/>
      <c r="R404" s="265"/>
      <c r="S404" s="265"/>
      <c r="T404" s="265"/>
      <c r="U404" s="265"/>
      <c r="V404" s="265"/>
      <c r="W404" s="265"/>
      <c r="X404" s="265"/>
      <c r="Y404" s="265"/>
      <c r="Z404" s="265"/>
      <c r="AA404" s="265"/>
      <c r="AB404" s="265"/>
      <c r="AC404" s="265"/>
      <c r="AD404" s="265"/>
      <c r="AE404" s="265"/>
      <c r="AF404" s="265"/>
      <c r="AG404" s="265"/>
      <c r="AH404" s="265"/>
      <c r="AI404" s="265"/>
      <c r="AJ404" s="265"/>
      <c r="AK404" s="265"/>
      <c r="AL404" s="265"/>
      <c r="AM404" s="244"/>
    </row>
    <row r="405" spans="1:39" ht="18" customHeight="1" x14ac:dyDescent="0.15">
      <c r="A405" s="242"/>
      <c r="B405" s="244"/>
      <c r="C405" s="242"/>
      <c r="D405" s="265"/>
      <c r="E405" s="244"/>
      <c r="F405" s="244"/>
      <c r="G405" s="244"/>
      <c r="H405" s="242"/>
      <c r="I405" s="265"/>
      <c r="J405" s="265"/>
      <c r="K405" s="265"/>
      <c r="L405" s="244"/>
      <c r="M405" s="242"/>
      <c r="N405" s="242"/>
      <c r="O405" s="242"/>
      <c r="P405" s="242"/>
      <c r="Q405" s="265"/>
      <c r="R405" s="265"/>
      <c r="S405" s="265"/>
      <c r="T405" s="265"/>
      <c r="U405" s="265"/>
      <c r="V405" s="265"/>
      <c r="W405" s="265"/>
      <c r="X405" s="265"/>
      <c r="Y405" s="265"/>
      <c r="Z405" s="265"/>
      <c r="AA405" s="265"/>
      <c r="AB405" s="265"/>
      <c r="AC405" s="265"/>
      <c r="AD405" s="265"/>
      <c r="AE405" s="265"/>
      <c r="AF405" s="265"/>
      <c r="AG405" s="265"/>
      <c r="AH405" s="265"/>
      <c r="AI405" s="265"/>
      <c r="AJ405" s="265"/>
      <c r="AK405" s="265"/>
      <c r="AL405" s="265"/>
      <c r="AM405" s="244"/>
    </row>
    <row r="406" spans="1:39" ht="18" customHeight="1" x14ac:dyDescent="0.15">
      <c r="A406" s="242"/>
      <c r="B406" s="244"/>
      <c r="C406" s="242"/>
      <c r="D406" s="265"/>
      <c r="E406" s="244"/>
      <c r="F406" s="244"/>
      <c r="G406" s="244"/>
      <c r="H406" s="242"/>
      <c r="I406" s="265"/>
      <c r="J406" s="265"/>
      <c r="K406" s="265"/>
      <c r="L406" s="244"/>
      <c r="M406" s="242"/>
      <c r="N406" s="242"/>
      <c r="O406" s="242"/>
      <c r="P406" s="242"/>
      <c r="Q406" s="265"/>
      <c r="R406" s="265"/>
      <c r="S406" s="265"/>
      <c r="T406" s="265"/>
      <c r="U406" s="265"/>
      <c r="V406" s="265"/>
      <c r="W406" s="265"/>
      <c r="X406" s="265"/>
      <c r="Y406" s="265"/>
      <c r="Z406" s="265"/>
      <c r="AA406" s="265"/>
      <c r="AB406" s="265"/>
      <c r="AC406" s="265"/>
      <c r="AD406" s="265"/>
      <c r="AE406" s="265"/>
      <c r="AF406" s="265"/>
      <c r="AG406" s="265"/>
      <c r="AH406" s="265"/>
      <c r="AI406" s="265"/>
      <c r="AJ406" s="265"/>
      <c r="AK406" s="265"/>
      <c r="AL406" s="265"/>
      <c r="AM406" s="244"/>
    </row>
    <row r="407" spans="1:39" ht="18" customHeight="1" x14ac:dyDescent="0.15">
      <c r="A407" s="242"/>
      <c r="B407" s="244"/>
      <c r="C407" s="242"/>
      <c r="D407" s="265"/>
      <c r="E407" s="244"/>
      <c r="F407" s="244"/>
      <c r="G407" s="244"/>
      <c r="H407" s="242"/>
      <c r="I407" s="265"/>
      <c r="J407" s="265"/>
      <c r="K407" s="265"/>
      <c r="L407" s="244"/>
      <c r="M407" s="242"/>
      <c r="N407" s="242"/>
      <c r="O407" s="242"/>
      <c r="P407" s="242"/>
      <c r="Q407" s="265"/>
      <c r="R407" s="265"/>
      <c r="S407" s="265"/>
      <c r="T407" s="265"/>
      <c r="U407" s="265"/>
      <c r="V407" s="265"/>
      <c r="W407" s="265"/>
      <c r="X407" s="265"/>
      <c r="Y407" s="265"/>
      <c r="Z407" s="265"/>
      <c r="AA407" s="265"/>
      <c r="AB407" s="265"/>
      <c r="AC407" s="265"/>
      <c r="AD407" s="265"/>
      <c r="AE407" s="265"/>
      <c r="AF407" s="265"/>
      <c r="AG407" s="265"/>
      <c r="AH407" s="265"/>
      <c r="AI407" s="265"/>
      <c r="AJ407" s="265"/>
      <c r="AK407" s="265"/>
      <c r="AL407" s="265"/>
      <c r="AM407" s="244"/>
    </row>
    <row r="408" spans="1:39" ht="18" customHeight="1" x14ac:dyDescent="0.15">
      <c r="A408" s="242"/>
      <c r="B408" s="244"/>
      <c r="C408" s="242"/>
      <c r="D408" s="265"/>
      <c r="E408" s="244"/>
      <c r="F408" s="244"/>
      <c r="G408" s="244"/>
      <c r="H408" s="242"/>
      <c r="I408" s="265"/>
      <c r="J408" s="265"/>
      <c r="K408" s="265"/>
      <c r="L408" s="244"/>
      <c r="M408" s="242"/>
      <c r="N408" s="242"/>
      <c r="O408" s="242"/>
      <c r="P408" s="242"/>
      <c r="Q408" s="265"/>
      <c r="R408" s="265"/>
      <c r="S408" s="265"/>
      <c r="T408" s="265"/>
      <c r="U408" s="265"/>
      <c r="V408" s="265"/>
      <c r="W408" s="265"/>
      <c r="X408" s="265"/>
      <c r="Y408" s="265"/>
      <c r="Z408" s="265"/>
      <c r="AA408" s="265"/>
      <c r="AB408" s="265"/>
      <c r="AC408" s="265"/>
      <c r="AD408" s="265"/>
      <c r="AE408" s="265"/>
      <c r="AF408" s="265"/>
      <c r="AG408" s="265"/>
      <c r="AH408" s="265"/>
      <c r="AI408" s="265"/>
      <c r="AJ408" s="265"/>
      <c r="AK408" s="265"/>
      <c r="AL408" s="265"/>
      <c r="AM408" s="244"/>
    </row>
    <row r="409" spans="1:39" ht="18" customHeight="1" x14ac:dyDescent="0.15">
      <c r="A409" s="242"/>
      <c r="B409" s="244"/>
      <c r="C409" s="242"/>
      <c r="D409" s="265"/>
      <c r="E409" s="244"/>
      <c r="F409" s="244"/>
      <c r="G409" s="244"/>
      <c r="H409" s="242"/>
      <c r="I409" s="265"/>
      <c r="J409" s="265"/>
      <c r="K409" s="265"/>
      <c r="L409" s="244"/>
      <c r="M409" s="242"/>
      <c r="N409" s="242"/>
      <c r="O409" s="242"/>
      <c r="P409" s="242"/>
      <c r="Q409" s="265"/>
      <c r="R409" s="265"/>
      <c r="S409" s="265"/>
      <c r="T409" s="265"/>
      <c r="U409" s="265"/>
      <c r="V409" s="265"/>
      <c r="W409" s="265"/>
      <c r="X409" s="265"/>
      <c r="Y409" s="265"/>
      <c r="Z409" s="265"/>
      <c r="AA409" s="265"/>
      <c r="AB409" s="265"/>
      <c r="AC409" s="265"/>
      <c r="AD409" s="265"/>
      <c r="AE409" s="265"/>
      <c r="AF409" s="265"/>
      <c r="AG409" s="265"/>
      <c r="AH409" s="265"/>
      <c r="AI409" s="265"/>
      <c r="AJ409" s="265"/>
      <c r="AK409" s="265"/>
      <c r="AL409" s="265"/>
      <c r="AM409" s="244"/>
    </row>
    <row r="410" spans="1:39" ht="18" customHeight="1" x14ac:dyDescent="0.15">
      <c r="A410" s="242"/>
      <c r="B410" s="244"/>
      <c r="C410" s="242"/>
      <c r="D410" s="265"/>
      <c r="E410" s="244"/>
      <c r="F410" s="244"/>
      <c r="G410" s="244"/>
      <c r="H410" s="242"/>
      <c r="I410" s="265"/>
      <c r="J410" s="265"/>
      <c r="K410" s="265"/>
      <c r="L410" s="244"/>
      <c r="M410" s="242"/>
      <c r="N410" s="242"/>
      <c r="O410" s="242"/>
      <c r="P410" s="242"/>
      <c r="Q410" s="265"/>
      <c r="R410" s="265"/>
      <c r="S410" s="265"/>
      <c r="T410" s="265"/>
      <c r="U410" s="265"/>
      <c r="V410" s="265"/>
      <c r="W410" s="265"/>
      <c r="X410" s="265"/>
      <c r="Y410" s="265"/>
      <c r="Z410" s="265"/>
      <c r="AA410" s="265"/>
      <c r="AB410" s="265"/>
      <c r="AC410" s="265"/>
      <c r="AD410" s="265"/>
      <c r="AE410" s="265"/>
      <c r="AF410" s="265"/>
      <c r="AG410" s="265"/>
      <c r="AH410" s="265"/>
      <c r="AI410" s="265"/>
      <c r="AJ410" s="265"/>
      <c r="AK410" s="265"/>
      <c r="AL410" s="265"/>
      <c r="AM410" s="244"/>
    </row>
    <row r="411" spans="1:39" ht="18" customHeight="1" x14ac:dyDescent="0.15">
      <c r="A411" s="242"/>
      <c r="B411" s="244"/>
      <c r="C411" s="242"/>
      <c r="D411" s="265"/>
      <c r="E411" s="244"/>
      <c r="F411" s="244"/>
      <c r="G411" s="244"/>
      <c r="H411" s="242"/>
      <c r="I411" s="265"/>
      <c r="J411" s="265"/>
      <c r="K411" s="265"/>
      <c r="L411" s="244"/>
      <c r="M411" s="242"/>
      <c r="N411" s="242"/>
      <c r="O411" s="242"/>
      <c r="P411" s="242"/>
      <c r="Q411" s="265"/>
      <c r="R411" s="265"/>
      <c r="S411" s="265"/>
      <c r="T411" s="265"/>
      <c r="U411" s="265"/>
      <c r="V411" s="265"/>
      <c r="W411" s="265"/>
      <c r="X411" s="265"/>
      <c r="Y411" s="265"/>
      <c r="Z411" s="265"/>
      <c r="AA411" s="265"/>
      <c r="AB411" s="265"/>
      <c r="AC411" s="265"/>
      <c r="AD411" s="265"/>
      <c r="AE411" s="265"/>
      <c r="AF411" s="265"/>
      <c r="AG411" s="265"/>
      <c r="AH411" s="265"/>
      <c r="AI411" s="265"/>
      <c r="AJ411" s="265"/>
      <c r="AK411" s="265"/>
      <c r="AL411" s="265"/>
      <c r="AM411" s="244"/>
    </row>
    <row r="412" spans="1:39" ht="18" customHeight="1" x14ac:dyDescent="0.15">
      <c r="A412" s="242"/>
      <c r="B412" s="244"/>
      <c r="C412" s="242"/>
      <c r="D412" s="265"/>
      <c r="E412" s="244"/>
      <c r="F412" s="244"/>
      <c r="G412" s="244"/>
      <c r="H412" s="242"/>
      <c r="I412" s="265"/>
      <c r="J412" s="265"/>
      <c r="K412" s="265"/>
      <c r="L412" s="244"/>
      <c r="M412" s="242"/>
      <c r="N412" s="242"/>
      <c r="O412" s="242"/>
      <c r="P412" s="242"/>
      <c r="Q412" s="265"/>
      <c r="R412" s="265"/>
      <c r="S412" s="265"/>
      <c r="T412" s="265"/>
      <c r="U412" s="265"/>
      <c r="V412" s="265"/>
      <c r="W412" s="265"/>
      <c r="X412" s="265"/>
      <c r="Y412" s="265"/>
      <c r="Z412" s="265"/>
      <c r="AA412" s="265"/>
      <c r="AB412" s="265"/>
      <c r="AC412" s="265"/>
      <c r="AD412" s="265"/>
      <c r="AE412" s="265"/>
      <c r="AF412" s="265"/>
      <c r="AG412" s="265"/>
      <c r="AH412" s="265"/>
      <c r="AI412" s="265"/>
      <c r="AJ412" s="265"/>
      <c r="AK412" s="265"/>
      <c r="AL412" s="265"/>
      <c r="AM412" s="244"/>
    </row>
    <row r="413" spans="1:39" ht="18" customHeight="1" x14ac:dyDescent="0.15">
      <c r="A413" s="242"/>
      <c r="B413" s="244"/>
      <c r="C413" s="242"/>
      <c r="D413" s="265"/>
      <c r="E413" s="244"/>
      <c r="F413" s="244"/>
      <c r="G413" s="244"/>
      <c r="H413" s="242"/>
      <c r="I413" s="265"/>
      <c r="J413" s="265"/>
      <c r="K413" s="265"/>
      <c r="L413" s="244"/>
      <c r="M413" s="242"/>
      <c r="N413" s="242"/>
      <c r="O413" s="242"/>
      <c r="P413" s="242"/>
      <c r="Q413" s="265"/>
      <c r="R413" s="265"/>
      <c r="S413" s="265"/>
      <c r="T413" s="265"/>
      <c r="U413" s="265"/>
      <c r="V413" s="265"/>
      <c r="W413" s="265"/>
      <c r="X413" s="265"/>
      <c r="Y413" s="265"/>
      <c r="Z413" s="265"/>
      <c r="AA413" s="265"/>
      <c r="AB413" s="265"/>
      <c r="AC413" s="265"/>
      <c r="AD413" s="265"/>
      <c r="AE413" s="265"/>
      <c r="AF413" s="265"/>
      <c r="AG413" s="265"/>
      <c r="AH413" s="265"/>
      <c r="AI413" s="265"/>
      <c r="AJ413" s="265"/>
      <c r="AK413" s="265"/>
      <c r="AL413" s="265"/>
      <c r="AM413" s="244"/>
    </row>
    <row r="414" spans="1:39" ht="18" customHeight="1" x14ac:dyDescent="0.15">
      <c r="A414" s="242"/>
      <c r="B414" s="244"/>
      <c r="C414" s="242"/>
      <c r="D414" s="265"/>
      <c r="E414" s="244"/>
      <c r="F414" s="244"/>
      <c r="G414" s="244"/>
      <c r="H414" s="242"/>
      <c r="I414" s="265"/>
      <c r="J414" s="265"/>
      <c r="K414" s="265"/>
      <c r="L414" s="244"/>
      <c r="M414" s="242"/>
      <c r="N414" s="242"/>
      <c r="O414" s="242"/>
      <c r="P414" s="242"/>
      <c r="Q414" s="265"/>
      <c r="R414" s="265"/>
      <c r="S414" s="265"/>
      <c r="T414" s="265"/>
      <c r="U414" s="265"/>
      <c r="V414" s="265"/>
      <c r="W414" s="265"/>
      <c r="X414" s="265"/>
      <c r="Y414" s="265"/>
      <c r="Z414" s="265"/>
      <c r="AA414" s="265"/>
      <c r="AB414" s="265"/>
      <c r="AC414" s="265"/>
      <c r="AD414" s="265"/>
      <c r="AE414" s="265"/>
      <c r="AF414" s="265"/>
      <c r="AG414" s="265"/>
      <c r="AH414" s="265"/>
      <c r="AI414" s="265"/>
      <c r="AJ414" s="265"/>
      <c r="AK414" s="265"/>
      <c r="AL414" s="265"/>
      <c r="AM414" s="244"/>
    </row>
    <row r="415" spans="1:39" ht="18" customHeight="1" x14ac:dyDescent="0.15">
      <c r="A415" s="242"/>
      <c r="B415" s="244"/>
      <c r="C415" s="242"/>
      <c r="D415" s="265"/>
      <c r="E415" s="244"/>
      <c r="F415" s="244"/>
      <c r="G415" s="244"/>
      <c r="H415" s="242"/>
      <c r="I415" s="265"/>
      <c r="J415" s="265"/>
      <c r="K415" s="265"/>
      <c r="L415" s="244"/>
      <c r="M415" s="242"/>
      <c r="N415" s="242"/>
      <c r="O415" s="242"/>
      <c r="P415" s="242"/>
      <c r="Q415" s="265"/>
      <c r="R415" s="265"/>
      <c r="S415" s="265"/>
      <c r="T415" s="265"/>
      <c r="U415" s="265"/>
      <c r="V415" s="265"/>
      <c r="W415" s="265"/>
      <c r="X415" s="265"/>
      <c r="Y415" s="265"/>
      <c r="Z415" s="265"/>
      <c r="AA415" s="265"/>
      <c r="AB415" s="265"/>
      <c r="AC415" s="265"/>
      <c r="AD415" s="265"/>
      <c r="AE415" s="265"/>
      <c r="AF415" s="265"/>
      <c r="AG415" s="265"/>
      <c r="AH415" s="265"/>
      <c r="AI415" s="265"/>
      <c r="AJ415" s="265"/>
      <c r="AK415" s="265"/>
      <c r="AL415" s="265"/>
      <c r="AM415" s="244"/>
    </row>
    <row r="416" spans="1:39" ht="18" customHeight="1" x14ac:dyDescent="0.15">
      <c r="A416" s="242"/>
      <c r="B416" s="244"/>
      <c r="C416" s="242"/>
      <c r="D416" s="265"/>
      <c r="E416" s="244"/>
      <c r="F416" s="244"/>
      <c r="G416" s="244"/>
      <c r="H416" s="242"/>
      <c r="I416" s="265"/>
      <c r="J416" s="265"/>
      <c r="K416" s="265"/>
      <c r="L416" s="244"/>
      <c r="M416" s="242"/>
      <c r="N416" s="242"/>
      <c r="O416" s="242"/>
      <c r="P416" s="242"/>
      <c r="Q416" s="265"/>
      <c r="R416" s="265"/>
      <c r="S416" s="265"/>
      <c r="T416" s="265"/>
      <c r="U416" s="265"/>
      <c r="V416" s="265"/>
      <c r="W416" s="265"/>
      <c r="X416" s="265"/>
      <c r="Y416" s="265"/>
      <c r="Z416" s="265"/>
      <c r="AA416" s="265"/>
      <c r="AB416" s="265"/>
      <c r="AC416" s="265"/>
      <c r="AD416" s="265"/>
      <c r="AE416" s="265"/>
      <c r="AF416" s="265"/>
      <c r="AG416" s="265"/>
      <c r="AH416" s="265"/>
      <c r="AI416" s="265"/>
      <c r="AJ416" s="265"/>
      <c r="AK416" s="265"/>
      <c r="AL416" s="265"/>
      <c r="AM416" s="244"/>
    </row>
    <row r="417" spans="1:39" ht="18" customHeight="1" x14ac:dyDescent="0.15">
      <c r="A417" s="242"/>
      <c r="B417" s="244"/>
      <c r="C417" s="242"/>
      <c r="D417" s="265"/>
      <c r="E417" s="244"/>
      <c r="F417" s="244"/>
      <c r="G417" s="244"/>
      <c r="H417" s="242"/>
      <c r="I417" s="265"/>
      <c r="J417" s="265"/>
      <c r="K417" s="265"/>
      <c r="L417" s="244"/>
      <c r="M417" s="242"/>
      <c r="N417" s="242"/>
      <c r="O417" s="242"/>
      <c r="P417" s="242"/>
      <c r="Q417" s="265"/>
      <c r="R417" s="265"/>
      <c r="S417" s="265"/>
      <c r="T417" s="265"/>
      <c r="U417" s="265"/>
      <c r="V417" s="265"/>
      <c r="W417" s="265"/>
      <c r="X417" s="265"/>
      <c r="Y417" s="265"/>
      <c r="Z417" s="265"/>
      <c r="AA417" s="265"/>
      <c r="AB417" s="265"/>
      <c r="AC417" s="265"/>
      <c r="AD417" s="265"/>
      <c r="AE417" s="265"/>
      <c r="AF417" s="265"/>
      <c r="AG417" s="265"/>
      <c r="AH417" s="265"/>
      <c r="AI417" s="265"/>
      <c r="AJ417" s="265"/>
      <c r="AK417" s="265"/>
      <c r="AL417" s="265"/>
      <c r="AM417" s="244"/>
    </row>
    <row r="418" spans="1:39" ht="18" customHeight="1" x14ac:dyDescent="0.15">
      <c r="A418" s="242"/>
      <c r="B418" s="244"/>
      <c r="C418" s="242"/>
      <c r="D418" s="265"/>
      <c r="E418" s="244"/>
      <c r="F418" s="244"/>
      <c r="G418" s="244"/>
      <c r="H418" s="242"/>
      <c r="I418" s="265"/>
      <c r="J418" s="265"/>
      <c r="K418" s="265"/>
      <c r="L418" s="244"/>
      <c r="M418" s="242"/>
      <c r="N418" s="242"/>
      <c r="O418" s="242"/>
      <c r="P418" s="242"/>
      <c r="Q418" s="265"/>
      <c r="R418" s="265"/>
      <c r="S418" s="265"/>
      <c r="T418" s="265"/>
      <c r="U418" s="265"/>
      <c r="V418" s="265"/>
      <c r="W418" s="265"/>
      <c r="X418" s="265"/>
      <c r="Y418" s="265"/>
      <c r="Z418" s="265"/>
      <c r="AA418" s="265"/>
      <c r="AB418" s="265"/>
      <c r="AC418" s="265"/>
      <c r="AD418" s="265"/>
      <c r="AE418" s="265"/>
      <c r="AF418" s="265"/>
      <c r="AG418" s="265"/>
      <c r="AH418" s="265"/>
      <c r="AI418" s="265"/>
      <c r="AJ418" s="265"/>
      <c r="AK418" s="265"/>
      <c r="AL418" s="265"/>
      <c r="AM418" s="244"/>
    </row>
    <row r="419" spans="1:39" ht="18" customHeight="1" x14ac:dyDescent="0.15">
      <c r="A419" s="242"/>
      <c r="B419" s="244"/>
      <c r="C419" s="242"/>
      <c r="D419" s="265"/>
      <c r="E419" s="244"/>
      <c r="F419" s="244"/>
      <c r="G419" s="244"/>
      <c r="H419" s="242"/>
      <c r="I419" s="265"/>
      <c r="J419" s="265"/>
      <c r="K419" s="265"/>
      <c r="L419" s="244"/>
      <c r="M419" s="242"/>
      <c r="N419" s="242"/>
      <c r="O419" s="242"/>
      <c r="P419" s="242"/>
      <c r="Q419" s="265"/>
      <c r="R419" s="265"/>
      <c r="S419" s="265"/>
      <c r="T419" s="265"/>
      <c r="U419" s="265"/>
      <c r="V419" s="265"/>
      <c r="W419" s="265"/>
      <c r="X419" s="265"/>
      <c r="Y419" s="265"/>
      <c r="Z419" s="265"/>
      <c r="AA419" s="265"/>
      <c r="AB419" s="265"/>
      <c r="AC419" s="265"/>
      <c r="AD419" s="265"/>
      <c r="AE419" s="265"/>
      <c r="AF419" s="265"/>
      <c r="AG419" s="265"/>
      <c r="AH419" s="265"/>
      <c r="AI419" s="265"/>
      <c r="AJ419" s="265"/>
      <c r="AK419" s="265"/>
      <c r="AL419" s="265"/>
      <c r="AM419" s="244"/>
    </row>
    <row r="420" spans="1:39" ht="18" customHeight="1" x14ac:dyDescent="0.15">
      <c r="A420" s="242"/>
      <c r="B420" s="244"/>
      <c r="C420" s="242"/>
      <c r="D420" s="265"/>
      <c r="E420" s="244"/>
      <c r="F420" s="244"/>
      <c r="G420" s="244"/>
      <c r="H420" s="242"/>
      <c r="I420" s="265"/>
      <c r="J420" s="265"/>
      <c r="K420" s="265"/>
      <c r="L420" s="244"/>
      <c r="M420" s="242"/>
      <c r="N420" s="242"/>
      <c r="O420" s="242"/>
      <c r="P420" s="242"/>
      <c r="Q420" s="265"/>
      <c r="R420" s="265"/>
      <c r="S420" s="265"/>
      <c r="T420" s="265"/>
      <c r="U420" s="265"/>
      <c r="V420" s="265"/>
      <c r="W420" s="265"/>
      <c r="X420" s="265"/>
      <c r="Y420" s="265"/>
      <c r="Z420" s="265"/>
      <c r="AA420" s="265"/>
      <c r="AB420" s="265"/>
      <c r="AC420" s="265"/>
      <c r="AD420" s="265"/>
      <c r="AE420" s="265"/>
      <c r="AF420" s="265"/>
      <c r="AG420" s="265"/>
      <c r="AH420" s="265"/>
      <c r="AI420" s="265"/>
      <c r="AJ420" s="265"/>
      <c r="AK420" s="265"/>
      <c r="AL420" s="265"/>
      <c r="AM420" s="244"/>
    </row>
    <row r="421" spans="1:39" ht="18" customHeight="1" x14ac:dyDescent="0.15">
      <c r="A421" s="242"/>
      <c r="B421" s="244"/>
      <c r="C421" s="242"/>
      <c r="D421" s="265"/>
      <c r="E421" s="244"/>
      <c r="F421" s="244"/>
      <c r="G421" s="244"/>
      <c r="H421" s="242"/>
      <c r="I421" s="265"/>
      <c r="J421" s="265"/>
      <c r="K421" s="265"/>
      <c r="L421" s="244"/>
      <c r="M421" s="242"/>
      <c r="N421" s="242"/>
      <c r="O421" s="242"/>
      <c r="P421" s="242"/>
      <c r="Q421" s="265"/>
      <c r="R421" s="265"/>
      <c r="S421" s="265"/>
      <c r="T421" s="265"/>
      <c r="U421" s="265"/>
      <c r="V421" s="265"/>
      <c r="W421" s="265"/>
      <c r="X421" s="265"/>
      <c r="Y421" s="265"/>
      <c r="Z421" s="265"/>
      <c r="AA421" s="265"/>
      <c r="AB421" s="265"/>
      <c r="AC421" s="265"/>
      <c r="AD421" s="265"/>
      <c r="AE421" s="265"/>
      <c r="AF421" s="265"/>
      <c r="AG421" s="265"/>
      <c r="AH421" s="265"/>
      <c r="AI421" s="265"/>
      <c r="AJ421" s="265"/>
      <c r="AK421" s="265"/>
      <c r="AL421" s="265"/>
      <c r="AM421" s="244"/>
    </row>
    <row r="422" spans="1:39" ht="18" customHeight="1" x14ac:dyDescent="0.15">
      <c r="A422" s="242"/>
      <c r="B422" s="244"/>
      <c r="C422" s="242"/>
      <c r="D422" s="265"/>
      <c r="E422" s="244"/>
      <c r="F422" s="244"/>
      <c r="G422" s="244"/>
      <c r="H422" s="242"/>
      <c r="I422" s="265"/>
      <c r="J422" s="265"/>
      <c r="K422" s="265"/>
      <c r="L422" s="244"/>
      <c r="M422" s="242"/>
      <c r="N422" s="242"/>
      <c r="O422" s="242"/>
      <c r="P422" s="242"/>
      <c r="Q422" s="265"/>
      <c r="R422" s="265"/>
      <c r="S422" s="265"/>
      <c r="T422" s="265"/>
      <c r="U422" s="265"/>
      <c r="V422" s="265"/>
      <c r="W422" s="265"/>
      <c r="X422" s="265"/>
      <c r="Y422" s="265"/>
      <c r="Z422" s="265"/>
      <c r="AA422" s="265"/>
      <c r="AB422" s="265"/>
      <c r="AC422" s="265"/>
      <c r="AD422" s="265"/>
      <c r="AE422" s="265"/>
      <c r="AF422" s="265"/>
      <c r="AG422" s="265"/>
      <c r="AH422" s="265"/>
      <c r="AI422" s="265"/>
      <c r="AJ422" s="265"/>
      <c r="AK422" s="265"/>
      <c r="AL422" s="265"/>
      <c r="AM422" s="244"/>
    </row>
    <row r="423" spans="1:39" ht="18" customHeight="1" x14ac:dyDescent="0.15">
      <c r="A423" s="242"/>
      <c r="B423" s="244"/>
      <c r="C423" s="242"/>
      <c r="D423" s="265"/>
      <c r="E423" s="244"/>
      <c r="F423" s="244"/>
      <c r="G423" s="244"/>
      <c r="H423" s="242"/>
      <c r="I423" s="265"/>
      <c r="J423" s="265"/>
      <c r="K423" s="265"/>
      <c r="L423" s="244"/>
      <c r="M423" s="242"/>
      <c r="N423" s="242"/>
      <c r="O423" s="242"/>
      <c r="P423" s="242"/>
      <c r="Q423" s="265"/>
      <c r="R423" s="265"/>
      <c r="S423" s="265"/>
      <c r="T423" s="265"/>
      <c r="U423" s="265"/>
      <c r="V423" s="265"/>
      <c r="W423" s="265"/>
      <c r="X423" s="265"/>
      <c r="Y423" s="265"/>
      <c r="Z423" s="265"/>
      <c r="AA423" s="265"/>
      <c r="AB423" s="265"/>
      <c r="AC423" s="265"/>
      <c r="AD423" s="265"/>
      <c r="AE423" s="265"/>
      <c r="AF423" s="265"/>
      <c r="AG423" s="265"/>
      <c r="AH423" s="265"/>
      <c r="AI423" s="265"/>
      <c r="AJ423" s="265"/>
      <c r="AK423" s="265"/>
      <c r="AL423" s="265"/>
      <c r="AM423" s="244"/>
    </row>
    <row r="424" spans="1:39" ht="18" customHeight="1" x14ac:dyDescent="0.15">
      <c r="A424" s="242"/>
      <c r="B424" s="244"/>
      <c r="C424" s="242"/>
      <c r="D424" s="265"/>
      <c r="E424" s="244"/>
      <c r="F424" s="244"/>
      <c r="G424" s="244"/>
      <c r="H424" s="242"/>
      <c r="I424" s="265"/>
      <c r="J424" s="265"/>
      <c r="K424" s="265"/>
      <c r="L424" s="244"/>
      <c r="M424" s="242"/>
      <c r="N424" s="242"/>
      <c r="O424" s="242"/>
      <c r="P424" s="242"/>
      <c r="Q424" s="265"/>
      <c r="R424" s="265"/>
      <c r="S424" s="265"/>
      <c r="T424" s="265"/>
      <c r="U424" s="265"/>
      <c r="V424" s="265"/>
      <c r="W424" s="265"/>
      <c r="X424" s="265"/>
      <c r="Y424" s="265"/>
      <c r="Z424" s="265"/>
      <c r="AA424" s="265"/>
      <c r="AB424" s="265"/>
      <c r="AC424" s="265"/>
      <c r="AD424" s="265"/>
      <c r="AE424" s="265"/>
      <c r="AF424" s="265"/>
      <c r="AG424" s="265"/>
      <c r="AH424" s="265"/>
      <c r="AI424" s="265"/>
      <c r="AJ424" s="265"/>
      <c r="AK424" s="265"/>
      <c r="AL424" s="265"/>
      <c r="AM424" s="244"/>
    </row>
    <row r="425" spans="1:39" ht="18" customHeight="1" x14ac:dyDescent="0.15">
      <c r="A425" s="242"/>
      <c r="B425" s="244"/>
      <c r="C425" s="242"/>
      <c r="D425" s="265"/>
      <c r="E425" s="244"/>
      <c r="F425" s="244"/>
      <c r="G425" s="244"/>
      <c r="H425" s="242"/>
      <c r="I425" s="265"/>
      <c r="J425" s="265"/>
      <c r="K425" s="265"/>
      <c r="L425" s="244"/>
      <c r="M425" s="242"/>
      <c r="N425" s="242"/>
      <c r="O425" s="242"/>
      <c r="P425" s="242"/>
      <c r="Q425" s="265"/>
      <c r="R425" s="265"/>
      <c r="S425" s="265"/>
      <c r="T425" s="265"/>
      <c r="U425" s="265"/>
      <c r="V425" s="265"/>
      <c r="W425" s="265"/>
      <c r="X425" s="265"/>
      <c r="Y425" s="265"/>
      <c r="Z425" s="265"/>
      <c r="AA425" s="265"/>
      <c r="AB425" s="265"/>
      <c r="AC425" s="265"/>
      <c r="AD425" s="265"/>
      <c r="AE425" s="265"/>
      <c r="AF425" s="265"/>
      <c r="AG425" s="265"/>
      <c r="AH425" s="265"/>
      <c r="AI425" s="265"/>
      <c r="AJ425" s="265"/>
      <c r="AK425" s="265"/>
      <c r="AL425" s="265"/>
      <c r="AM425" s="244"/>
    </row>
    <row r="426" spans="1:39" ht="18" customHeight="1" x14ac:dyDescent="0.15">
      <c r="A426" s="242"/>
      <c r="B426" s="244"/>
      <c r="C426" s="242"/>
      <c r="D426" s="265"/>
      <c r="E426" s="244"/>
      <c r="F426" s="244"/>
      <c r="G426" s="244"/>
      <c r="H426" s="242"/>
      <c r="I426" s="265"/>
      <c r="J426" s="265"/>
      <c r="K426" s="265"/>
      <c r="L426" s="244"/>
      <c r="M426" s="242"/>
      <c r="N426" s="242"/>
      <c r="O426" s="242"/>
      <c r="P426" s="242"/>
      <c r="Q426" s="265"/>
      <c r="R426" s="265"/>
      <c r="S426" s="265"/>
      <c r="T426" s="265"/>
      <c r="U426" s="265"/>
      <c r="V426" s="265"/>
      <c r="W426" s="265"/>
      <c r="X426" s="265"/>
      <c r="Y426" s="265"/>
      <c r="Z426" s="265"/>
      <c r="AA426" s="265"/>
      <c r="AB426" s="265"/>
      <c r="AC426" s="265"/>
      <c r="AD426" s="265"/>
      <c r="AE426" s="265"/>
      <c r="AF426" s="265"/>
      <c r="AG426" s="265"/>
      <c r="AH426" s="265"/>
      <c r="AI426" s="265"/>
      <c r="AJ426" s="265"/>
      <c r="AK426" s="265"/>
      <c r="AL426" s="265"/>
      <c r="AM426" s="244"/>
    </row>
    <row r="427" spans="1:39" ht="18" customHeight="1" x14ac:dyDescent="0.15">
      <c r="A427" s="242"/>
      <c r="B427" s="244"/>
      <c r="C427" s="242"/>
      <c r="D427" s="265"/>
      <c r="E427" s="244"/>
      <c r="F427" s="244"/>
      <c r="G427" s="244"/>
      <c r="H427" s="242"/>
      <c r="I427" s="265"/>
      <c r="J427" s="265"/>
      <c r="K427" s="265"/>
      <c r="L427" s="244"/>
      <c r="M427" s="242"/>
      <c r="N427" s="242"/>
      <c r="O427" s="242"/>
      <c r="P427" s="242"/>
      <c r="Q427" s="265"/>
      <c r="R427" s="265"/>
      <c r="S427" s="265"/>
      <c r="T427" s="265"/>
      <c r="U427" s="265"/>
      <c r="V427" s="265"/>
      <c r="W427" s="265"/>
      <c r="X427" s="265"/>
      <c r="Y427" s="265"/>
      <c r="Z427" s="265"/>
      <c r="AA427" s="265"/>
      <c r="AB427" s="265"/>
      <c r="AC427" s="265"/>
      <c r="AD427" s="265"/>
      <c r="AE427" s="265"/>
      <c r="AF427" s="265"/>
      <c r="AG427" s="265"/>
      <c r="AH427" s="265"/>
      <c r="AI427" s="265"/>
      <c r="AJ427" s="265"/>
      <c r="AK427" s="265"/>
      <c r="AL427" s="265"/>
      <c r="AM427" s="244"/>
    </row>
    <row r="428" spans="1:39" ht="18" customHeight="1" x14ac:dyDescent="0.15">
      <c r="A428" s="242"/>
      <c r="B428" s="244"/>
      <c r="C428" s="242"/>
      <c r="D428" s="265"/>
      <c r="E428" s="244"/>
      <c r="F428" s="244"/>
      <c r="G428" s="244"/>
      <c r="H428" s="242"/>
      <c r="I428" s="265"/>
      <c r="J428" s="265"/>
      <c r="K428" s="265"/>
      <c r="L428" s="244"/>
      <c r="M428" s="242"/>
      <c r="N428" s="242"/>
      <c r="O428" s="242"/>
      <c r="P428" s="242"/>
      <c r="Q428" s="265"/>
      <c r="R428" s="265"/>
      <c r="S428" s="265"/>
      <c r="T428" s="265"/>
      <c r="U428" s="265"/>
      <c r="V428" s="265"/>
      <c r="W428" s="265"/>
      <c r="X428" s="265"/>
      <c r="Y428" s="265"/>
      <c r="Z428" s="265"/>
      <c r="AA428" s="265"/>
      <c r="AB428" s="265"/>
      <c r="AC428" s="265"/>
      <c r="AD428" s="265"/>
      <c r="AE428" s="265"/>
      <c r="AF428" s="265"/>
      <c r="AG428" s="265"/>
      <c r="AH428" s="265"/>
      <c r="AI428" s="265"/>
      <c r="AJ428" s="265"/>
      <c r="AK428" s="265"/>
      <c r="AL428" s="265"/>
      <c r="AM428" s="244"/>
    </row>
    <row r="429" spans="1:39" ht="18" customHeight="1" x14ac:dyDescent="0.15">
      <c r="A429" s="242"/>
      <c r="B429" s="244"/>
      <c r="C429" s="242"/>
      <c r="D429" s="265"/>
      <c r="E429" s="244"/>
      <c r="F429" s="244"/>
      <c r="G429" s="244"/>
      <c r="H429" s="242"/>
      <c r="I429" s="265"/>
      <c r="J429" s="265"/>
      <c r="K429" s="265"/>
      <c r="L429" s="244"/>
      <c r="M429" s="242"/>
      <c r="N429" s="242"/>
      <c r="O429" s="242"/>
      <c r="P429" s="242"/>
      <c r="Q429" s="265"/>
      <c r="R429" s="265"/>
      <c r="S429" s="265"/>
      <c r="T429" s="265"/>
      <c r="U429" s="265"/>
      <c r="V429" s="265"/>
      <c r="W429" s="265"/>
      <c r="X429" s="265"/>
      <c r="Y429" s="265"/>
      <c r="Z429" s="265"/>
      <c r="AA429" s="265"/>
      <c r="AB429" s="265"/>
      <c r="AC429" s="265"/>
      <c r="AD429" s="265"/>
      <c r="AE429" s="265"/>
      <c r="AF429" s="265"/>
      <c r="AG429" s="265"/>
      <c r="AH429" s="265"/>
      <c r="AI429" s="265"/>
      <c r="AJ429" s="265"/>
      <c r="AK429" s="265"/>
      <c r="AL429" s="265"/>
      <c r="AM429" s="244"/>
    </row>
    <row r="430" spans="1:39" ht="18" customHeight="1" x14ac:dyDescent="0.15">
      <c r="A430" s="242"/>
      <c r="B430" s="244"/>
      <c r="C430" s="242"/>
      <c r="D430" s="265"/>
      <c r="E430" s="244"/>
      <c r="F430" s="244"/>
      <c r="G430" s="244"/>
      <c r="H430" s="242"/>
      <c r="I430" s="265"/>
      <c r="J430" s="265"/>
      <c r="K430" s="265"/>
      <c r="L430" s="244"/>
      <c r="M430" s="242"/>
      <c r="N430" s="242"/>
      <c r="O430" s="242"/>
      <c r="P430" s="242"/>
      <c r="Q430" s="265"/>
      <c r="R430" s="265"/>
      <c r="S430" s="265"/>
      <c r="T430" s="265"/>
      <c r="U430" s="265"/>
      <c r="V430" s="265"/>
      <c r="W430" s="265"/>
      <c r="X430" s="265"/>
      <c r="Y430" s="265"/>
      <c r="Z430" s="265"/>
      <c r="AA430" s="265"/>
      <c r="AB430" s="265"/>
      <c r="AC430" s="265"/>
      <c r="AD430" s="265"/>
      <c r="AE430" s="265"/>
      <c r="AF430" s="265"/>
      <c r="AG430" s="265"/>
      <c r="AH430" s="265"/>
      <c r="AI430" s="265"/>
      <c r="AJ430" s="265"/>
      <c r="AK430" s="265"/>
      <c r="AL430" s="265"/>
      <c r="AM430" s="244"/>
    </row>
    <row r="431" spans="1:39" ht="18" customHeight="1" x14ac:dyDescent="0.15">
      <c r="A431" s="242"/>
      <c r="B431" s="244"/>
      <c r="C431" s="242"/>
      <c r="D431" s="265"/>
      <c r="E431" s="244"/>
      <c r="F431" s="244"/>
      <c r="G431" s="244"/>
      <c r="H431" s="242"/>
      <c r="I431" s="265"/>
      <c r="J431" s="265"/>
      <c r="K431" s="265"/>
      <c r="L431" s="244"/>
      <c r="M431" s="242"/>
      <c r="N431" s="242"/>
      <c r="O431" s="242"/>
      <c r="P431" s="242"/>
      <c r="Q431" s="265"/>
      <c r="R431" s="265"/>
      <c r="S431" s="265"/>
      <c r="T431" s="265"/>
      <c r="U431" s="265"/>
      <c r="V431" s="265"/>
      <c r="W431" s="265"/>
      <c r="X431" s="265"/>
      <c r="Y431" s="265"/>
      <c r="Z431" s="265"/>
      <c r="AA431" s="265"/>
      <c r="AB431" s="265"/>
      <c r="AC431" s="265"/>
      <c r="AD431" s="265"/>
      <c r="AE431" s="265"/>
      <c r="AF431" s="265"/>
      <c r="AG431" s="265"/>
      <c r="AH431" s="265"/>
      <c r="AI431" s="265"/>
      <c r="AJ431" s="265"/>
      <c r="AK431" s="265"/>
      <c r="AL431" s="265"/>
      <c r="AM431" s="244"/>
    </row>
    <row r="432" spans="1:39" ht="18" customHeight="1" x14ac:dyDescent="0.15">
      <c r="A432" s="242"/>
      <c r="B432" s="244"/>
      <c r="C432" s="242"/>
      <c r="D432" s="265"/>
      <c r="E432" s="244"/>
      <c r="F432" s="244"/>
      <c r="G432" s="244"/>
      <c r="H432" s="242"/>
      <c r="I432" s="265"/>
      <c r="J432" s="265"/>
      <c r="K432" s="265"/>
      <c r="L432" s="244"/>
      <c r="M432" s="242"/>
      <c r="N432" s="242"/>
      <c r="O432" s="242"/>
      <c r="P432" s="242"/>
      <c r="Q432" s="265"/>
      <c r="R432" s="265"/>
      <c r="S432" s="265"/>
      <c r="T432" s="265"/>
      <c r="U432" s="265"/>
      <c r="V432" s="265"/>
      <c r="W432" s="265"/>
      <c r="X432" s="265"/>
      <c r="Y432" s="265"/>
      <c r="Z432" s="265"/>
      <c r="AA432" s="265"/>
      <c r="AB432" s="265"/>
      <c r="AC432" s="265"/>
      <c r="AD432" s="265"/>
      <c r="AE432" s="265"/>
      <c r="AF432" s="265"/>
      <c r="AG432" s="265"/>
      <c r="AH432" s="265"/>
      <c r="AI432" s="265"/>
      <c r="AJ432" s="265"/>
      <c r="AK432" s="265"/>
      <c r="AL432" s="265"/>
      <c r="AM432" s="244"/>
    </row>
    <row r="433" spans="1:39" ht="18" customHeight="1" x14ac:dyDescent="0.15">
      <c r="A433" s="242"/>
      <c r="B433" s="244"/>
      <c r="C433" s="242"/>
      <c r="D433" s="265"/>
      <c r="E433" s="244"/>
      <c r="F433" s="244"/>
      <c r="G433" s="244"/>
      <c r="H433" s="242"/>
      <c r="I433" s="265"/>
      <c r="J433" s="265"/>
      <c r="K433" s="265"/>
      <c r="L433" s="244"/>
      <c r="M433" s="242"/>
      <c r="N433" s="242"/>
      <c r="O433" s="242"/>
      <c r="P433" s="242"/>
      <c r="Q433" s="265"/>
      <c r="R433" s="265"/>
      <c r="S433" s="265"/>
      <c r="T433" s="265"/>
      <c r="U433" s="265"/>
      <c r="V433" s="265"/>
      <c r="W433" s="265"/>
      <c r="X433" s="265"/>
      <c r="Y433" s="265"/>
      <c r="Z433" s="265"/>
      <c r="AA433" s="265"/>
      <c r="AB433" s="265"/>
      <c r="AC433" s="265"/>
      <c r="AD433" s="265"/>
      <c r="AE433" s="265"/>
      <c r="AF433" s="265"/>
      <c r="AG433" s="265"/>
      <c r="AH433" s="265"/>
      <c r="AI433" s="265"/>
      <c r="AJ433" s="265"/>
      <c r="AK433" s="265"/>
      <c r="AL433" s="265"/>
      <c r="AM433" s="244"/>
    </row>
    <row r="434" spans="1:39" ht="18" customHeight="1" x14ac:dyDescent="0.15">
      <c r="A434" s="242"/>
      <c r="B434" s="244"/>
      <c r="C434" s="242"/>
      <c r="D434" s="265"/>
      <c r="E434" s="244"/>
      <c r="F434" s="244"/>
      <c r="G434" s="244"/>
      <c r="H434" s="242"/>
      <c r="I434" s="265"/>
      <c r="J434" s="265"/>
      <c r="K434" s="265"/>
      <c r="L434" s="244"/>
      <c r="M434" s="242"/>
      <c r="N434" s="242"/>
      <c r="O434" s="242"/>
      <c r="P434" s="242"/>
      <c r="Q434" s="265"/>
      <c r="R434" s="265"/>
      <c r="S434" s="265"/>
      <c r="T434" s="265"/>
      <c r="U434" s="265"/>
      <c r="V434" s="265"/>
      <c r="W434" s="265"/>
      <c r="X434" s="265"/>
      <c r="Y434" s="265"/>
      <c r="Z434" s="265"/>
      <c r="AA434" s="265"/>
      <c r="AB434" s="265"/>
      <c r="AC434" s="265"/>
      <c r="AD434" s="265"/>
      <c r="AE434" s="265"/>
      <c r="AF434" s="265"/>
      <c r="AG434" s="265"/>
      <c r="AH434" s="265"/>
      <c r="AI434" s="265"/>
      <c r="AJ434" s="265"/>
      <c r="AK434" s="265"/>
      <c r="AL434" s="265"/>
      <c r="AM434" s="244"/>
    </row>
    <row r="435" spans="1:39" ht="18" customHeight="1" x14ac:dyDescent="0.15">
      <c r="A435" s="242"/>
      <c r="B435" s="244"/>
      <c r="C435" s="242"/>
      <c r="D435" s="265"/>
      <c r="E435" s="244"/>
      <c r="F435" s="244"/>
      <c r="G435" s="244"/>
      <c r="H435" s="242"/>
      <c r="I435" s="265"/>
      <c r="J435" s="265"/>
      <c r="K435" s="265"/>
      <c r="L435" s="244"/>
      <c r="M435" s="242"/>
      <c r="N435" s="242"/>
      <c r="O435" s="242"/>
      <c r="P435" s="242"/>
      <c r="Q435" s="265"/>
      <c r="R435" s="265"/>
      <c r="S435" s="265"/>
      <c r="T435" s="265"/>
      <c r="U435" s="265"/>
      <c r="V435" s="265"/>
      <c r="W435" s="265"/>
      <c r="X435" s="265"/>
      <c r="Y435" s="265"/>
      <c r="Z435" s="265"/>
      <c r="AA435" s="265"/>
      <c r="AB435" s="265"/>
      <c r="AC435" s="265"/>
      <c r="AD435" s="265"/>
      <c r="AE435" s="265"/>
      <c r="AF435" s="265"/>
      <c r="AG435" s="265"/>
      <c r="AH435" s="265"/>
      <c r="AI435" s="265"/>
      <c r="AJ435" s="265"/>
      <c r="AK435" s="265"/>
      <c r="AL435" s="265"/>
      <c r="AM435" s="244"/>
    </row>
    <row r="436" spans="1:39" ht="18" customHeight="1" x14ac:dyDescent="0.15">
      <c r="A436" s="242"/>
      <c r="B436" s="244"/>
      <c r="C436" s="242"/>
      <c r="D436" s="265"/>
      <c r="E436" s="244"/>
      <c r="F436" s="244"/>
      <c r="G436" s="244"/>
      <c r="H436" s="242"/>
      <c r="I436" s="265"/>
      <c r="J436" s="265"/>
      <c r="K436" s="265"/>
      <c r="L436" s="244"/>
      <c r="M436" s="242"/>
      <c r="N436" s="242"/>
      <c r="O436" s="242"/>
      <c r="P436" s="242"/>
      <c r="Q436" s="265"/>
      <c r="R436" s="265"/>
      <c r="S436" s="265"/>
      <c r="T436" s="265"/>
      <c r="U436" s="265"/>
      <c r="V436" s="265"/>
      <c r="W436" s="265"/>
      <c r="X436" s="265"/>
      <c r="Y436" s="265"/>
      <c r="Z436" s="265"/>
      <c r="AA436" s="265"/>
      <c r="AB436" s="265"/>
      <c r="AC436" s="265"/>
      <c r="AD436" s="265"/>
      <c r="AE436" s="265"/>
      <c r="AF436" s="265"/>
      <c r="AG436" s="265"/>
      <c r="AH436" s="265"/>
      <c r="AI436" s="265"/>
      <c r="AJ436" s="265"/>
      <c r="AK436" s="265"/>
      <c r="AL436" s="265"/>
      <c r="AM436" s="244"/>
    </row>
    <row r="437" spans="1:39" ht="18" customHeight="1" x14ac:dyDescent="0.15">
      <c r="A437" s="242"/>
      <c r="B437" s="244"/>
      <c r="C437" s="242"/>
      <c r="D437" s="265"/>
      <c r="E437" s="244"/>
      <c r="F437" s="244"/>
      <c r="G437" s="244"/>
      <c r="H437" s="242"/>
      <c r="I437" s="265"/>
      <c r="J437" s="265"/>
      <c r="K437" s="265"/>
      <c r="L437" s="244"/>
      <c r="M437" s="242"/>
      <c r="N437" s="242"/>
      <c r="O437" s="242"/>
      <c r="P437" s="242"/>
      <c r="Q437" s="265"/>
      <c r="R437" s="265"/>
      <c r="S437" s="265"/>
      <c r="T437" s="265"/>
      <c r="U437" s="265"/>
      <c r="V437" s="265"/>
      <c r="W437" s="265"/>
      <c r="X437" s="265"/>
      <c r="Y437" s="265"/>
      <c r="Z437" s="265"/>
      <c r="AA437" s="265"/>
      <c r="AB437" s="265"/>
      <c r="AC437" s="265"/>
      <c r="AD437" s="265"/>
      <c r="AE437" s="265"/>
      <c r="AF437" s="265"/>
      <c r="AG437" s="265"/>
      <c r="AH437" s="265"/>
      <c r="AI437" s="265"/>
      <c r="AJ437" s="265"/>
      <c r="AK437" s="265"/>
      <c r="AL437" s="265"/>
      <c r="AM437" s="244"/>
    </row>
    <row r="438" spans="1:39" ht="18" customHeight="1" x14ac:dyDescent="0.15">
      <c r="A438" s="242"/>
      <c r="B438" s="244"/>
      <c r="C438" s="242"/>
      <c r="D438" s="265"/>
      <c r="E438" s="244"/>
      <c r="F438" s="244"/>
      <c r="G438" s="244"/>
      <c r="H438" s="242"/>
      <c r="I438" s="265"/>
      <c r="J438" s="265"/>
      <c r="K438" s="265"/>
      <c r="L438" s="244"/>
      <c r="M438" s="242"/>
      <c r="N438" s="242"/>
      <c r="O438" s="242"/>
      <c r="P438" s="242"/>
      <c r="Q438" s="265"/>
      <c r="R438" s="265"/>
      <c r="S438" s="265"/>
      <c r="T438" s="265"/>
      <c r="U438" s="265"/>
      <c r="V438" s="265"/>
      <c r="W438" s="265"/>
      <c r="X438" s="265"/>
      <c r="Y438" s="265"/>
      <c r="Z438" s="265"/>
      <c r="AA438" s="265"/>
      <c r="AB438" s="265"/>
      <c r="AC438" s="265"/>
      <c r="AD438" s="265"/>
      <c r="AE438" s="265"/>
      <c r="AF438" s="265"/>
      <c r="AG438" s="265"/>
      <c r="AH438" s="265"/>
      <c r="AI438" s="265"/>
      <c r="AJ438" s="265"/>
      <c r="AK438" s="265"/>
      <c r="AL438" s="265"/>
      <c r="AM438" s="244"/>
    </row>
    <row r="439" spans="1:39" ht="18" customHeight="1" x14ac:dyDescent="0.15">
      <c r="A439" s="242"/>
      <c r="B439" s="244"/>
      <c r="C439" s="242"/>
      <c r="D439" s="265"/>
      <c r="E439" s="244"/>
      <c r="F439" s="244"/>
      <c r="G439" s="244"/>
      <c r="H439" s="242"/>
      <c r="I439" s="265"/>
      <c r="J439" s="265"/>
      <c r="K439" s="265"/>
      <c r="L439" s="244"/>
      <c r="M439" s="242"/>
      <c r="N439" s="242"/>
      <c r="O439" s="242"/>
      <c r="P439" s="242"/>
      <c r="Q439" s="265"/>
      <c r="R439" s="265"/>
      <c r="S439" s="265"/>
      <c r="T439" s="265"/>
      <c r="U439" s="265"/>
      <c r="V439" s="265"/>
      <c r="W439" s="265"/>
      <c r="X439" s="265"/>
      <c r="Y439" s="265"/>
      <c r="Z439" s="265"/>
      <c r="AA439" s="265"/>
      <c r="AB439" s="265"/>
      <c r="AC439" s="265"/>
      <c r="AD439" s="265"/>
      <c r="AE439" s="265"/>
      <c r="AF439" s="265"/>
      <c r="AG439" s="265"/>
      <c r="AH439" s="265"/>
      <c r="AI439" s="265"/>
      <c r="AJ439" s="265"/>
      <c r="AK439" s="265"/>
      <c r="AL439" s="265"/>
      <c r="AM439" s="244"/>
    </row>
    <row r="440" spans="1:39" ht="18" customHeight="1" x14ac:dyDescent="0.15">
      <c r="A440" s="242"/>
      <c r="B440" s="244"/>
      <c r="C440" s="242"/>
      <c r="D440" s="265"/>
      <c r="E440" s="244"/>
      <c r="F440" s="244"/>
      <c r="G440" s="244"/>
      <c r="H440" s="242"/>
      <c r="I440" s="265"/>
      <c r="J440" s="265"/>
      <c r="K440" s="265"/>
      <c r="L440" s="244"/>
      <c r="M440" s="242"/>
      <c r="N440" s="242"/>
      <c r="O440" s="242"/>
      <c r="P440" s="242"/>
      <c r="Q440" s="265"/>
      <c r="R440" s="265"/>
      <c r="S440" s="265"/>
      <c r="T440" s="265"/>
      <c r="U440" s="265"/>
      <c r="V440" s="265"/>
      <c r="W440" s="265"/>
      <c r="X440" s="265"/>
      <c r="Y440" s="265"/>
      <c r="Z440" s="265"/>
      <c r="AA440" s="265"/>
      <c r="AB440" s="265"/>
      <c r="AC440" s="265"/>
      <c r="AD440" s="265"/>
      <c r="AE440" s="265"/>
      <c r="AF440" s="265"/>
      <c r="AG440" s="265"/>
      <c r="AH440" s="265"/>
      <c r="AI440" s="265"/>
      <c r="AJ440" s="265"/>
      <c r="AK440" s="265"/>
      <c r="AL440" s="265"/>
      <c r="AM440" s="244"/>
    </row>
    <row r="441" spans="1:39" ht="18" customHeight="1" x14ac:dyDescent="0.15">
      <c r="A441" s="242"/>
      <c r="B441" s="244"/>
      <c r="C441" s="242"/>
      <c r="D441" s="265"/>
      <c r="E441" s="244"/>
      <c r="F441" s="244"/>
      <c r="G441" s="244"/>
      <c r="H441" s="242"/>
      <c r="I441" s="265"/>
      <c r="J441" s="265"/>
      <c r="K441" s="265"/>
      <c r="L441" s="244"/>
      <c r="M441" s="242"/>
      <c r="N441" s="242"/>
      <c r="O441" s="242"/>
      <c r="P441" s="242"/>
      <c r="Q441" s="265"/>
      <c r="R441" s="265"/>
      <c r="S441" s="265"/>
      <c r="T441" s="265"/>
      <c r="U441" s="265"/>
      <c r="V441" s="265"/>
      <c r="W441" s="265"/>
      <c r="X441" s="265"/>
      <c r="Y441" s="265"/>
      <c r="Z441" s="265"/>
      <c r="AA441" s="265"/>
      <c r="AB441" s="265"/>
      <c r="AC441" s="265"/>
      <c r="AD441" s="265"/>
      <c r="AE441" s="265"/>
      <c r="AF441" s="265"/>
      <c r="AG441" s="265"/>
      <c r="AH441" s="265"/>
      <c r="AI441" s="265"/>
      <c r="AJ441" s="265"/>
      <c r="AK441" s="265"/>
      <c r="AL441" s="265"/>
      <c r="AM441" s="244"/>
    </row>
    <row r="442" spans="1:39" ht="18" customHeight="1" x14ac:dyDescent="0.15">
      <c r="A442" s="242"/>
      <c r="B442" s="244"/>
      <c r="C442" s="242"/>
      <c r="D442" s="265"/>
      <c r="E442" s="244"/>
      <c r="F442" s="244"/>
      <c r="G442" s="244"/>
      <c r="H442" s="242"/>
      <c r="I442" s="265"/>
      <c r="J442" s="265"/>
      <c r="K442" s="265"/>
      <c r="L442" s="244"/>
      <c r="M442" s="242"/>
      <c r="N442" s="242"/>
      <c r="O442" s="242"/>
      <c r="P442" s="242"/>
      <c r="Q442" s="265"/>
      <c r="R442" s="265"/>
      <c r="S442" s="265"/>
      <c r="T442" s="265"/>
      <c r="U442" s="265"/>
      <c r="V442" s="265"/>
      <c r="W442" s="265"/>
      <c r="X442" s="265"/>
      <c r="Y442" s="265"/>
      <c r="Z442" s="265"/>
      <c r="AA442" s="265"/>
      <c r="AB442" s="265"/>
      <c r="AC442" s="265"/>
      <c r="AD442" s="265"/>
      <c r="AE442" s="265"/>
      <c r="AF442" s="265"/>
      <c r="AG442" s="265"/>
      <c r="AH442" s="265"/>
      <c r="AI442" s="265"/>
      <c r="AJ442" s="265"/>
      <c r="AK442" s="265"/>
      <c r="AL442" s="265"/>
      <c r="AM442" s="244"/>
    </row>
    <row r="443" spans="1:39" ht="18" customHeight="1" x14ac:dyDescent="0.15">
      <c r="A443" s="242"/>
      <c r="B443" s="244"/>
      <c r="C443" s="242"/>
      <c r="D443" s="265"/>
      <c r="E443" s="244"/>
      <c r="F443" s="244"/>
      <c r="G443" s="244"/>
      <c r="H443" s="242"/>
      <c r="I443" s="265"/>
      <c r="J443" s="265"/>
      <c r="K443" s="265"/>
      <c r="L443" s="244"/>
      <c r="M443" s="242"/>
      <c r="N443" s="242"/>
      <c r="O443" s="242"/>
      <c r="P443" s="242"/>
      <c r="Q443" s="265"/>
      <c r="R443" s="265"/>
      <c r="S443" s="265"/>
      <c r="T443" s="265"/>
      <c r="U443" s="265"/>
      <c r="V443" s="265"/>
      <c r="W443" s="265"/>
      <c r="X443" s="265"/>
      <c r="Y443" s="265"/>
      <c r="Z443" s="265"/>
      <c r="AA443" s="265"/>
      <c r="AB443" s="265"/>
      <c r="AC443" s="265"/>
      <c r="AD443" s="265"/>
      <c r="AE443" s="265"/>
      <c r="AF443" s="265"/>
      <c r="AG443" s="265"/>
      <c r="AH443" s="265"/>
      <c r="AI443" s="265"/>
      <c r="AJ443" s="265"/>
      <c r="AK443" s="265"/>
      <c r="AL443" s="265"/>
      <c r="AM443" s="244"/>
    </row>
    <row r="444" spans="1:39" ht="18" customHeight="1" x14ac:dyDescent="0.15">
      <c r="A444" s="242"/>
      <c r="B444" s="244"/>
      <c r="C444" s="242"/>
      <c r="D444" s="265"/>
      <c r="E444" s="244"/>
      <c r="F444" s="244"/>
      <c r="G444" s="244"/>
      <c r="H444" s="242"/>
      <c r="I444" s="265"/>
      <c r="J444" s="265"/>
      <c r="K444" s="265"/>
      <c r="L444" s="244"/>
      <c r="M444" s="242"/>
      <c r="N444" s="242"/>
      <c r="O444" s="242"/>
      <c r="P444" s="242"/>
      <c r="Q444" s="265"/>
      <c r="R444" s="265"/>
      <c r="S444" s="265"/>
      <c r="T444" s="265"/>
      <c r="U444" s="265"/>
      <c r="V444" s="265"/>
      <c r="W444" s="265"/>
      <c r="X444" s="265"/>
      <c r="Y444" s="265"/>
      <c r="Z444" s="265"/>
      <c r="AA444" s="265"/>
      <c r="AB444" s="265"/>
      <c r="AC444" s="265"/>
      <c r="AD444" s="265"/>
      <c r="AE444" s="265"/>
      <c r="AF444" s="265"/>
      <c r="AG444" s="265"/>
      <c r="AH444" s="265"/>
      <c r="AI444" s="265"/>
      <c r="AJ444" s="265"/>
      <c r="AK444" s="265"/>
      <c r="AL444" s="265"/>
      <c r="AM444" s="244"/>
    </row>
    <row r="445" spans="1:39" ht="18" customHeight="1" x14ac:dyDescent="0.15">
      <c r="A445" s="242"/>
      <c r="B445" s="244"/>
      <c r="C445" s="242"/>
      <c r="D445" s="265"/>
      <c r="E445" s="244"/>
      <c r="F445" s="244"/>
      <c r="G445" s="244"/>
      <c r="H445" s="242"/>
      <c r="I445" s="265"/>
      <c r="J445" s="265"/>
      <c r="K445" s="265"/>
      <c r="L445" s="244"/>
      <c r="M445" s="242"/>
      <c r="N445" s="242"/>
      <c r="O445" s="242"/>
      <c r="P445" s="242"/>
      <c r="Q445" s="265"/>
      <c r="R445" s="265"/>
      <c r="S445" s="265"/>
      <c r="T445" s="265"/>
      <c r="U445" s="265"/>
      <c r="V445" s="265"/>
      <c r="W445" s="265"/>
      <c r="X445" s="265"/>
      <c r="Y445" s="265"/>
      <c r="Z445" s="265"/>
      <c r="AA445" s="265"/>
      <c r="AB445" s="265"/>
      <c r="AC445" s="265"/>
      <c r="AD445" s="265"/>
      <c r="AE445" s="265"/>
      <c r="AF445" s="265"/>
      <c r="AG445" s="265"/>
      <c r="AH445" s="265"/>
      <c r="AI445" s="265"/>
      <c r="AJ445" s="265"/>
      <c r="AK445" s="265"/>
      <c r="AL445" s="265"/>
      <c r="AM445" s="244"/>
    </row>
    <row r="446" spans="1:39" ht="18" customHeight="1" x14ac:dyDescent="0.15">
      <c r="A446" s="242"/>
      <c r="B446" s="244"/>
      <c r="C446" s="242"/>
      <c r="D446" s="265"/>
      <c r="E446" s="244"/>
      <c r="F446" s="244"/>
      <c r="G446" s="244"/>
      <c r="H446" s="242"/>
      <c r="I446" s="265"/>
      <c r="J446" s="265"/>
      <c r="K446" s="265"/>
      <c r="L446" s="244"/>
      <c r="M446" s="242"/>
      <c r="N446" s="242"/>
      <c r="O446" s="242"/>
      <c r="P446" s="242"/>
      <c r="Q446" s="265"/>
      <c r="R446" s="265"/>
      <c r="S446" s="265"/>
      <c r="T446" s="265"/>
      <c r="U446" s="265"/>
      <c r="V446" s="265"/>
      <c r="W446" s="265"/>
      <c r="X446" s="265"/>
      <c r="Y446" s="265"/>
      <c r="Z446" s="265"/>
      <c r="AA446" s="265"/>
      <c r="AB446" s="265"/>
      <c r="AC446" s="265"/>
      <c r="AD446" s="265"/>
      <c r="AE446" s="265"/>
      <c r="AF446" s="265"/>
      <c r="AG446" s="265"/>
      <c r="AH446" s="265"/>
      <c r="AI446" s="265"/>
      <c r="AJ446" s="265"/>
      <c r="AK446" s="265"/>
      <c r="AL446" s="265"/>
      <c r="AM446" s="244"/>
    </row>
    <row r="447" spans="1:39" ht="18" customHeight="1" x14ac:dyDescent="0.15">
      <c r="A447" s="242"/>
      <c r="B447" s="244"/>
      <c r="C447" s="242"/>
      <c r="D447" s="265"/>
      <c r="E447" s="244"/>
      <c r="F447" s="244"/>
      <c r="G447" s="244"/>
      <c r="H447" s="242"/>
      <c r="I447" s="265"/>
      <c r="J447" s="265"/>
      <c r="K447" s="265"/>
      <c r="L447" s="244"/>
      <c r="M447" s="242"/>
      <c r="N447" s="242"/>
      <c r="O447" s="242"/>
      <c r="P447" s="242"/>
      <c r="Q447" s="265"/>
      <c r="R447" s="265"/>
      <c r="S447" s="265"/>
      <c r="T447" s="265"/>
      <c r="U447" s="265"/>
      <c r="V447" s="265"/>
      <c r="W447" s="265"/>
      <c r="X447" s="265"/>
      <c r="Y447" s="265"/>
      <c r="Z447" s="265"/>
      <c r="AA447" s="265"/>
      <c r="AB447" s="265"/>
      <c r="AC447" s="265"/>
      <c r="AD447" s="265"/>
      <c r="AE447" s="265"/>
      <c r="AF447" s="265"/>
      <c r="AG447" s="265"/>
      <c r="AH447" s="265"/>
      <c r="AI447" s="265"/>
      <c r="AJ447" s="265"/>
      <c r="AK447" s="265"/>
      <c r="AL447" s="265"/>
      <c r="AM447" s="244"/>
    </row>
    <row r="448" spans="1:39" ht="18" customHeight="1" x14ac:dyDescent="0.15">
      <c r="A448" s="242"/>
      <c r="B448" s="244"/>
      <c r="C448" s="242"/>
      <c r="D448" s="265"/>
      <c r="E448" s="244"/>
      <c r="F448" s="244"/>
      <c r="G448" s="244"/>
      <c r="H448" s="242"/>
      <c r="I448" s="265"/>
      <c r="J448" s="265"/>
      <c r="K448" s="265"/>
      <c r="L448" s="244"/>
      <c r="M448" s="242"/>
      <c r="N448" s="242"/>
      <c r="O448" s="242"/>
      <c r="P448" s="242"/>
      <c r="Q448" s="265"/>
      <c r="R448" s="265"/>
      <c r="S448" s="265"/>
      <c r="T448" s="265"/>
      <c r="U448" s="265"/>
      <c r="V448" s="265"/>
      <c r="W448" s="265"/>
      <c r="X448" s="265"/>
      <c r="Y448" s="265"/>
      <c r="Z448" s="265"/>
      <c r="AA448" s="265"/>
      <c r="AB448" s="265"/>
      <c r="AC448" s="265"/>
      <c r="AD448" s="265"/>
      <c r="AE448" s="265"/>
      <c r="AF448" s="265"/>
      <c r="AG448" s="265"/>
      <c r="AH448" s="265"/>
      <c r="AI448" s="265"/>
      <c r="AJ448" s="265"/>
      <c r="AK448" s="265"/>
      <c r="AL448" s="265"/>
      <c r="AM448" s="244"/>
    </row>
    <row r="449" spans="1:39" ht="18" customHeight="1" x14ac:dyDescent="0.15">
      <c r="A449" s="242"/>
      <c r="B449" s="244"/>
      <c r="C449" s="242"/>
      <c r="D449" s="265"/>
      <c r="E449" s="244"/>
      <c r="F449" s="244"/>
      <c r="G449" s="244"/>
      <c r="H449" s="242"/>
      <c r="I449" s="265"/>
      <c r="J449" s="265"/>
      <c r="K449" s="265"/>
      <c r="L449" s="244"/>
      <c r="M449" s="242"/>
      <c r="N449" s="242"/>
      <c r="O449" s="242"/>
      <c r="P449" s="242"/>
      <c r="Q449" s="265"/>
      <c r="R449" s="265"/>
      <c r="S449" s="265"/>
      <c r="T449" s="265"/>
      <c r="U449" s="265"/>
      <c r="V449" s="265"/>
      <c r="W449" s="265"/>
      <c r="X449" s="265"/>
      <c r="Y449" s="265"/>
      <c r="Z449" s="265"/>
      <c r="AA449" s="265"/>
      <c r="AB449" s="265"/>
      <c r="AC449" s="265"/>
      <c r="AD449" s="265"/>
      <c r="AE449" s="265"/>
      <c r="AF449" s="265"/>
      <c r="AG449" s="265"/>
      <c r="AH449" s="265"/>
      <c r="AI449" s="265"/>
      <c r="AJ449" s="265"/>
      <c r="AK449" s="265"/>
      <c r="AL449" s="265"/>
      <c r="AM449" s="244"/>
    </row>
    <row r="450" spans="1:39" ht="18" customHeight="1" x14ac:dyDescent="0.15">
      <c r="A450" s="242"/>
      <c r="B450" s="244"/>
      <c r="C450" s="242"/>
      <c r="D450" s="265"/>
      <c r="E450" s="244"/>
      <c r="F450" s="244"/>
      <c r="G450" s="244"/>
      <c r="H450" s="242"/>
      <c r="I450" s="265"/>
      <c r="J450" s="265"/>
      <c r="K450" s="265"/>
      <c r="L450" s="244"/>
      <c r="M450" s="242"/>
      <c r="N450" s="242"/>
      <c r="O450" s="242"/>
      <c r="P450" s="242"/>
      <c r="Q450" s="265"/>
      <c r="R450" s="265"/>
      <c r="S450" s="265"/>
      <c r="T450" s="265"/>
      <c r="U450" s="265"/>
      <c r="V450" s="265"/>
      <c r="W450" s="265"/>
      <c r="X450" s="265"/>
      <c r="Y450" s="265"/>
      <c r="Z450" s="265"/>
      <c r="AA450" s="265"/>
      <c r="AB450" s="265"/>
      <c r="AC450" s="265"/>
      <c r="AD450" s="265"/>
      <c r="AE450" s="265"/>
      <c r="AF450" s="265"/>
      <c r="AG450" s="265"/>
      <c r="AH450" s="265"/>
      <c r="AI450" s="265"/>
      <c r="AJ450" s="265"/>
      <c r="AK450" s="265"/>
      <c r="AL450" s="265"/>
      <c r="AM450" s="244"/>
    </row>
    <row r="451" spans="1:39" ht="18" customHeight="1" x14ac:dyDescent="0.15">
      <c r="A451" s="242"/>
      <c r="B451" s="244"/>
      <c r="C451" s="242"/>
      <c r="D451" s="265"/>
      <c r="E451" s="244"/>
      <c r="F451" s="244"/>
      <c r="G451" s="244"/>
      <c r="H451" s="242"/>
      <c r="I451" s="265"/>
      <c r="J451" s="265"/>
      <c r="K451" s="265"/>
      <c r="L451" s="244"/>
      <c r="M451" s="242"/>
      <c r="N451" s="242"/>
      <c r="O451" s="242"/>
      <c r="P451" s="242"/>
      <c r="Q451" s="265"/>
      <c r="R451" s="265"/>
      <c r="S451" s="265"/>
      <c r="T451" s="265"/>
      <c r="U451" s="265"/>
      <c r="V451" s="265"/>
      <c r="W451" s="265"/>
      <c r="X451" s="265"/>
      <c r="Y451" s="265"/>
      <c r="Z451" s="265"/>
      <c r="AA451" s="265"/>
      <c r="AB451" s="265"/>
      <c r="AC451" s="265"/>
      <c r="AD451" s="265"/>
      <c r="AE451" s="265"/>
      <c r="AF451" s="265"/>
      <c r="AG451" s="265"/>
      <c r="AH451" s="265"/>
      <c r="AI451" s="265"/>
      <c r="AJ451" s="265"/>
      <c r="AK451" s="265"/>
      <c r="AL451" s="265"/>
      <c r="AM451" s="244"/>
    </row>
    <row r="452" spans="1:39" ht="18" customHeight="1" x14ac:dyDescent="0.15">
      <c r="A452" s="242"/>
      <c r="B452" s="244"/>
      <c r="C452" s="242"/>
      <c r="D452" s="265"/>
      <c r="E452" s="244"/>
      <c r="F452" s="244"/>
      <c r="G452" s="244"/>
      <c r="H452" s="242"/>
      <c r="I452" s="265"/>
      <c r="J452" s="265"/>
      <c r="K452" s="265"/>
      <c r="L452" s="244"/>
      <c r="M452" s="242"/>
      <c r="N452" s="242"/>
      <c r="O452" s="242"/>
      <c r="P452" s="242"/>
      <c r="Q452" s="265"/>
      <c r="R452" s="265"/>
      <c r="S452" s="265"/>
      <c r="T452" s="265"/>
      <c r="U452" s="265"/>
      <c r="V452" s="265"/>
      <c r="W452" s="265"/>
      <c r="X452" s="265"/>
      <c r="Y452" s="265"/>
      <c r="Z452" s="265"/>
      <c r="AA452" s="265"/>
      <c r="AB452" s="265"/>
      <c r="AC452" s="265"/>
      <c r="AD452" s="265"/>
      <c r="AE452" s="265"/>
      <c r="AF452" s="265"/>
      <c r="AG452" s="265"/>
      <c r="AH452" s="265"/>
      <c r="AI452" s="265"/>
      <c r="AJ452" s="265"/>
      <c r="AK452" s="265"/>
      <c r="AL452" s="265"/>
      <c r="AM452" s="244"/>
    </row>
    <row r="453" spans="1:39" ht="18" customHeight="1" x14ac:dyDescent="0.15">
      <c r="A453" s="242"/>
      <c r="B453" s="244"/>
      <c r="C453" s="242"/>
      <c r="D453" s="265"/>
      <c r="E453" s="244"/>
      <c r="F453" s="244"/>
      <c r="G453" s="244"/>
      <c r="H453" s="242"/>
      <c r="I453" s="265"/>
      <c r="J453" s="265"/>
      <c r="K453" s="265"/>
      <c r="L453" s="244"/>
      <c r="M453" s="242"/>
      <c r="N453" s="242"/>
      <c r="O453" s="242"/>
      <c r="P453" s="242"/>
      <c r="Q453" s="265"/>
      <c r="R453" s="265"/>
      <c r="S453" s="265"/>
      <c r="T453" s="265"/>
      <c r="U453" s="265"/>
      <c r="V453" s="265"/>
      <c r="W453" s="265"/>
      <c r="X453" s="265"/>
      <c r="Y453" s="265"/>
      <c r="Z453" s="265"/>
      <c r="AA453" s="265"/>
      <c r="AB453" s="265"/>
      <c r="AC453" s="265"/>
      <c r="AD453" s="265"/>
      <c r="AE453" s="265"/>
      <c r="AF453" s="265"/>
      <c r="AG453" s="265"/>
      <c r="AH453" s="265"/>
      <c r="AI453" s="265"/>
      <c r="AJ453" s="265"/>
      <c r="AK453" s="265"/>
      <c r="AL453" s="265"/>
      <c r="AM453" s="244"/>
    </row>
    <row r="454" spans="1:39" ht="18" customHeight="1" x14ac:dyDescent="0.15">
      <c r="A454" s="242"/>
      <c r="B454" s="244"/>
      <c r="C454" s="242"/>
      <c r="D454" s="265"/>
      <c r="E454" s="244"/>
      <c r="F454" s="244"/>
      <c r="G454" s="244"/>
      <c r="H454" s="242"/>
      <c r="I454" s="265"/>
      <c r="J454" s="265"/>
      <c r="K454" s="265"/>
      <c r="L454" s="244"/>
      <c r="M454" s="242"/>
      <c r="N454" s="242"/>
      <c r="O454" s="242"/>
      <c r="P454" s="242"/>
      <c r="Q454" s="265"/>
      <c r="R454" s="265"/>
      <c r="S454" s="265"/>
      <c r="T454" s="265"/>
      <c r="U454" s="265"/>
      <c r="V454" s="265"/>
      <c r="W454" s="265"/>
      <c r="X454" s="265"/>
      <c r="Y454" s="265"/>
      <c r="Z454" s="265"/>
      <c r="AA454" s="265"/>
      <c r="AB454" s="265"/>
      <c r="AC454" s="265"/>
      <c r="AD454" s="265"/>
      <c r="AE454" s="265"/>
      <c r="AF454" s="265"/>
      <c r="AG454" s="265"/>
      <c r="AH454" s="265"/>
      <c r="AI454" s="265"/>
      <c r="AJ454" s="265"/>
      <c r="AK454" s="265"/>
      <c r="AL454" s="265"/>
      <c r="AM454" s="244"/>
    </row>
    <row r="455" spans="1:39" ht="18" customHeight="1" x14ac:dyDescent="0.15">
      <c r="A455" s="242"/>
      <c r="B455" s="244"/>
      <c r="C455" s="242"/>
      <c r="D455" s="265"/>
      <c r="E455" s="244"/>
      <c r="F455" s="244"/>
      <c r="G455" s="244"/>
      <c r="H455" s="242"/>
      <c r="I455" s="265"/>
      <c r="J455" s="265"/>
      <c r="K455" s="265"/>
      <c r="L455" s="244"/>
      <c r="M455" s="242"/>
      <c r="N455" s="242"/>
      <c r="O455" s="242"/>
      <c r="P455" s="242"/>
      <c r="Q455" s="265"/>
      <c r="R455" s="265"/>
      <c r="S455" s="265"/>
      <c r="T455" s="265"/>
      <c r="U455" s="265"/>
      <c r="V455" s="265"/>
      <c r="W455" s="265"/>
      <c r="X455" s="265"/>
      <c r="Y455" s="265"/>
      <c r="Z455" s="265"/>
      <c r="AA455" s="265"/>
      <c r="AB455" s="265"/>
      <c r="AC455" s="265"/>
      <c r="AD455" s="265"/>
      <c r="AE455" s="265"/>
      <c r="AF455" s="265"/>
      <c r="AG455" s="265"/>
      <c r="AH455" s="265"/>
      <c r="AI455" s="265"/>
      <c r="AJ455" s="265"/>
      <c r="AK455" s="265"/>
      <c r="AL455" s="265"/>
      <c r="AM455" s="244"/>
    </row>
    <row r="456" spans="1:39" ht="18" customHeight="1" x14ac:dyDescent="0.15">
      <c r="A456" s="242"/>
      <c r="B456" s="244"/>
      <c r="C456" s="242"/>
      <c r="D456" s="265"/>
      <c r="E456" s="244"/>
      <c r="F456" s="244"/>
      <c r="G456" s="244"/>
      <c r="H456" s="242"/>
      <c r="I456" s="265"/>
      <c r="J456" s="265"/>
      <c r="K456" s="265"/>
      <c r="L456" s="244"/>
      <c r="M456" s="242"/>
      <c r="N456" s="242"/>
      <c r="O456" s="242"/>
      <c r="P456" s="242"/>
      <c r="Q456" s="265"/>
      <c r="R456" s="265"/>
      <c r="S456" s="265"/>
      <c r="T456" s="265"/>
      <c r="U456" s="265"/>
      <c r="V456" s="265"/>
      <c r="W456" s="265"/>
      <c r="X456" s="265"/>
      <c r="Y456" s="265"/>
      <c r="Z456" s="265"/>
      <c r="AA456" s="265"/>
      <c r="AB456" s="265"/>
      <c r="AC456" s="265"/>
      <c r="AD456" s="265"/>
      <c r="AE456" s="265"/>
      <c r="AF456" s="265"/>
      <c r="AG456" s="265"/>
      <c r="AH456" s="265"/>
      <c r="AI456" s="265"/>
      <c r="AJ456" s="265"/>
      <c r="AK456" s="265"/>
      <c r="AL456" s="265"/>
      <c r="AM456" s="244"/>
    </row>
    <row r="457" spans="1:39" ht="18" customHeight="1" x14ac:dyDescent="0.15">
      <c r="A457" s="242"/>
      <c r="B457" s="244"/>
      <c r="C457" s="242"/>
      <c r="D457" s="265"/>
      <c r="E457" s="244"/>
      <c r="F457" s="244"/>
      <c r="G457" s="244"/>
      <c r="H457" s="242"/>
      <c r="I457" s="265"/>
      <c r="J457" s="265"/>
      <c r="K457" s="265"/>
      <c r="L457" s="244"/>
      <c r="M457" s="242"/>
      <c r="N457" s="242"/>
      <c r="O457" s="242"/>
      <c r="P457" s="242"/>
      <c r="Q457" s="265"/>
      <c r="R457" s="265"/>
      <c r="S457" s="265"/>
      <c r="T457" s="265"/>
      <c r="U457" s="265"/>
      <c r="V457" s="265"/>
      <c r="W457" s="265"/>
      <c r="X457" s="265"/>
      <c r="Y457" s="265"/>
      <c r="Z457" s="265"/>
      <c r="AA457" s="265"/>
      <c r="AB457" s="265"/>
      <c r="AC457" s="265"/>
      <c r="AD457" s="265"/>
      <c r="AE457" s="265"/>
      <c r="AF457" s="265"/>
      <c r="AG457" s="265"/>
      <c r="AH457" s="265"/>
      <c r="AI457" s="265"/>
      <c r="AJ457" s="265"/>
      <c r="AK457" s="265"/>
      <c r="AL457" s="265"/>
      <c r="AM457" s="244"/>
    </row>
    <row r="458" spans="1:39" ht="18" customHeight="1" x14ac:dyDescent="0.15">
      <c r="A458" s="242"/>
      <c r="B458" s="244"/>
      <c r="C458" s="242"/>
      <c r="D458" s="265"/>
      <c r="E458" s="244"/>
      <c r="F458" s="244"/>
      <c r="G458" s="244"/>
      <c r="H458" s="242"/>
      <c r="I458" s="265"/>
      <c r="J458" s="265"/>
      <c r="K458" s="265"/>
      <c r="L458" s="244"/>
      <c r="M458" s="242"/>
      <c r="N458" s="242"/>
      <c r="O458" s="242"/>
      <c r="P458" s="242"/>
      <c r="Q458" s="265"/>
      <c r="R458" s="265"/>
      <c r="S458" s="265"/>
      <c r="T458" s="265"/>
      <c r="U458" s="265"/>
      <c r="V458" s="265"/>
      <c r="W458" s="265"/>
      <c r="X458" s="265"/>
      <c r="Y458" s="265"/>
      <c r="Z458" s="265"/>
      <c r="AA458" s="265"/>
      <c r="AB458" s="265"/>
      <c r="AC458" s="265"/>
      <c r="AD458" s="265"/>
      <c r="AE458" s="265"/>
      <c r="AF458" s="265"/>
      <c r="AG458" s="265"/>
      <c r="AH458" s="265"/>
      <c r="AI458" s="265"/>
      <c r="AJ458" s="265"/>
      <c r="AK458" s="265"/>
      <c r="AL458" s="265"/>
      <c r="AM458" s="244"/>
    </row>
    <row r="459" spans="1:39" ht="18" customHeight="1" x14ac:dyDescent="0.15">
      <c r="A459" s="242"/>
      <c r="B459" s="244"/>
      <c r="C459" s="242"/>
      <c r="D459" s="265"/>
      <c r="E459" s="244"/>
      <c r="F459" s="244"/>
      <c r="G459" s="244"/>
      <c r="H459" s="242"/>
      <c r="I459" s="265"/>
      <c r="J459" s="265"/>
      <c r="K459" s="265"/>
      <c r="L459" s="244"/>
      <c r="M459" s="242"/>
      <c r="N459" s="242"/>
      <c r="O459" s="242"/>
      <c r="P459" s="242"/>
      <c r="Q459" s="265"/>
      <c r="R459" s="265"/>
      <c r="S459" s="265"/>
      <c r="T459" s="265"/>
      <c r="U459" s="265"/>
      <c r="V459" s="265"/>
      <c r="W459" s="265"/>
      <c r="X459" s="265"/>
      <c r="Y459" s="265"/>
      <c r="Z459" s="265"/>
      <c r="AA459" s="265"/>
      <c r="AB459" s="265"/>
      <c r="AC459" s="265"/>
      <c r="AD459" s="265"/>
      <c r="AE459" s="265"/>
      <c r="AF459" s="265"/>
      <c r="AG459" s="265"/>
      <c r="AH459" s="265"/>
      <c r="AI459" s="265"/>
      <c r="AJ459" s="265"/>
      <c r="AK459" s="265"/>
      <c r="AL459" s="265"/>
      <c r="AM459" s="244"/>
    </row>
    <row r="460" spans="1:39" ht="18" customHeight="1" x14ac:dyDescent="0.15">
      <c r="A460" s="242"/>
      <c r="B460" s="244"/>
      <c r="C460" s="242"/>
      <c r="D460" s="265"/>
      <c r="E460" s="244"/>
      <c r="F460" s="244"/>
      <c r="G460" s="244"/>
      <c r="H460" s="242"/>
      <c r="I460" s="265"/>
      <c r="J460" s="265"/>
      <c r="K460" s="265"/>
      <c r="L460" s="244"/>
      <c r="M460" s="242"/>
      <c r="N460" s="242"/>
      <c r="O460" s="242"/>
      <c r="P460" s="242"/>
      <c r="Q460" s="265"/>
      <c r="R460" s="265"/>
      <c r="S460" s="265"/>
      <c r="T460" s="265"/>
      <c r="U460" s="265"/>
      <c r="V460" s="265"/>
      <c r="W460" s="265"/>
      <c r="X460" s="265"/>
      <c r="Y460" s="265"/>
      <c r="Z460" s="265"/>
      <c r="AA460" s="265"/>
      <c r="AB460" s="265"/>
      <c r="AC460" s="265"/>
      <c r="AD460" s="265"/>
      <c r="AE460" s="265"/>
      <c r="AF460" s="265"/>
      <c r="AG460" s="265"/>
      <c r="AH460" s="265"/>
      <c r="AI460" s="265"/>
      <c r="AJ460" s="265"/>
      <c r="AK460" s="265"/>
      <c r="AL460" s="265"/>
      <c r="AM460" s="244"/>
    </row>
    <row r="461" spans="1:39" ht="18" customHeight="1" x14ac:dyDescent="0.15">
      <c r="A461" s="242"/>
      <c r="B461" s="244"/>
      <c r="C461" s="242"/>
      <c r="D461" s="265"/>
      <c r="E461" s="244"/>
      <c r="F461" s="244"/>
      <c r="G461" s="244"/>
      <c r="H461" s="242"/>
      <c r="I461" s="265"/>
      <c r="J461" s="265"/>
      <c r="K461" s="265"/>
      <c r="L461" s="244"/>
      <c r="M461" s="242"/>
      <c r="N461" s="242"/>
      <c r="O461" s="242"/>
      <c r="P461" s="242"/>
      <c r="Q461" s="265"/>
      <c r="R461" s="265"/>
      <c r="S461" s="265"/>
      <c r="T461" s="265"/>
      <c r="U461" s="265"/>
      <c r="V461" s="265"/>
      <c r="W461" s="265"/>
      <c r="X461" s="265"/>
      <c r="Y461" s="265"/>
      <c r="Z461" s="265"/>
      <c r="AA461" s="265"/>
      <c r="AB461" s="265"/>
      <c r="AC461" s="265"/>
      <c r="AD461" s="265"/>
      <c r="AE461" s="265"/>
      <c r="AF461" s="265"/>
      <c r="AG461" s="265"/>
      <c r="AH461" s="265"/>
      <c r="AI461" s="265"/>
      <c r="AJ461" s="265"/>
      <c r="AK461" s="265"/>
      <c r="AL461" s="265"/>
      <c r="AM461" s="244"/>
    </row>
    <row r="462" spans="1:39" ht="18" customHeight="1" x14ac:dyDescent="0.15">
      <c r="A462" s="242"/>
      <c r="B462" s="244"/>
      <c r="C462" s="242"/>
      <c r="D462" s="265"/>
      <c r="E462" s="244"/>
      <c r="F462" s="244"/>
      <c r="G462" s="244"/>
      <c r="H462" s="242"/>
      <c r="I462" s="265"/>
      <c r="J462" s="265"/>
      <c r="K462" s="265"/>
      <c r="L462" s="244"/>
      <c r="M462" s="242"/>
      <c r="N462" s="242"/>
      <c r="O462" s="242"/>
      <c r="P462" s="242"/>
      <c r="Q462" s="265"/>
      <c r="R462" s="265"/>
      <c r="S462" s="265"/>
      <c r="T462" s="265"/>
      <c r="U462" s="265"/>
      <c r="V462" s="265"/>
      <c r="W462" s="265"/>
      <c r="X462" s="265"/>
      <c r="Y462" s="265"/>
      <c r="Z462" s="265"/>
      <c r="AA462" s="265"/>
      <c r="AB462" s="265"/>
      <c r="AC462" s="265"/>
      <c r="AD462" s="265"/>
      <c r="AE462" s="265"/>
      <c r="AF462" s="265"/>
      <c r="AG462" s="265"/>
      <c r="AH462" s="265"/>
      <c r="AI462" s="265"/>
      <c r="AJ462" s="265"/>
      <c r="AK462" s="265"/>
      <c r="AL462" s="265"/>
      <c r="AM462" s="244"/>
    </row>
    <row r="463" spans="1:39" ht="18" customHeight="1" x14ac:dyDescent="0.15">
      <c r="A463" s="242"/>
      <c r="B463" s="244"/>
      <c r="C463" s="242"/>
      <c r="D463" s="265"/>
      <c r="E463" s="244"/>
      <c r="F463" s="244"/>
      <c r="G463" s="244"/>
      <c r="H463" s="242"/>
      <c r="I463" s="265"/>
      <c r="J463" s="265"/>
      <c r="K463" s="265"/>
      <c r="L463" s="244"/>
      <c r="M463" s="242"/>
      <c r="N463" s="242"/>
      <c r="O463" s="242"/>
      <c r="P463" s="242"/>
      <c r="Q463" s="265"/>
      <c r="R463" s="265"/>
      <c r="S463" s="265"/>
      <c r="T463" s="265"/>
      <c r="U463" s="265"/>
      <c r="V463" s="265"/>
      <c r="W463" s="265"/>
      <c r="X463" s="265"/>
      <c r="Y463" s="265"/>
      <c r="Z463" s="265"/>
      <c r="AA463" s="265"/>
      <c r="AB463" s="265"/>
      <c r="AC463" s="265"/>
      <c r="AD463" s="265"/>
      <c r="AE463" s="265"/>
      <c r="AF463" s="265"/>
      <c r="AG463" s="265"/>
      <c r="AH463" s="265"/>
      <c r="AI463" s="265"/>
      <c r="AJ463" s="265"/>
      <c r="AK463" s="265"/>
      <c r="AL463" s="265"/>
      <c r="AM463" s="244"/>
    </row>
    <row r="464" spans="1:39" ht="18" customHeight="1" x14ac:dyDescent="0.15">
      <c r="A464" s="242"/>
      <c r="B464" s="244"/>
      <c r="C464" s="242"/>
      <c r="D464" s="265"/>
      <c r="E464" s="244"/>
      <c r="F464" s="244"/>
      <c r="G464" s="244"/>
      <c r="H464" s="242"/>
      <c r="I464" s="265"/>
      <c r="J464" s="265"/>
      <c r="K464" s="265"/>
      <c r="L464" s="244"/>
      <c r="M464" s="242"/>
      <c r="N464" s="242"/>
      <c r="O464" s="242"/>
      <c r="P464" s="242"/>
      <c r="Q464" s="265"/>
      <c r="R464" s="265"/>
      <c r="S464" s="265"/>
      <c r="T464" s="265"/>
      <c r="U464" s="265"/>
      <c r="V464" s="265"/>
      <c r="W464" s="265"/>
      <c r="X464" s="265"/>
      <c r="Y464" s="265"/>
      <c r="Z464" s="265"/>
      <c r="AA464" s="265"/>
      <c r="AB464" s="265"/>
      <c r="AC464" s="265"/>
      <c r="AD464" s="265"/>
      <c r="AE464" s="265"/>
      <c r="AF464" s="265"/>
      <c r="AG464" s="265"/>
      <c r="AH464" s="265"/>
      <c r="AI464" s="265"/>
      <c r="AJ464" s="265"/>
      <c r="AK464" s="265"/>
      <c r="AL464" s="265"/>
      <c r="AM464" s="244"/>
    </row>
    <row r="465" spans="1:39" ht="18" customHeight="1" x14ac:dyDescent="0.15">
      <c r="A465" s="242"/>
      <c r="B465" s="244"/>
      <c r="C465" s="242"/>
      <c r="D465" s="265"/>
      <c r="E465" s="244"/>
      <c r="F465" s="244"/>
      <c r="G465" s="244"/>
      <c r="H465" s="242"/>
      <c r="I465" s="265"/>
      <c r="J465" s="265"/>
      <c r="K465" s="265"/>
      <c r="L465" s="244"/>
      <c r="M465" s="242"/>
      <c r="N465" s="242"/>
      <c r="O465" s="242"/>
      <c r="P465" s="242"/>
      <c r="Q465" s="265"/>
      <c r="R465" s="265"/>
      <c r="S465" s="265"/>
      <c r="T465" s="265"/>
      <c r="U465" s="265"/>
      <c r="V465" s="265"/>
      <c r="W465" s="265"/>
      <c r="X465" s="265"/>
      <c r="Y465" s="265"/>
      <c r="Z465" s="265"/>
      <c r="AA465" s="265"/>
      <c r="AB465" s="265"/>
      <c r="AC465" s="265"/>
      <c r="AD465" s="265"/>
      <c r="AE465" s="265"/>
      <c r="AF465" s="265"/>
      <c r="AG465" s="265"/>
      <c r="AH465" s="265"/>
      <c r="AI465" s="265"/>
      <c r="AJ465" s="265"/>
      <c r="AK465" s="265"/>
      <c r="AL465" s="265"/>
      <c r="AM465" s="244"/>
    </row>
    <row r="466" spans="1:39" ht="18" customHeight="1" x14ac:dyDescent="0.15">
      <c r="A466" s="242"/>
      <c r="B466" s="244"/>
      <c r="C466" s="242"/>
      <c r="D466" s="265"/>
      <c r="E466" s="244"/>
      <c r="F466" s="244"/>
      <c r="G466" s="244"/>
      <c r="H466" s="242"/>
      <c r="I466" s="265"/>
      <c r="J466" s="265"/>
      <c r="K466" s="265"/>
      <c r="L466" s="244"/>
      <c r="M466" s="242"/>
      <c r="N466" s="242"/>
      <c r="O466" s="242"/>
      <c r="P466" s="242"/>
      <c r="Q466" s="265"/>
      <c r="R466" s="265"/>
      <c r="S466" s="265"/>
      <c r="T466" s="265"/>
      <c r="U466" s="265"/>
      <c r="V466" s="265"/>
      <c r="W466" s="265"/>
      <c r="X466" s="265"/>
      <c r="Y466" s="265"/>
      <c r="Z466" s="265"/>
      <c r="AA466" s="265"/>
      <c r="AB466" s="265"/>
      <c r="AC466" s="265"/>
      <c r="AD466" s="265"/>
      <c r="AE466" s="265"/>
      <c r="AF466" s="265"/>
      <c r="AG466" s="265"/>
      <c r="AH466" s="265"/>
      <c r="AI466" s="265"/>
      <c r="AJ466" s="265"/>
      <c r="AK466" s="265"/>
      <c r="AL466" s="265"/>
      <c r="AM466" s="244"/>
    </row>
    <row r="467" spans="1:39" ht="18" customHeight="1" x14ac:dyDescent="0.15">
      <c r="A467" s="242"/>
      <c r="B467" s="244"/>
      <c r="C467" s="242"/>
      <c r="D467" s="265"/>
      <c r="E467" s="244"/>
      <c r="F467" s="244"/>
      <c r="G467" s="244"/>
      <c r="H467" s="242"/>
      <c r="I467" s="265"/>
      <c r="J467" s="265"/>
      <c r="K467" s="265"/>
      <c r="L467" s="244"/>
      <c r="M467" s="242"/>
      <c r="N467" s="242"/>
      <c r="O467" s="242"/>
      <c r="P467" s="242"/>
      <c r="Q467" s="265"/>
      <c r="R467" s="265"/>
      <c r="S467" s="265"/>
      <c r="T467" s="265"/>
      <c r="U467" s="265"/>
      <c r="V467" s="265"/>
      <c r="W467" s="265"/>
      <c r="X467" s="265"/>
      <c r="Y467" s="265"/>
      <c r="Z467" s="265"/>
      <c r="AA467" s="265"/>
      <c r="AB467" s="265"/>
      <c r="AC467" s="265"/>
      <c r="AD467" s="265"/>
      <c r="AE467" s="265"/>
      <c r="AF467" s="265"/>
      <c r="AG467" s="265"/>
      <c r="AH467" s="265"/>
      <c r="AI467" s="265"/>
      <c r="AJ467" s="265"/>
      <c r="AK467" s="265"/>
      <c r="AL467" s="265"/>
      <c r="AM467" s="244"/>
    </row>
    <row r="468" spans="1:39" ht="18" customHeight="1" x14ac:dyDescent="0.15">
      <c r="A468" s="242"/>
      <c r="B468" s="244"/>
      <c r="C468" s="242"/>
      <c r="D468" s="265"/>
      <c r="E468" s="244"/>
      <c r="F468" s="244"/>
      <c r="G468" s="244"/>
      <c r="H468" s="242"/>
      <c r="I468" s="265"/>
      <c r="J468" s="265"/>
      <c r="K468" s="265"/>
      <c r="L468" s="244"/>
      <c r="M468" s="242"/>
      <c r="N468" s="242"/>
      <c r="O468" s="242"/>
      <c r="P468" s="242"/>
      <c r="Q468" s="265"/>
      <c r="R468" s="265"/>
      <c r="S468" s="265"/>
      <c r="T468" s="265"/>
      <c r="U468" s="265"/>
      <c r="V468" s="265"/>
      <c r="W468" s="265"/>
      <c r="X468" s="265"/>
      <c r="Y468" s="265"/>
      <c r="Z468" s="265"/>
      <c r="AA468" s="265"/>
      <c r="AB468" s="265"/>
      <c r="AC468" s="265"/>
      <c r="AD468" s="265"/>
      <c r="AE468" s="265"/>
      <c r="AF468" s="265"/>
      <c r="AG468" s="265"/>
      <c r="AH468" s="265"/>
      <c r="AI468" s="265"/>
      <c r="AJ468" s="265"/>
      <c r="AK468" s="265"/>
      <c r="AL468" s="265"/>
      <c r="AM468" s="244"/>
    </row>
    <row r="469" spans="1:39" ht="18" customHeight="1" x14ac:dyDescent="0.15">
      <c r="A469" s="242"/>
      <c r="B469" s="244"/>
      <c r="C469" s="242"/>
      <c r="D469" s="265"/>
      <c r="E469" s="244"/>
      <c r="F469" s="244"/>
      <c r="G469" s="244"/>
      <c r="H469" s="242"/>
      <c r="I469" s="265"/>
      <c r="J469" s="265"/>
      <c r="K469" s="265"/>
      <c r="L469" s="244"/>
      <c r="M469" s="242"/>
      <c r="N469" s="242"/>
      <c r="O469" s="242"/>
      <c r="P469" s="242"/>
      <c r="Q469" s="265"/>
      <c r="R469" s="265"/>
      <c r="S469" s="265"/>
      <c r="T469" s="265"/>
      <c r="U469" s="265"/>
      <c r="V469" s="265"/>
      <c r="W469" s="265"/>
      <c r="X469" s="265"/>
      <c r="Y469" s="265"/>
      <c r="Z469" s="265"/>
      <c r="AA469" s="265"/>
      <c r="AB469" s="265"/>
      <c r="AC469" s="265"/>
      <c r="AD469" s="265"/>
      <c r="AE469" s="265"/>
      <c r="AF469" s="265"/>
      <c r="AG469" s="265"/>
      <c r="AH469" s="265"/>
      <c r="AI469" s="265"/>
      <c r="AJ469" s="265"/>
      <c r="AK469" s="265"/>
      <c r="AL469" s="265"/>
      <c r="AM469" s="244"/>
    </row>
    <row r="470" spans="1:39" ht="18" customHeight="1" x14ac:dyDescent="0.15">
      <c r="A470" s="242"/>
      <c r="B470" s="244"/>
      <c r="C470" s="242"/>
      <c r="D470" s="265"/>
      <c r="E470" s="244"/>
      <c r="F470" s="244"/>
      <c r="G470" s="244"/>
      <c r="H470" s="242"/>
      <c r="I470" s="265"/>
      <c r="J470" s="265"/>
      <c r="K470" s="265"/>
      <c r="L470" s="244"/>
      <c r="M470" s="242"/>
      <c r="N470" s="242"/>
      <c r="O470" s="242"/>
      <c r="P470" s="242"/>
      <c r="Q470" s="265"/>
      <c r="R470" s="265"/>
      <c r="S470" s="265"/>
      <c r="T470" s="265"/>
      <c r="U470" s="265"/>
      <c r="V470" s="265"/>
      <c r="W470" s="265"/>
      <c r="X470" s="265"/>
      <c r="Y470" s="265"/>
      <c r="Z470" s="265"/>
      <c r="AA470" s="265"/>
      <c r="AB470" s="265"/>
      <c r="AC470" s="265"/>
      <c r="AD470" s="265"/>
      <c r="AE470" s="265"/>
      <c r="AF470" s="265"/>
      <c r="AG470" s="265"/>
      <c r="AH470" s="265"/>
      <c r="AI470" s="265"/>
      <c r="AJ470" s="265"/>
      <c r="AK470" s="265"/>
      <c r="AL470" s="265"/>
      <c r="AM470" s="244"/>
    </row>
    <row r="471" spans="1:39" ht="18" customHeight="1" x14ac:dyDescent="0.15">
      <c r="A471" s="242"/>
      <c r="B471" s="244"/>
      <c r="C471" s="242"/>
      <c r="D471" s="265"/>
      <c r="E471" s="244"/>
      <c r="F471" s="244"/>
      <c r="G471" s="244"/>
      <c r="H471" s="242"/>
      <c r="I471" s="265"/>
      <c r="J471" s="265"/>
      <c r="K471" s="265"/>
      <c r="L471" s="244"/>
      <c r="M471" s="242"/>
      <c r="N471" s="242"/>
      <c r="O471" s="242"/>
      <c r="P471" s="242"/>
      <c r="Q471" s="265"/>
      <c r="R471" s="265"/>
      <c r="S471" s="265"/>
      <c r="T471" s="265"/>
      <c r="U471" s="265"/>
      <c r="V471" s="265"/>
      <c r="W471" s="265"/>
      <c r="X471" s="265"/>
      <c r="Y471" s="265"/>
      <c r="Z471" s="265"/>
      <c r="AA471" s="265"/>
      <c r="AB471" s="265"/>
      <c r="AC471" s="265"/>
      <c r="AD471" s="265"/>
      <c r="AE471" s="265"/>
      <c r="AF471" s="265"/>
      <c r="AG471" s="265"/>
      <c r="AH471" s="265"/>
      <c r="AI471" s="265"/>
      <c r="AJ471" s="265"/>
      <c r="AK471" s="265"/>
      <c r="AL471" s="265"/>
      <c r="AM471" s="244"/>
    </row>
    <row r="472" spans="1:39" ht="18" customHeight="1" x14ac:dyDescent="0.15">
      <c r="A472" s="242"/>
      <c r="B472" s="244"/>
      <c r="C472" s="242"/>
      <c r="D472" s="265"/>
      <c r="E472" s="244"/>
      <c r="F472" s="244"/>
      <c r="G472" s="244"/>
      <c r="H472" s="242"/>
      <c r="I472" s="265"/>
      <c r="J472" s="265"/>
      <c r="K472" s="265"/>
      <c r="L472" s="244"/>
      <c r="M472" s="242"/>
      <c r="N472" s="242"/>
      <c r="O472" s="242"/>
      <c r="P472" s="242"/>
      <c r="Q472" s="265"/>
      <c r="R472" s="265"/>
      <c r="S472" s="265"/>
      <c r="T472" s="265"/>
      <c r="U472" s="265"/>
      <c r="V472" s="265"/>
      <c r="W472" s="265"/>
      <c r="X472" s="265"/>
      <c r="Y472" s="265"/>
      <c r="Z472" s="265"/>
      <c r="AA472" s="265"/>
      <c r="AB472" s="265"/>
      <c r="AC472" s="265"/>
      <c r="AD472" s="265"/>
      <c r="AE472" s="265"/>
      <c r="AF472" s="265"/>
      <c r="AG472" s="265"/>
      <c r="AH472" s="265"/>
      <c r="AI472" s="265"/>
      <c r="AJ472" s="265"/>
      <c r="AK472" s="265"/>
      <c r="AL472" s="265"/>
      <c r="AM472" s="244"/>
    </row>
    <row r="473" spans="1:39" ht="18" customHeight="1" x14ac:dyDescent="0.15">
      <c r="A473" s="242"/>
      <c r="B473" s="244"/>
      <c r="C473" s="242"/>
      <c r="D473" s="265"/>
      <c r="E473" s="244"/>
      <c r="F473" s="244"/>
      <c r="G473" s="244"/>
      <c r="H473" s="242"/>
      <c r="I473" s="265"/>
      <c r="J473" s="265"/>
      <c r="K473" s="265"/>
      <c r="L473" s="244"/>
      <c r="M473" s="242"/>
      <c r="N473" s="242"/>
      <c r="O473" s="242"/>
      <c r="P473" s="242"/>
      <c r="Q473" s="265"/>
      <c r="R473" s="265"/>
      <c r="S473" s="265"/>
      <c r="T473" s="265"/>
      <c r="U473" s="265"/>
      <c r="V473" s="265"/>
      <c r="W473" s="265"/>
      <c r="X473" s="265"/>
      <c r="Y473" s="265"/>
      <c r="Z473" s="265"/>
      <c r="AA473" s="265"/>
      <c r="AB473" s="265"/>
      <c r="AC473" s="265"/>
      <c r="AD473" s="265"/>
      <c r="AE473" s="265"/>
      <c r="AF473" s="265"/>
      <c r="AG473" s="265"/>
      <c r="AH473" s="265"/>
      <c r="AI473" s="265"/>
      <c r="AJ473" s="265"/>
      <c r="AK473" s="265"/>
      <c r="AL473" s="265"/>
      <c r="AM473" s="244"/>
    </row>
    <row r="474" spans="1:39" ht="18" customHeight="1" x14ac:dyDescent="0.15">
      <c r="A474" s="242"/>
      <c r="B474" s="244"/>
      <c r="C474" s="242"/>
      <c r="D474" s="265"/>
      <c r="E474" s="244"/>
      <c r="F474" s="244"/>
      <c r="G474" s="244"/>
      <c r="H474" s="242"/>
      <c r="I474" s="265"/>
      <c r="J474" s="265"/>
      <c r="K474" s="265"/>
      <c r="L474" s="244"/>
      <c r="M474" s="242"/>
      <c r="N474" s="242"/>
      <c r="O474" s="242"/>
      <c r="P474" s="242"/>
      <c r="Q474" s="265"/>
      <c r="R474" s="265"/>
      <c r="S474" s="265"/>
      <c r="T474" s="265"/>
      <c r="U474" s="265"/>
      <c r="V474" s="265"/>
      <c r="W474" s="265"/>
      <c r="X474" s="265"/>
      <c r="Y474" s="265"/>
      <c r="Z474" s="265"/>
      <c r="AA474" s="265"/>
      <c r="AB474" s="265"/>
      <c r="AC474" s="265"/>
      <c r="AD474" s="265"/>
      <c r="AE474" s="265"/>
      <c r="AF474" s="265"/>
      <c r="AG474" s="265"/>
      <c r="AH474" s="265"/>
      <c r="AI474" s="265"/>
      <c r="AJ474" s="265"/>
      <c r="AK474" s="265"/>
      <c r="AL474" s="265"/>
      <c r="AM474" s="244"/>
    </row>
    <row r="475" spans="1:39" ht="18" customHeight="1" x14ac:dyDescent="0.15">
      <c r="A475" s="242"/>
      <c r="B475" s="244"/>
      <c r="C475" s="242"/>
      <c r="D475" s="265"/>
      <c r="E475" s="244"/>
      <c r="F475" s="244"/>
      <c r="G475" s="244"/>
      <c r="H475" s="242"/>
      <c r="I475" s="265"/>
      <c r="J475" s="265"/>
      <c r="K475" s="265"/>
      <c r="L475" s="244"/>
      <c r="M475" s="242"/>
      <c r="N475" s="242"/>
      <c r="O475" s="242"/>
      <c r="P475" s="242"/>
      <c r="Q475" s="265"/>
      <c r="R475" s="265"/>
      <c r="S475" s="265"/>
      <c r="T475" s="265"/>
      <c r="U475" s="265"/>
      <c r="V475" s="265"/>
      <c r="W475" s="265"/>
      <c r="X475" s="265"/>
      <c r="Y475" s="265"/>
      <c r="Z475" s="265"/>
      <c r="AA475" s="265"/>
      <c r="AB475" s="265"/>
      <c r="AC475" s="265"/>
      <c r="AD475" s="265"/>
      <c r="AE475" s="265"/>
      <c r="AF475" s="265"/>
      <c r="AG475" s="265"/>
      <c r="AH475" s="265"/>
      <c r="AI475" s="265"/>
      <c r="AJ475" s="265"/>
      <c r="AK475" s="265"/>
      <c r="AL475" s="265"/>
      <c r="AM475" s="244"/>
    </row>
    <row r="476" spans="1:39" ht="18" customHeight="1" x14ac:dyDescent="0.15">
      <c r="A476" s="242"/>
      <c r="B476" s="244"/>
      <c r="C476" s="242"/>
      <c r="D476" s="265"/>
      <c r="E476" s="244"/>
      <c r="F476" s="244"/>
      <c r="G476" s="244"/>
      <c r="H476" s="242"/>
      <c r="I476" s="265"/>
      <c r="J476" s="265"/>
      <c r="K476" s="265"/>
      <c r="L476" s="244"/>
      <c r="M476" s="242"/>
      <c r="N476" s="242"/>
      <c r="O476" s="242"/>
      <c r="P476" s="242"/>
      <c r="Q476" s="265"/>
      <c r="R476" s="265"/>
      <c r="S476" s="265"/>
      <c r="T476" s="265"/>
      <c r="U476" s="265"/>
      <c r="V476" s="265"/>
      <c r="W476" s="265"/>
      <c r="X476" s="265"/>
      <c r="Y476" s="265"/>
      <c r="Z476" s="265"/>
      <c r="AA476" s="265"/>
      <c r="AB476" s="265"/>
      <c r="AC476" s="265"/>
      <c r="AD476" s="265"/>
      <c r="AE476" s="265"/>
      <c r="AF476" s="265"/>
      <c r="AG476" s="265"/>
      <c r="AH476" s="265"/>
      <c r="AI476" s="265"/>
      <c r="AJ476" s="265"/>
      <c r="AK476" s="265"/>
      <c r="AL476" s="265"/>
      <c r="AM476" s="244"/>
    </row>
    <row r="477" spans="1:39" ht="18" customHeight="1" x14ac:dyDescent="0.15">
      <c r="A477" s="242"/>
      <c r="B477" s="244"/>
      <c r="C477" s="242"/>
      <c r="D477" s="265"/>
      <c r="E477" s="244"/>
      <c r="F477" s="244"/>
      <c r="G477" s="244"/>
      <c r="H477" s="242"/>
      <c r="I477" s="265"/>
      <c r="J477" s="265"/>
      <c r="K477" s="265"/>
      <c r="L477" s="244"/>
      <c r="M477" s="242"/>
      <c r="N477" s="242"/>
      <c r="O477" s="242"/>
      <c r="P477" s="242"/>
      <c r="Q477" s="265"/>
      <c r="R477" s="265"/>
      <c r="S477" s="265"/>
      <c r="T477" s="265"/>
      <c r="U477" s="265"/>
      <c r="V477" s="265"/>
      <c r="W477" s="265"/>
      <c r="X477" s="265"/>
      <c r="Y477" s="265"/>
      <c r="Z477" s="265"/>
      <c r="AA477" s="265"/>
      <c r="AB477" s="265"/>
      <c r="AC477" s="265"/>
      <c r="AD477" s="265"/>
      <c r="AE477" s="265"/>
      <c r="AF477" s="265"/>
      <c r="AG477" s="265"/>
      <c r="AH477" s="265"/>
      <c r="AI477" s="265"/>
      <c r="AJ477" s="265"/>
      <c r="AK477" s="265"/>
      <c r="AL477" s="265"/>
      <c r="AM477" s="244"/>
    </row>
    <row r="478" spans="1:39" ht="18" customHeight="1" x14ac:dyDescent="0.15">
      <c r="A478" s="242"/>
      <c r="B478" s="244"/>
      <c r="C478" s="242"/>
      <c r="D478" s="265"/>
      <c r="E478" s="244"/>
      <c r="F478" s="244"/>
      <c r="G478" s="244"/>
      <c r="H478" s="242"/>
      <c r="I478" s="265"/>
      <c r="J478" s="265"/>
      <c r="K478" s="265"/>
      <c r="L478" s="244"/>
      <c r="M478" s="242"/>
      <c r="N478" s="242"/>
      <c r="O478" s="242"/>
      <c r="P478" s="242"/>
      <c r="Q478" s="265"/>
      <c r="R478" s="265"/>
      <c r="S478" s="265"/>
      <c r="T478" s="265"/>
      <c r="U478" s="265"/>
      <c r="V478" s="265"/>
      <c r="W478" s="265"/>
      <c r="X478" s="265"/>
      <c r="Y478" s="265"/>
      <c r="Z478" s="265"/>
      <c r="AA478" s="265"/>
      <c r="AB478" s="265"/>
      <c r="AC478" s="265"/>
      <c r="AD478" s="265"/>
      <c r="AE478" s="265"/>
      <c r="AF478" s="265"/>
      <c r="AG478" s="265"/>
      <c r="AH478" s="265"/>
      <c r="AI478" s="265"/>
      <c r="AJ478" s="265"/>
      <c r="AK478" s="265"/>
      <c r="AL478" s="265"/>
      <c r="AM478" s="244"/>
    </row>
    <row r="479" spans="1:39" ht="18" customHeight="1" x14ac:dyDescent="0.15">
      <c r="A479" s="242"/>
      <c r="B479" s="244"/>
      <c r="C479" s="242"/>
      <c r="D479" s="265"/>
      <c r="E479" s="244"/>
      <c r="F479" s="244"/>
      <c r="G479" s="244"/>
      <c r="H479" s="242"/>
      <c r="I479" s="265"/>
      <c r="J479" s="265"/>
      <c r="K479" s="265"/>
      <c r="L479" s="244"/>
      <c r="M479" s="242"/>
      <c r="N479" s="242"/>
      <c r="O479" s="242"/>
      <c r="P479" s="242"/>
      <c r="Q479" s="265"/>
      <c r="R479" s="265"/>
      <c r="S479" s="265"/>
      <c r="T479" s="265"/>
      <c r="U479" s="265"/>
      <c r="V479" s="265"/>
      <c r="W479" s="265"/>
      <c r="X479" s="265"/>
      <c r="Y479" s="265"/>
      <c r="Z479" s="265"/>
      <c r="AA479" s="265"/>
      <c r="AB479" s="265"/>
      <c r="AC479" s="265"/>
      <c r="AD479" s="265"/>
      <c r="AE479" s="265"/>
      <c r="AF479" s="265"/>
      <c r="AG479" s="265"/>
      <c r="AH479" s="265"/>
      <c r="AI479" s="265"/>
      <c r="AJ479" s="265"/>
      <c r="AK479" s="265"/>
      <c r="AL479" s="265"/>
      <c r="AM479" s="244"/>
    </row>
    <row r="480" spans="1:39" ht="18" customHeight="1" x14ac:dyDescent="0.15">
      <c r="A480" s="242"/>
      <c r="B480" s="244"/>
      <c r="C480" s="242"/>
      <c r="D480" s="265"/>
      <c r="E480" s="244"/>
      <c r="F480" s="244"/>
      <c r="G480" s="244"/>
      <c r="H480" s="242"/>
      <c r="I480" s="265"/>
      <c r="J480" s="265"/>
      <c r="K480" s="265"/>
      <c r="L480" s="244"/>
      <c r="M480" s="242"/>
      <c r="N480" s="242"/>
      <c r="O480" s="242"/>
      <c r="P480" s="242"/>
      <c r="Q480" s="265"/>
      <c r="R480" s="265"/>
      <c r="S480" s="265"/>
      <c r="T480" s="265"/>
      <c r="U480" s="265"/>
      <c r="V480" s="265"/>
      <c r="W480" s="265"/>
      <c r="X480" s="265"/>
      <c r="Y480" s="265"/>
      <c r="Z480" s="265"/>
      <c r="AA480" s="265"/>
      <c r="AB480" s="265"/>
      <c r="AC480" s="265"/>
      <c r="AD480" s="265"/>
      <c r="AE480" s="265"/>
      <c r="AF480" s="265"/>
      <c r="AG480" s="265"/>
      <c r="AH480" s="265"/>
      <c r="AI480" s="265"/>
      <c r="AJ480" s="265"/>
      <c r="AK480" s="265"/>
      <c r="AL480" s="265"/>
      <c r="AM480" s="244"/>
    </row>
    <row r="481" spans="1:39" ht="18" customHeight="1" x14ac:dyDescent="0.15">
      <c r="A481" s="242"/>
      <c r="B481" s="244"/>
      <c r="C481" s="242"/>
      <c r="D481" s="265"/>
      <c r="E481" s="244"/>
      <c r="F481" s="244"/>
      <c r="G481" s="244"/>
      <c r="H481" s="242"/>
      <c r="I481" s="265"/>
      <c r="J481" s="265"/>
      <c r="K481" s="265"/>
      <c r="L481" s="244"/>
      <c r="M481" s="242"/>
      <c r="N481" s="242"/>
      <c r="O481" s="242"/>
      <c r="P481" s="242"/>
      <c r="Q481" s="265"/>
      <c r="R481" s="265"/>
      <c r="S481" s="265"/>
      <c r="T481" s="265"/>
      <c r="U481" s="265"/>
      <c r="V481" s="265"/>
      <c r="W481" s="265"/>
      <c r="X481" s="265"/>
      <c r="Y481" s="265"/>
      <c r="Z481" s="265"/>
      <c r="AA481" s="265"/>
      <c r="AB481" s="265"/>
      <c r="AC481" s="265"/>
      <c r="AD481" s="265"/>
      <c r="AE481" s="265"/>
      <c r="AF481" s="265"/>
      <c r="AG481" s="265"/>
      <c r="AH481" s="265"/>
      <c r="AI481" s="265"/>
      <c r="AJ481" s="265"/>
      <c r="AK481" s="265"/>
      <c r="AL481" s="265"/>
      <c r="AM481" s="244"/>
    </row>
    <row r="482" spans="1:39" ht="18" customHeight="1" x14ac:dyDescent="0.15">
      <c r="A482" s="242"/>
      <c r="B482" s="244"/>
      <c r="C482" s="242"/>
      <c r="D482" s="265"/>
      <c r="E482" s="244"/>
      <c r="F482" s="244"/>
      <c r="G482" s="244"/>
      <c r="H482" s="242"/>
      <c r="I482" s="265"/>
      <c r="J482" s="265"/>
      <c r="K482" s="265"/>
      <c r="L482" s="244"/>
      <c r="M482" s="242"/>
      <c r="N482" s="242"/>
      <c r="O482" s="242"/>
      <c r="P482" s="242"/>
      <c r="Q482" s="265"/>
      <c r="R482" s="265"/>
      <c r="S482" s="265"/>
      <c r="T482" s="265"/>
      <c r="U482" s="265"/>
      <c r="V482" s="265"/>
      <c r="W482" s="265"/>
      <c r="X482" s="265"/>
      <c r="Y482" s="265"/>
      <c r="Z482" s="265"/>
      <c r="AA482" s="265"/>
      <c r="AB482" s="265"/>
      <c r="AC482" s="265"/>
      <c r="AD482" s="265"/>
      <c r="AE482" s="265"/>
      <c r="AF482" s="265"/>
      <c r="AG482" s="265"/>
      <c r="AH482" s="265"/>
      <c r="AI482" s="265"/>
      <c r="AJ482" s="265"/>
      <c r="AK482" s="265"/>
      <c r="AL482" s="265"/>
      <c r="AM482" s="244"/>
    </row>
    <row r="483" spans="1:39" ht="18" customHeight="1" x14ac:dyDescent="0.15">
      <c r="A483" s="242"/>
      <c r="B483" s="244"/>
      <c r="C483" s="242"/>
      <c r="D483" s="265"/>
      <c r="E483" s="244"/>
      <c r="F483" s="244"/>
      <c r="G483" s="244"/>
      <c r="H483" s="242"/>
      <c r="I483" s="265"/>
      <c r="J483" s="265"/>
      <c r="K483" s="265"/>
      <c r="L483" s="244"/>
      <c r="M483" s="242"/>
      <c r="N483" s="242"/>
      <c r="O483" s="242"/>
      <c r="P483" s="242"/>
      <c r="Q483" s="265"/>
      <c r="R483" s="265"/>
      <c r="S483" s="265"/>
      <c r="T483" s="265"/>
      <c r="U483" s="265"/>
      <c r="V483" s="265"/>
      <c r="W483" s="265"/>
      <c r="X483" s="265"/>
      <c r="Y483" s="265"/>
      <c r="Z483" s="265"/>
      <c r="AA483" s="265"/>
      <c r="AB483" s="265"/>
      <c r="AC483" s="265"/>
      <c r="AD483" s="265"/>
      <c r="AE483" s="265"/>
      <c r="AF483" s="265"/>
      <c r="AG483" s="265"/>
      <c r="AH483" s="265"/>
      <c r="AI483" s="265"/>
      <c r="AJ483" s="265"/>
      <c r="AK483" s="265"/>
      <c r="AL483" s="265"/>
      <c r="AM483" s="244"/>
    </row>
    <row r="484" spans="1:39" ht="18" customHeight="1" x14ac:dyDescent="0.15">
      <c r="A484" s="242"/>
      <c r="B484" s="244"/>
      <c r="C484" s="242"/>
      <c r="D484" s="265"/>
      <c r="E484" s="244"/>
      <c r="F484" s="244"/>
      <c r="G484" s="244"/>
      <c r="H484" s="242"/>
      <c r="I484" s="265"/>
      <c r="J484" s="265"/>
      <c r="K484" s="265"/>
      <c r="L484" s="244"/>
      <c r="M484" s="242"/>
      <c r="N484" s="242"/>
      <c r="O484" s="242"/>
      <c r="P484" s="242"/>
      <c r="Q484" s="265"/>
      <c r="R484" s="265"/>
      <c r="S484" s="265"/>
      <c r="T484" s="265"/>
      <c r="U484" s="265"/>
      <c r="V484" s="265"/>
      <c r="W484" s="265"/>
      <c r="X484" s="265"/>
      <c r="Y484" s="265"/>
      <c r="Z484" s="265"/>
      <c r="AA484" s="265"/>
      <c r="AB484" s="265"/>
      <c r="AC484" s="265"/>
      <c r="AD484" s="265"/>
      <c r="AE484" s="265"/>
      <c r="AF484" s="265"/>
      <c r="AG484" s="265"/>
      <c r="AH484" s="265"/>
      <c r="AI484" s="265"/>
      <c r="AJ484" s="265"/>
      <c r="AK484" s="265"/>
      <c r="AL484" s="265"/>
      <c r="AM484" s="244"/>
    </row>
    <row r="485" spans="1:39" ht="18" customHeight="1" x14ac:dyDescent="0.15">
      <c r="A485" s="242"/>
      <c r="B485" s="244"/>
      <c r="C485" s="242"/>
      <c r="D485" s="265"/>
      <c r="E485" s="244"/>
      <c r="F485" s="244"/>
      <c r="G485" s="244"/>
      <c r="H485" s="242"/>
      <c r="I485" s="265"/>
      <c r="J485" s="265"/>
      <c r="K485" s="265"/>
      <c r="L485" s="244"/>
      <c r="M485" s="242"/>
      <c r="N485" s="242"/>
      <c r="O485" s="242"/>
      <c r="P485" s="242"/>
      <c r="Q485" s="265"/>
      <c r="R485" s="265"/>
      <c r="S485" s="265"/>
      <c r="T485" s="265"/>
      <c r="U485" s="265"/>
      <c r="V485" s="265"/>
      <c r="W485" s="265"/>
      <c r="X485" s="265"/>
      <c r="Y485" s="265"/>
      <c r="Z485" s="265"/>
      <c r="AA485" s="265"/>
      <c r="AB485" s="265"/>
      <c r="AC485" s="265"/>
      <c r="AD485" s="265"/>
      <c r="AE485" s="265"/>
      <c r="AF485" s="265"/>
      <c r="AG485" s="265"/>
      <c r="AH485" s="265"/>
      <c r="AI485" s="265"/>
      <c r="AJ485" s="265"/>
      <c r="AK485" s="265"/>
      <c r="AL485" s="265"/>
      <c r="AM485" s="244"/>
    </row>
    <row r="486" spans="1:39" ht="18" customHeight="1" x14ac:dyDescent="0.15">
      <c r="A486" s="242"/>
      <c r="B486" s="244"/>
      <c r="C486" s="242"/>
      <c r="D486" s="265"/>
      <c r="E486" s="244"/>
      <c r="F486" s="244"/>
      <c r="G486" s="244"/>
      <c r="H486" s="242"/>
      <c r="I486" s="265"/>
      <c r="J486" s="265"/>
      <c r="K486" s="265"/>
      <c r="L486" s="244"/>
      <c r="M486" s="242"/>
      <c r="N486" s="242"/>
      <c r="O486" s="242"/>
      <c r="P486" s="242"/>
      <c r="Q486" s="265"/>
      <c r="R486" s="265"/>
      <c r="S486" s="265"/>
      <c r="T486" s="265"/>
      <c r="U486" s="265"/>
      <c r="V486" s="265"/>
      <c r="W486" s="265"/>
      <c r="X486" s="265"/>
      <c r="Y486" s="265"/>
      <c r="Z486" s="265"/>
      <c r="AA486" s="265"/>
      <c r="AB486" s="265"/>
      <c r="AC486" s="265"/>
      <c r="AD486" s="265"/>
      <c r="AE486" s="265"/>
      <c r="AF486" s="265"/>
      <c r="AG486" s="265"/>
      <c r="AH486" s="265"/>
      <c r="AI486" s="265"/>
      <c r="AJ486" s="265"/>
      <c r="AK486" s="265"/>
      <c r="AL486" s="265"/>
      <c r="AM486" s="244"/>
    </row>
    <row r="487" spans="1:39" ht="18" customHeight="1" x14ac:dyDescent="0.15">
      <c r="A487" s="242"/>
      <c r="B487" s="244"/>
      <c r="C487" s="242"/>
      <c r="D487" s="265"/>
      <c r="E487" s="244"/>
      <c r="F487" s="244"/>
      <c r="G487" s="244"/>
      <c r="H487" s="242"/>
      <c r="I487" s="265"/>
      <c r="J487" s="265"/>
      <c r="K487" s="265"/>
      <c r="L487" s="244"/>
      <c r="M487" s="242"/>
      <c r="N487" s="242"/>
      <c r="O487" s="242"/>
      <c r="P487" s="242"/>
      <c r="Q487" s="265"/>
      <c r="R487" s="265"/>
      <c r="S487" s="265"/>
      <c r="T487" s="265"/>
      <c r="U487" s="265"/>
      <c r="V487" s="265"/>
      <c r="W487" s="265"/>
      <c r="X487" s="265"/>
      <c r="Y487" s="265"/>
      <c r="Z487" s="265"/>
      <c r="AA487" s="265"/>
      <c r="AB487" s="265"/>
      <c r="AC487" s="265"/>
      <c r="AD487" s="265"/>
      <c r="AE487" s="265"/>
      <c r="AF487" s="265"/>
      <c r="AG487" s="265"/>
      <c r="AH487" s="265"/>
      <c r="AI487" s="265"/>
      <c r="AJ487" s="265"/>
      <c r="AK487" s="265"/>
      <c r="AL487" s="265"/>
      <c r="AM487" s="244"/>
    </row>
    <row r="488" spans="1:39" ht="18" customHeight="1" x14ac:dyDescent="0.15">
      <c r="A488" s="242"/>
      <c r="B488" s="244"/>
      <c r="C488" s="242"/>
      <c r="D488" s="265"/>
      <c r="E488" s="244"/>
      <c r="F488" s="244"/>
      <c r="G488" s="244"/>
      <c r="H488" s="242"/>
      <c r="I488" s="265"/>
      <c r="J488" s="265"/>
      <c r="K488" s="265"/>
      <c r="L488" s="244"/>
      <c r="M488" s="242"/>
      <c r="N488" s="242"/>
      <c r="O488" s="242"/>
      <c r="P488" s="242"/>
      <c r="Q488" s="265"/>
      <c r="R488" s="265"/>
      <c r="S488" s="265"/>
      <c r="T488" s="265"/>
      <c r="U488" s="265"/>
      <c r="V488" s="265"/>
      <c r="W488" s="265"/>
      <c r="X488" s="265"/>
      <c r="Y488" s="265"/>
      <c r="Z488" s="265"/>
      <c r="AA488" s="265"/>
      <c r="AB488" s="265"/>
      <c r="AC488" s="265"/>
      <c r="AD488" s="265"/>
      <c r="AE488" s="265"/>
      <c r="AF488" s="265"/>
      <c r="AG488" s="265"/>
      <c r="AH488" s="265"/>
      <c r="AI488" s="265"/>
      <c r="AJ488" s="265"/>
      <c r="AK488" s="265"/>
      <c r="AL488" s="265"/>
      <c r="AM488" s="244"/>
    </row>
    <row r="489" spans="1:39" ht="18" customHeight="1" x14ac:dyDescent="0.15">
      <c r="A489" s="242"/>
      <c r="B489" s="244"/>
      <c r="C489" s="242"/>
      <c r="D489" s="265"/>
      <c r="E489" s="244"/>
      <c r="F489" s="244"/>
      <c r="G489" s="244"/>
      <c r="H489" s="242"/>
      <c r="I489" s="265"/>
      <c r="J489" s="265"/>
      <c r="K489" s="265"/>
      <c r="L489" s="244"/>
      <c r="M489" s="242"/>
      <c r="N489" s="242"/>
      <c r="O489" s="242"/>
      <c r="P489" s="242"/>
      <c r="Q489" s="265"/>
      <c r="R489" s="265"/>
      <c r="S489" s="265"/>
      <c r="T489" s="265"/>
      <c r="U489" s="265"/>
      <c r="V489" s="265"/>
      <c r="W489" s="265"/>
      <c r="X489" s="265"/>
      <c r="Y489" s="265"/>
      <c r="Z489" s="265"/>
      <c r="AA489" s="265"/>
      <c r="AB489" s="265"/>
      <c r="AC489" s="265"/>
      <c r="AD489" s="265"/>
      <c r="AE489" s="265"/>
      <c r="AF489" s="265"/>
      <c r="AG489" s="265"/>
      <c r="AH489" s="265"/>
      <c r="AI489" s="265"/>
      <c r="AJ489" s="265"/>
      <c r="AK489" s="265"/>
      <c r="AL489" s="265"/>
      <c r="AM489" s="244"/>
    </row>
    <row r="490" spans="1:39" ht="18" customHeight="1" x14ac:dyDescent="0.15">
      <c r="A490" s="242"/>
      <c r="B490" s="244"/>
      <c r="C490" s="242"/>
      <c r="D490" s="265"/>
      <c r="E490" s="244"/>
      <c r="F490" s="244"/>
      <c r="G490" s="244"/>
      <c r="H490" s="242"/>
      <c r="I490" s="265"/>
      <c r="J490" s="265"/>
      <c r="K490" s="265"/>
      <c r="L490" s="244"/>
      <c r="M490" s="242"/>
      <c r="N490" s="242"/>
      <c r="O490" s="242"/>
      <c r="P490" s="242"/>
      <c r="Q490" s="265"/>
      <c r="R490" s="265"/>
      <c r="S490" s="265"/>
      <c r="T490" s="265"/>
      <c r="U490" s="265"/>
      <c r="V490" s="265"/>
      <c r="W490" s="265"/>
      <c r="X490" s="265"/>
      <c r="Y490" s="265"/>
      <c r="Z490" s="265"/>
      <c r="AA490" s="265"/>
      <c r="AB490" s="265"/>
      <c r="AC490" s="265"/>
      <c r="AD490" s="265"/>
      <c r="AE490" s="265"/>
      <c r="AF490" s="265"/>
      <c r="AG490" s="265"/>
      <c r="AH490" s="265"/>
      <c r="AI490" s="265"/>
      <c r="AJ490" s="265"/>
      <c r="AK490" s="265"/>
      <c r="AL490" s="265"/>
      <c r="AM490" s="244"/>
    </row>
    <row r="491" spans="1:39" ht="18" customHeight="1" x14ac:dyDescent="0.15">
      <c r="A491" s="242"/>
      <c r="B491" s="244"/>
      <c r="C491" s="242"/>
      <c r="D491" s="265"/>
      <c r="E491" s="244"/>
      <c r="F491" s="244"/>
      <c r="G491" s="244"/>
      <c r="H491" s="242"/>
      <c r="I491" s="265"/>
      <c r="J491" s="265"/>
      <c r="K491" s="265"/>
      <c r="L491" s="244"/>
      <c r="M491" s="242"/>
      <c r="N491" s="242"/>
      <c r="O491" s="242"/>
      <c r="P491" s="242"/>
      <c r="Q491" s="265"/>
      <c r="R491" s="265"/>
      <c r="S491" s="265"/>
      <c r="T491" s="265"/>
      <c r="U491" s="265"/>
      <c r="V491" s="265"/>
      <c r="W491" s="265"/>
      <c r="X491" s="265"/>
      <c r="Y491" s="265"/>
      <c r="Z491" s="265"/>
      <c r="AA491" s="265"/>
      <c r="AB491" s="265"/>
      <c r="AC491" s="265"/>
      <c r="AD491" s="265"/>
      <c r="AE491" s="265"/>
      <c r="AF491" s="265"/>
      <c r="AG491" s="265"/>
      <c r="AH491" s="265"/>
      <c r="AI491" s="265"/>
      <c r="AJ491" s="265"/>
      <c r="AK491" s="265"/>
      <c r="AL491" s="265"/>
      <c r="AM491" s="244"/>
    </row>
    <row r="492" spans="1:39" ht="18" customHeight="1" x14ac:dyDescent="0.15">
      <c r="A492" s="242"/>
      <c r="B492" s="244"/>
      <c r="C492" s="242"/>
      <c r="D492" s="265"/>
      <c r="E492" s="244"/>
      <c r="F492" s="244"/>
      <c r="G492" s="244"/>
      <c r="H492" s="242"/>
      <c r="I492" s="265"/>
      <c r="J492" s="265"/>
      <c r="K492" s="265"/>
      <c r="L492" s="244"/>
      <c r="M492" s="242"/>
      <c r="N492" s="242"/>
      <c r="O492" s="242"/>
      <c r="P492" s="242"/>
      <c r="Q492" s="265"/>
      <c r="R492" s="265"/>
      <c r="S492" s="265"/>
      <c r="T492" s="265"/>
      <c r="U492" s="265"/>
      <c r="V492" s="265"/>
      <c r="W492" s="265"/>
      <c r="X492" s="265"/>
      <c r="Y492" s="265"/>
      <c r="Z492" s="265"/>
      <c r="AA492" s="265"/>
      <c r="AB492" s="265"/>
      <c r="AC492" s="265"/>
      <c r="AD492" s="265"/>
      <c r="AE492" s="265"/>
      <c r="AF492" s="265"/>
      <c r="AG492" s="265"/>
      <c r="AH492" s="265"/>
      <c r="AI492" s="265"/>
      <c r="AJ492" s="265"/>
      <c r="AK492" s="265"/>
      <c r="AL492" s="265"/>
      <c r="AM492" s="244"/>
    </row>
    <row r="493" spans="1:39" ht="18" customHeight="1" x14ac:dyDescent="0.15">
      <c r="A493" s="242"/>
      <c r="B493" s="244"/>
      <c r="C493" s="242"/>
      <c r="D493" s="265"/>
      <c r="E493" s="244"/>
      <c r="F493" s="244"/>
      <c r="G493" s="244"/>
      <c r="H493" s="242"/>
      <c r="I493" s="265"/>
      <c r="J493" s="265"/>
      <c r="K493" s="265"/>
      <c r="L493" s="244"/>
      <c r="M493" s="242"/>
      <c r="N493" s="242"/>
      <c r="O493" s="242"/>
      <c r="P493" s="242"/>
      <c r="Q493" s="265"/>
      <c r="R493" s="265"/>
      <c r="S493" s="265"/>
      <c r="T493" s="265"/>
      <c r="U493" s="265"/>
      <c r="V493" s="265"/>
      <c r="W493" s="265"/>
      <c r="X493" s="265"/>
      <c r="Y493" s="265"/>
      <c r="Z493" s="265"/>
      <c r="AA493" s="265"/>
      <c r="AB493" s="265"/>
      <c r="AC493" s="265"/>
      <c r="AD493" s="265"/>
      <c r="AE493" s="265"/>
      <c r="AF493" s="265"/>
      <c r="AG493" s="265"/>
      <c r="AH493" s="265"/>
      <c r="AI493" s="265"/>
      <c r="AJ493" s="265"/>
      <c r="AK493" s="265"/>
      <c r="AL493" s="265"/>
      <c r="AM493" s="244"/>
    </row>
    <row r="494" spans="1:39" ht="18" customHeight="1" x14ac:dyDescent="0.15">
      <c r="A494" s="242"/>
      <c r="B494" s="244"/>
      <c r="C494" s="242"/>
      <c r="D494" s="265"/>
      <c r="E494" s="244"/>
      <c r="F494" s="244"/>
      <c r="G494" s="244"/>
      <c r="H494" s="242"/>
      <c r="I494" s="265"/>
      <c r="J494" s="265"/>
      <c r="K494" s="265"/>
      <c r="L494" s="244"/>
      <c r="M494" s="242"/>
      <c r="N494" s="242"/>
      <c r="O494" s="242"/>
      <c r="P494" s="242"/>
      <c r="Q494" s="265"/>
      <c r="R494" s="265"/>
      <c r="S494" s="265"/>
      <c r="T494" s="265"/>
      <c r="U494" s="265"/>
      <c r="V494" s="265"/>
      <c r="W494" s="265"/>
      <c r="X494" s="265"/>
      <c r="Y494" s="265"/>
      <c r="Z494" s="265"/>
      <c r="AA494" s="265"/>
      <c r="AB494" s="265"/>
      <c r="AC494" s="265"/>
      <c r="AD494" s="265"/>
      <c r="AE494" s="265"/>
      <c r="AF494" s="265"/>
      <c r="AG494" s="265"/>
      <c r="AH494" s="265"/>
      <c r="AI494" s="265"/>
      <c r="AJ494" s="265"/>
      <c r="AK494" s="265"/>
      <c r="AL494" s="265"/>
      <c r="AM494" s="244"/>
    </row>
    <row r="495" spans="1:39" ht="18" customHeight="1" x14ac:dyDescent="0.15">
      <c r="A495" s="242"/>
      <c r="B495" s="244"/>
      <c r="C495" s="242"/>
      <c r="D495" s="265"/>
      <c r="E495" s="244"/>
      <c r="F495" s="244"/>
      <c r="G495" s="244"/>
      <c r="H495" s="242"/>
      <c r="I495" s="265"/>
      <c r="J495" s="265"/>
      <c r="K495" s="265"/>
      <c r="L495" s="244"/>
      <c r="M495" s="242"/>
      <c r="N495" s="242"/>
      <c r="O495" s="242"/>
      <c r="P495" s="242"/>
      <c r="Q495" s="265"/>
      <c r="R495" s="265"/>
      <c r="S495" s="265"/>
      <c r="T495" s="265"/>
      <c r="U495" s="265"/>
      <c r="V495" s="265"/>
      <c r="W495" s="265"/>
      <c r="X495" s="265"/>
      <c r="Y495" s="265"/>
      <c r="Z495" s="265"/>
      <c r="AA495" s="265"/>
      <c r="AB495" s="265"/>
      <c r="AC495" s="265"/>
      <c r="AD495" s="265"/>
      <c r="AE495" s="265"/>
      <c r="AF495" s="265"/>
      <c r="AG495" s="265"/>
      <c r="AH495" s="265"/>
      <c r="AI495" s="265"/>
      <c r="AJ495" s="265"/>
      <c r="AK495" s="265"/>
      <c r="AL495" s="265"/>
      <c r="AM495" s="244"/>
    </row>
    <row r="496" spans="1:39" ht="18" customHeight="1" x14ac:dyDescent="0.15">
      <c r="A496" s="242"/>
      <c r="B496" s="244"/>
      <c r="C496" s="242"/>
      <c r="D496" s="265"/>
      <c r="E496" s="244"/>
      <c r="F496" s="244"/>
      <c r="G496" s="244"/>
      <c r="H496" s="242"/>
      <c r="I496" s="265"/>
      <c r="J496" s="265"/>
      <c r="K496" s="265"/>
      <c r="L496" s="244"/>
      <c r="M496" s="242"/>
      <c r="N496" s="242"/>
      <c r="O496" s="242"/>
      <c r="P496" s="242"/>
      <c r="Q496" s="265"/>
      <c r="R496" s="265"/>
      <c r="S496" s="265"/>
      <c r="T496" s="265"/>
      <c r="U496" s="265"/>
      <c r="V496" s="265"/>
      <c r="W496" s="265"/>
      <c r="X496" s="265"/>
      <c r="Y496" s="265"/>
      <c r="Z496" s="265"/>
      <c r="AA496" s="265"/>
      <c r="AB496" s="265"/>
      <c r="AC496" s="265"/>
      <c r="AD496" s="265"/>
      <c r="AE496" s="265"/>
      <c r="AF496" s="265"/>
      <c r="AG496" s="265"/>
      <c r="AH496" s="265"/>
      <c r="AI496" s="265"/>
      <c r="AJ496" s="265"/>
      <c r="AK496" s="265"/>
      <c r="AL496" s="265"/>
      <c r="AM496" s="244"/>
    </row>
    <row r="497" spans="1:39" ht="18" customHeight="1" x14ac:dyDescent="0.15">
      <c r="A497" s="242"/>
      <c r="B497" s="244"/>
      <c r="C497" s="242"/>
      <c r="D497" s="265"/>
      <c r="E497" s="244"/>
      <c r="F497" s="244"/>
      <c r="G497" s="244"/>
      <c r="H497" s="242"/>
      <c r="I497" s="265"/>
      <c r="J497" s="265"/>
      <c r="K497" s="265"/>
      <c r="L497" s="244"/>
      <c r="M497" s="242"/>
      <c r="N497" s="242"/>
      <c r="O497" s="242"/>
      <c r="P497" s="242"/>
      <c r="Q497" s="265"/>
      <c r="R497" s="265"/>
      <c r="S497" s="265"/>
      <c r="T497" s="265"/>
      <c r="U497" s="265"/>
      <c r="V497" s="265"/>
      <c r="W497" s="265"/>
      <c r="X497" s="265"/>
      <c r="Y497" s="265"/>
      <c r="Z497" s="265"/>
      <c r="AA497" s="265"/>
      <c r="AB497" s="265"/>
      <c r="AC497" s="265"/>
      <c r="AD497" s="265"/>
      <c r="AE497" s="265"/>
      <c r="AF497" s="265"/>
      <c r="AG497" s="265"/>
      <c r="AH497" s="265"/>
      <c r="AI497" s="265"/>
      <c r="AJ497" s="265"/>
      <c r="AK497" s="265"/>
      <c r="AL497" s="265"/>
      <c r="AM497" s="244"/>
    </row>
    <row r="498" spans="1:39" ht="18" customHeight="1" x14ac:dyDescent="0.15">
      <c r="A498" s="242"/>
      <c r="B498" s="244"/>
      <c r="C498" s="242"/>
      <c r="D498" s="265"/>
      <c r="E498" s="244"/>
      <c r="F498" s="244"/>
      <c r="G498" s="244"/>
      <c r="H498" s="242"/>
      <c r="I498" s="265"/>
      <c r="J498" s="265"/>
      <c r="K498" s="265"/>
      <c r="L498" s="244"/>
      <c r="M498" s="242"/>
      <c r="N498" s="242"/>
      <c r="O498" s="242"/>
      <c r="P498" s="242"/>
      <c r="Q498" s="265"/>
      <c r="R498" s="265"/>
      <c r="S498" s="265"/>
      <c r="T498" s="265"/>
      <c r="U498" s="265"/>
      <c r="V498" s="265"/>
      <c r="W498" s="265"/>
      <c r="X498" s="265"/>
      <c r="Y498" s="265"/>
      <c r="Z498" s="265"/>
      <c r="AA498" s="265"/>
      <c r="AB498" s="265"/>
      <c r="AC498" s="265"/>
      <c r="AD498" s="265"/>
      <c r="AE498" s="265"/>
      <c r="AF498" s="265"/>
      <c r="AG498" s="265"/>
      <c r="AH498" s="265"/>
      <c r="AI498" s="265"/>
      <c r="AJ498" s="265"/>
      <c r="AK498" s="265"/>
      <c r="AL498" s="265"/>
      <c r="AM498" s="244"/>
    </row>
    <row r="499" spans="1:39" ht="18" customHeight="1" x14ac:dyDescent="0.15">
      <c r="A499" s="242"/>
      <c r="B499" s="244"/>
      <c r="C499" s="242"/>
      <c r="D499" s="265"/>
      <c r="E499" s="244"/>
      <c r="F499" s="244"/>
      <c r="G499" s="244"/>
      <c r="H499" s="242"/>
      <c r="I499" s="265"/>
      <c r="J499" s="265"/>
      <c r="K499" s="265"/>
      <c r="L499" s="244"/>
      <c r="M499" s="242"/>
      <c r="N499" s="242"/>
      <c r="O499" s="242"/>
      <c r="P499" s="242"/>
      <c r="Q499" s="265"/>
      <c r="R499" s="265"/>
      <c r="S499" s="265"/>
      <c r="T499" s="265"/>
      <c r="U499" s="265"/>
      <c r="V499" s="265"/>
      <c r="W499" s="265"/>
      <c r="X499" s="265"/>
      <c r="Y499" s="265"/>
      <c r="Z499" s="265"/>
      <c r="AA499" s="265"/>
      <c r="AB499" s="265"/>
      <c r="AC499" s="265"/>
      <c r="AD499" s="265"/>
      <c r="AE499" s="265"/>
      <c r="AF499" s="265"/>
      <c r="AG499" s="265"/>
      <c r="AH499" s="265"/>
      <c r="AI499" s="265"/>
      <c r="AJ499" s="265"/>
      <c r="AK499" s="265"/>
      <c r="AL499" s="265"/>
      <c r="AM499" s="244"/>
    </row>
    <row r="500" spans="1:39" ht="18" customHeight="1" x14ac:dyDescent="0.15">
      <c r="A500" s="242"/>
      <c r="B500" s="244"/>
      <c r="C500" s="242"/>
      <c r="D500" s="265"/>
      <c r="E500" s="244"/>
      <c r="F500" s="244"/>
      <c r="G500" s="244"/>
      <c r="H500" s="242"/>
      <c r="I500" s="265"/>
      <c r="J500" s="265"/>
      <c r="K500" s="265"/>
      <c r="L500" s="244"/>
      <c r="M500" s="242"/>
      <c r="N500" s="242"/>
      <c r="O500" s="242"/>
      <c r="P500" s="242"/>
      <c r="Q500" s="265"/>
      <c r="R500" s="265"/>
      <c r="S500" s="265"/>
      <c r="T500" s="265"/>
      <c r="U500" s="265"/>
      <c r="V500" s="265"/>
      <c r="W500" s="265"/>
      <c r="X500" s="265"/>
      <c r="Y500" s="265"/>
      <c r="Z500" s="265"/>
      <c r="AA500" s="265"/>
      <c r="AB500" s="265"/>
      <c r="AC500" s="265"/>
      <c r="AD500" s="265"/>
      <c r="AE500" s="265"/>
      <c r="AF500" s="265"/>
      <c r="AG500" s="265"/>
      <c r="AH500" s="265"/>
      <c r="AI500" s="265"/>
      <c r="AJ500" s="265"/>
      <c r="AK500" s="265"/>
      <c r="AL500" s="265"/>
      <c r="AM500" s="244"/>
    </row>
    <row r="501" spans="1:39" ht="18" customHeight="1" x14ac:dyDescent="0.15">
      <c r="A501" s="242"/>
      <c r="B501" s="244"/>
      <c r="C501" s="242"/>
      <c r="D501" s="265"/>
      <c r="E501" s="244"/>
      <c r="F501" s="244"/>
      <c r="G501" s="244"/>
      <c r="H501" s="242"/>
      <c r="I501" s="265"/>
      <c r="J501" s="265"/>
      <c r="K501" s="265"/>
      <c r="L501" s="244"/>
      <c r="M501" s="242"/>
      <c r="N501" s="242"/>
      <c r="O501" s="242"/>
      <c r="P501" s="242"/>
      <c r="Q501" s="265"/>
      <c r="R501" s="265"/>
      <c r="S501" s="265"/>
      <c r="T501" s="265"/>
      <c r="U501" s="265"/>
      <c r="V501" s="265"/>
      <c r="W501" s="265"/>
      <c r="X501" s="265"/>
      <c r="Y501" s="265"/>
      <c r="Z501" s="265"/>
      <c r="AA501" s="265"/>
      <c r="AB501" s="265"/>
      <c r="AC501" s="265"/>
      <c r="AD501" s="265"/>
      <c r="AE501" s="265"/>
      <c r="AF501" s="265"/>
      <c r="AG501" s="265"/>
      <c r="AH501" s="265"/>
      <c r="AI501" s="265"/>
      <c r="AJ501" s="265"/>
      <c r="AK501" s="265"/>
      <c r="AL501" s="265"/>
      <c r="AM501" s="244"/>
    </row>
    <row r="502" spans="1:39" ht="18" customHeight="1" x14ac:dyDescent="0.15">
      <c r="A502" s="242"/>
      <c r="B502" s="244"/>
      <c r="C502" s="242"/>
      <c r="D502" s="265"/>
      <c r="E502" s="244"/>
      <c r="F502" s="244"/>
      <c r="G502" s="244"/>
      <c r="H502" s="242"/>
      <c r="I502" s="265"/>
      <c r="J502" s="265"/>
      <c r="K502" s="265"/>
      <c r="L502" s="244"/>
      <c r="M502" s="242"/>
      <c r="N502" s="242"/>
      <c r="O502" s="242"/>
      <c r="P502" s="242"/>
      <c r="Q502" s="265"/>
      <c r="R502" s="265"/>
      <c r="S502" s="265"/>
      <c r="T502" s="265"/>
      <c r="U502" s="265"/>
      <c r="V502" s="265"/>
      <c r="W502" s="265"/>
      <c r="X502" s="265"/>
      <c r="Y502" s="265"/>
      <c r="Z502" s="265"/>
      <c r="AA502" s="265"/>
      <c r="AB502" s="265"/>
      <c r="AC502" s="265"/>
      <c r="AD502" s="265"/>
      <c r="AE502" s="265"/>
      <c r="AF502" s="265"/>
      <c r="AG502" s="265"/>
      <c r="AH502" s="265"/>
      <c r="AI502" s="265"/>
      <c r="AJ502" s="265"/>
      <c r="AK502" s="265"/>
      <c r="AL502" s="265"/>
      <c r="AM502" s="244"/>
    </row>
    <row r="503" spans="1:39" ht="18" customHeight="1" x14ac:dyDescent="0.15">
      <c r="A503" s="242"/>
      <c r="B503" s="244"/>
      <c r="C503" s="242"/>
      <c r="D503" s="265"/>
      <c r="E503" s="244"/>
      <c r="F503" s="244"/>
      <c r="G503" s="244"/>
      <c r="H503" s="242"/>
      <c r="I503" s="265"/>
      <c r="J503" s="265"/>
      <c r="K503" s="265"/>
      <c r="L503" s="244"/>
      <c r="M503" s="242"/>
      <c r="N503" s="242"/>
      <c r="O503" s="242"/>
      <c r="P503" s="242"/>
      <c r="Q503" s="265"/>
      <c r="R503" s="265"/>
      <c r="S503" s="265"/>
      <c r="T503" s="265"/>
      <c r="U503" s="265"/>
      <c r="V503" s="265"/>
      <c r="W503" s="265"/>
      <c r="X503" s="265"/>
      <c r="Y503" s="265"/>
      <c r="Z503" s="265"/>
      <c r="AA503" s="265"/>
      <c r="AB503" s="265"/>
      <c r="AC503" s="265"/>
      <c r="AD503" s="265"/>
      <c r="AE503" s="265"/>
      <c r="AF503" s="265"/>
      <c r="AG503" s="265"/>
      <c r="AH503" s="265"/>
      <c r="AI503" s="265"/>
      <c r="AJ503" s="265"/>
      <c r="AK503" s="265"/>
      <c r="AL503" s="265"/>
      <c r="AM503" s="244"/>
    </row>
    <row r="504" spans="1:39" ht="18" customHeight="1" x14ac:dyDescent="0.15">
      <c r="A504" s="242"/>
      <c r="B504" s="244"/>
      <c r="C504" s="242"/>
      <c r="D504" s="265"/>
      <c r="E504" s="244"/>
      <c r="F504" s="244"/>
      <c r="G504" s="244"/>
      <c r="H504" s="242"/>
      <c r="I504" s="265"/>
      <c r="J504" s="265"/>
      <c r="K504" s="265"/>
      <c r="L504" s="244"/>
      <c r="M504" s="242"/>
      <c r="N504" s="242"/>
      <c r="O504" s="242"/>
      <c r="P504" s="242"/>
      <c r="Q504" s="265"/>
      <c r="R504" s="265"/>
      <c r="S504" s="265"/>
      <c r="T504" s="265"/>
      <c r="U504" s="265"/>
      <c r="V504" s="265"/>
      <c r="W504" s="265"/>
      <c r="X504" s="265"/>
      <c r="Y504" s="265"/>
      <c r="Z504" s="265"/>
      <c r="AA504" s="265"/>
      <c r="AB504" s="265"/>
      <c r="AC504" s="265"/>
      <c r="AD504" s="265"/>
      <c r="AE504" s="265"/>
      <c r="AF504" s="265"/>
      <c r="AG504" s="265"/>
      <c r="AH504" s="265"/>
      <c r="AI504" s="265"/>
      <c r="AJ504" s="265"/>
      <c r="AK504" s="265"/>
      <c r="AL504" s="265"/>
      <c r="AM504" s="244"/>
    </row>
    <row r="505" spans="1:39" ht="18" customHeight="1" x14ac:dyDescent="0.15">
      <c r="A505" s="242"/>
      <c r="B505" s="244"/>
      <c r="C505" s="242"/>
      <c r="D505" s="265"/>
      <c r="E505" s="244"/>
      <c r="F505" s="244"/>
      <c r="G505" s="244"/>
      <c r="H505" s="242"/>
      <c r="I505" s="265"/>
      <c r="J505" s="265"/>
      <c r="K505" s="265"/>
      <c r="L505" s="244"/>
      <c r="M505" s="242"/>
      <c r="N505" s="242"/>
      <c r="O505" s="242"/>
      <c r="P505" s="242"/>
      <c r="Q505" s="265"/>
      <c r="R505" s="265"/>
      <c r="S505" s="265"/>
      <c r="T505" s="265"/>
      <c r="U505" s="265"/>
      <c r="V505" s="265"/>
      <c r="W505" s="265"/>
      <c r="X505" s="265"/>
      <c r="Y505" s="265"/>
      <c r="Z505" s="265"/>
      <c r="AA505" s="265"/>
      <c r="AB505" s="265"/>
      <c r="AC505" s="265"/>
      <c r="AD505" s="265"/>
      <c r="AE505" s="265"/>
      <c r="AF505" s="265"/>
      <c r="AG505" s="265"/>
      <c r="AH505" s="265"/>
      <c r="AI505" s="265"/>
      <c r="AJ505" s="265"/>
      <c r="AK505" s="265"/>
      <c r="AL505" s="265"/>
      <c r="AM505" s="244"/>
    </row>
    <row r="506" spans="1:39" ht="18" customHeight="1" x14ac:dyDescent="0.15">
      <c r="A506" s="242"/>
      <c r="B506" s="244"/>
      <c r="C506" s="242"/>
      <c r="D506" s="265"/>
      <c r="E506" s="244"/>
      <c r="F506" s="244"/>
      <c r="G506" s="244"/>
      <c r="H506" s="242"/>
      <c r="I506" s="265"/>
      <c r="J506" s="265"/>
      <c r="K506" s="265"/>
      <c r="L506" s="244"/>
      <c r="M506" s="242"/>
      <c r="N506" s="242"/>
      <c r="O506" s="242"/>
      <c r="P506" s="242"/>
      <c r="Q506" s="265"/>
      <c r="R506" s="265"/>
      <c r="S506" s="265"/>
      <c r="T506" s="265"/>
      <c r="U506" s="265"/>
      <c r="V506" s="265"/>
      <c r="W506" s="265"/>
      <c r="X506" s="265"/>
      <c r="Y506" s="265"/>
      <c r="Z506" s="265"/>
      <c r="AA506" s="265"/>
      <c r="AB506" s="265"/>
      <c r="AC506" s="265"/>
      <c r="AD506" s="265"/>
      <c r="AE506" s="265"/>
      <c r="AF506" s="265"/>
      <c r="AG506" s="265"/>
      <c r="AH506" s="265"/>
      <c r="AI506" s="265"/>
      <c r="AJ506" s="265"/>
      <c r="AK506" s="265"/>
      <c r="AL506" s="265"/>
      <c r="AM506" s="244"/>
    </row>
    <row r="507" spans="1:39" ht="18" customHeight="1" x14ac:dyDescent="0.15">
      <c r="A507" s="242"/>
      <c r="B507" s="244"/>
      <c r="C507" s="242"/>
      <c r="D507" s="265"/>
      <c r="E507" s="244"/>
      <c r="F507" s="244"/>
      <c r="G507" s="244"/>
      <c r="H507" s="242"/>
      <c r="I507" s="265"/>
      <c r="J507" s="265"/>
      <c r="K507" s="265"/>
      <c r="L507" s="244"/>
      <c r="M507" s="242"/>
      <c r="N507" s="242"/>
      <c r="O507" s="242"/>
      <c r="P507" s="242"/>
      <c r="Q507" s="265"/>
      <c r="R507" s="265"/>
      <c r="S507" s="265"/>
      <c r="T507" s="265"/>
      <c r="U507" s="265"/>
      <c r="V507" s="265"/>
      <c r="W507" s="265"/>
      <c r="X507" s="265"/>
      <c r="Y507" s="265"/>
      <c r="Z507" s="265"/>
      <c r="AA507" s="265"/>
      <c r="AB507" s="265"/>
      <c r="AC507" s="265"/>
      <c r="AD507" s="265"/>
      <c r="AE507" s="265"/>
      <c r="AF507" s="265"/>
      <c r="AG507" s="265"/>
      <c r="AH507" s="265"/>
      <c r="AI507" s="265"/>
      <c r="AJ507" s="265"/>
      <c r="AK507" s="265"/>
      <c r="AL507" s="265"/>
      <c r="AM507" s="244"/>
    </row>
    <row r="508" spans="1:39" ht="18" customHeight="1" x14ac:dyDescent="0.15">
      <c r="A508" s="242"/>
      <c r="B508" s="244"/>
      <c r="C508" s="242"/>
      <c r="D508" s="265"/>
      <c r="E508" s="244"/>
      <c r="F508" s="244"/>
      <c r="G508" s="244"/>
      <c r="H508" s="242"/>
      <c r="I508" s="265"/>
      <c r="J508" s="265"/>
      <c r="K508" s="265"/>
      <c r="L508" s="244"/>
      <c r="M508" s="242"/>
      <c r="N508" s="242"/>
      <c r="O508" s="242"/>
      <c r="P508" s="242"/>
      <c r="Q508" s="265"/>
      <c r="R508" s="265"/>
      <c r="S508" s="265"/>
      <c r="T508" s="265"/>
      <c r="U508" s="265"/>
      <c r="V508" s="265"/>
      <c r="W508" s="265"/>
      <c r="X508" s="265"/>
      <c r="Y508" s="265"/>
      <c r="Z508" s="265"/>
      <c r="AA508" s="265"/>
      <c r="AB508" s="265"/>
      <c r="AC508" s="265"/>
      <c r="AD508" s="265"/>
      <c r="AE508" s="265"/>
      <c r="AF508" s="265"/>
      <c r="AG508" s="265"/>
      <c r="AH508" s="265"/>
      <c r="AI508" s="265"/>
      <c r="AJ508" s="265"/>
      <c r="AK508" s="265"/>
      <c r="AL508" s="265"/>
      <c r="AM508" s="244"/>
    </row>
  </sheetData>
  <sheetProtection algorithmName="SHA-512" hashValue="NfdoURMCXsmiUK3bivei/S977Z3ECwselKgkHorbJETSo9XeB7HW/C1J7nLxbi+fp9JgqyhJ6jAICbvrrNveWA==" saltValue="BCyYbO7FjaSmwsQ3gka3IA==" spinCount="100000" sheet="1" scenarios="1" formatCells="0" formatColumns="0" formatRows="0" insertColumns="0" insertRows="0" deleteColumns="0" deleteRows="0" sort="0" autoFilter="0" pivotTables="0"/>
  <protectedRanges>
    <protectedRange sqref="E49 B6 K6:K10 K33:K39 K42:K47 E13:F19 E33:F39 G38:G41 K22:K31 G29:G35 G19:G27 E22:F31 P3:P10 P33:P36 P42:P47 P13:P17 P22:P29 B32:D32 H20:J21 B40:D41 B3:D4 E2:F10 G10:G16 G46:G49 E76:F76 R113:R119 B76 E124:F124 P171 K13:K19 E42:F47 G6:G8 B5:C5 H48:J51 B20:D21 B11:D12 H40:J41 H32:J32 H5:J5 B48:D51 E52:F52 B52 P52:P74 B124:B141 B143:B170 AN1:XFD2 AM50:AN166 E171:F1048576 B171:C1048576 H3:H171 H340:H1048576 AM167:XFD1048576 L167:L1048576 G167:G1048576 M3:M340 M509:M1048576 M48:O51 P124 P76:P121 M40:O41 M20:O21 M11:O12 M3:O5 M32:O32 Q3:Q49 S3:XFD49 R3:R6 R14:R49 G3:K4 H11:J12 O150:P150 O142:P142 O161:P161 J155:K155 J150:K150 J142:K142 J161:K161 J16 O35 O16 J35 O132:P133 J132:K133 E155 E150:F150 E142:F142 E161:F161 E132:F133 O108 O119 P19 P31 P38:P39" name="Range1"/>
    <protectedRange sqref="C10:D10 N10:O10 I10:J10" name="Range1_1"/>
    <protectedRange sqref="B7:C9 C6 B42:D47 B13:D19 D6:D9 H13:J15 H33:J34 H7:J9 I6:J6 H22:J31 M13:O15 B22:D31 B33:D39 M42:O47 M22:O31 N6:O6 M7:O9 M33:O34 H42:J47 M17:O19 M16:N16 H17:J19 H16:I16 H36:J39 H35:I35 M36:O39 M35:N35 P18 P30 P37" name="Range1_5"/>
    <protectedRange sqref="B10 H10 M10" name="Range1_1_1"/>
    <protectedRange sqref="C123 B65:B68 I52:J52 H65:H68 M65:M68 N123:O123 G5 C52 N171:O171 N52:O52 E54:F62 AO50:XFD166 G50:G166 I123:J123" name="Range1_3"/>
    <protectedRange sqref="C70:D73 C65:D68 I54:J63 C54:D63 I70:J73 N70:O73 N54:O63 N65:O68 I65:J68" name="Range1_1_2"/>
    <protectedRange sqref="C69:D69 C64:D64 C53:D53 I74:J74 I64:J64 I53:J53 C74:D74 N74:O74 N64:O64 N69:O69 N53:O53 I69:J69" name="Range1_5_1"/>
    <protectedRange sqref="B53:B64 H53:H64 M53:M64 B69:B74 H69:H74 M69:M74" name="Range1_1_1_1"/>
    <protectedRange sqref="C161 C124 C133 C155 C150 C142 I150 I142 I161 I133 I155 N161 N124:O124 N142 N150 N155 N133 I124:J124 O151:P160 O162:P170 O134:P141 O143:P149 J156:K160 J151:K154 J162:K170 J143:K149 O125:P131 J134:K141 J125:K131 F151:F160 E156:E160 E151:E154 E162:F170 E143:F149 E134:F141 E125:F131" name="Range1_7"/>
    <protectedRange sqref="C143:C149 C151:C154 C162:C170 I156:I160 C156:C160 C125:C132 I125:I132 I134:I141 I143:I149 I151:I154 N125:N132 N162:N170 N151:N154 N143:N149 N156:N160 I162:I170 C134:C141 N134:N141" name="Range1_1_2_1"/>
    <protectedRange sqref="E96:F99 E103:F108 E110:F114 E92:F94 N76:O76 E117:F121 E81:F85 E78:F79 C76 I76:J76" name="Range1_4"/>
    <protectedRange sqref="C92:D94 C81:D85 C87:C88 C96:D97 C103:D108 I110:J114 I103:J107 I81:J83 C117:D120 I92:J94 I87:J88 N81:O85 N103:O107 N117:O118 N87:O88 N92:O94 I96:J97 N110:O114 I85:J85 N96:O97 C110:D114 K118:K119 I84 I117:J120 N108 I108 N120:O120 N119" name="Range1_1_3"/>
    <protectedRange sqref="D98:D99 B101:F102 B80:F80 B87:B88 B77:F77 B89:F91 D87:F88 B78:D79 H87:H88 M87:M88 H95:J95 H98:J102 H109:J109 D100:F100 B95:F95 H115:J116 H121:J121 B109:F109 H77:J80 H86:J86 B121:D121 M121:O121 B86:F86 B98:C100 B115:F116 M115:O116 M109:O109 M98:O102 M95:O95 M89:O91 M86:O86 M77:O80 H89:J91" name="Range1_5_2"/>
    <protectedRange sqref="B96:B97 B92:B94 B110:B114 B103:B108 B81:B85 H96:H97 H92:H94 H110:H114 H103:H108 H81:H85 M96:M97 M92:M94 M110:M114 M103:M108 M81:M85 B117:B120 H117:H120 M117:M120" name="Range1_1_1_2"/>
  </protectedRanges>
  <dataConsolidate link="1"/>
  <phoneticPr fontId="14" type="noConversion"/>
  <hyperlinks>
    <hyperlink ref="N84" location="Sheet_PhaiThuDauTu!A1" display="Phải thu cho vay ngắn hạn" xr:uid="{0A1CEF01-2BB6-4B50-936C-B7E218C979DE}"/>
    <hyperlink ref="N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8</xdr:col>
                    <xdr:colOff>1247775</xdr:colOff>
                    <xdr:row>0</xdr:row>
                    <xdr:rowOff>152400</xdr:rowOff>
                  </from>
                  <to>
                    <xdr:col>8</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8</xdr:col>
                    <xdr:colOff>1714500</xdr:colOff>
                    <xdr:row>0</xdr:row>
                    <xdr:rowOff>152400</xdr:rowOff>
                  </from>
                  <to>
                    <xdr:col>8</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8</xdr:col>
                    <xdr:colOff>2181225</xdr:colOff>
                    <xdr:row>0</xdr:row>
                    <xdr:rowOff>152400</xdr:rowOff>
                  </from>
                  <to>
                    <xdr:col>8</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8</xdr:col>
                    <xdr:colOff>2657475</xdr:colOff>
                    <xdr:row>0</xdr:row>
                    <xdr:rowOff>152400</xdr:rowOff>
                  </from>
                  <to>
                    <xdr:col>8</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8</xdr:col>
                    <xdr:colOff>1133475</xdr:colOff>
                    <xdr:row>0</xdr:row>
                    <xdr:rowOff>104775</xdr:rowOff>
                  </from>
                  <to>
                    <xdr:col>8</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7</xdr:col>
                    <xdr:colOff>19050</xdr:colOff>
                    <xdr:row>0</xdr:row>
                    <xdr:rowOff>104775</xdr:rowOff>
                  </from>
                  <to>
                    <xdr:col>8</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7</xdr:col>
                    <xdr:colOff>104775</xdr:colOff>
                    <xdr:row>0</xdr:row>
                    <xdr:rowOff>200025</xdr:rowOff>
                  </from>
                  <to>
                    <xdr:col>7</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8</xdr:col>
                    <xdr:colOff>28575</xdr:colOff>
                    <xdr:row>0</xdr:row>
                    <xdr:rowOff>200025</xdr:rowOff>
                  </from>
                  <to>
                    <xdr:col>8</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8</xdr:col>
                    <xdr:colOff>542925</xdr:colOff>
                    <xdr:row>0</xdr:row>
                    <xdr:rowOff>200025</xdr:rowOff>
                  </from>
                  <to>
                    <xdr:col>8</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15</xdr:col>
                    <xdr:colOff>152400</xdr:colOff>
                    <xdr:row>0</xdr:row>
                    <xdr:rowOff>114300</xdr:rowOff>
                  </from>
                  <to>
                    <xdr:col>15</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15</xdr:col>
                    <xdr:colOff>561975</xdr:colOff>
                    <xdr:row>0</xdr:row>
                    <xdr:rowOff>114300</xdr:rowOff>
                  </from>
                  <to>
                    <xdr:col>15</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10</xdr:col>
                    <xdr:colOff>152400</xdr:colOff>
                    <xdr:row>0</xdr:row>
                    <xdr:rowOff>114300</xdr:rowOff>
                  </from>
                  <to>
                    <xdr:col>10</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10</xdr:col>
                    <xdr:colOff>561975</xdr:colOff>
                    <xdr:row>0</xdr:row>
                    <xdr:rowOff>114300</xdr:rowOff>
                  </from>
                  <to>
                    <xdr:col>10</xdr:col>
                    <xdr:colOff>923925</xdr:colOff>
                    <xdr:row>1</xdr:row>
                    <xdr:rowOff>142875</xdr:rowOff>
                  </to>
                </anchor>
              </controlPr>
            </control>
          </mc:Choice>
        </mc:AlternateContent>
      </controls>
    </mc:Choice>
  </mc:AlternateContent>
  <tableParts count="3">
    <tablePart r:id="rId17"/>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S7:XFD13 S82:XFD88 P7:Q13 P82:Q88 P4:XFD6 A1:XFD3 P89:XFD170 A171:XFD178 A179:M179 O179:XFD179 A180:XFD1048576 P14:XFD81 A4:O170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outlinePr summaryRight="0"/>
  </sheetPr>
  <dimension ref="A2:AL39"/>
  <sheetViews>
    <sheetView showGridLines="0" topLeftCell="M16" workbookViewId="0">
      <selection activeCell="AC22" sqref="AC22"/>
    </sheetView>
  </sheetViews>
  <sheetFormatPr defaultRowHeight="18" customHeight="1" outlineLevelRow="1" outlineLevelCol="1" x14ac:dyDescent="0.3"/>
  <cols>
    <col min="1" max="1" width="1.25" style="7" customWidth="1" collapsed="1"/>
    <col min="2" max="2" width="13" style="7" hidden="1" customWidth="1" outlineLevel="1"/>
    <col min="3" max="3" width="16.25" style="7" hidden="1" customWidth="1" outlineLevel="1"/>
    <col min="4" max="4" width="9.625" style="7" hidden="1" customWidth="1" outlineLevel="1"/>
    <col min="5" max="10" width="1.25" style="7" hidden="1" customWidth="1" outlineLevel="1"/>
    <col min="11" max="11" width="1.25" style="7" customWidth="1"/>
    <col min="12" max="12" width="14.25" style="7" customWidth="1"/>
    <col min="13" max="13" width="13.875" style="38" customWidth="1"/>
    <col min="14" max="14" width="10.625" style="7" customWidth="1"/>
    <col min="15" max="15" width="10.625" style="7" bestFit="1" customWidth="1"/>
    <col min="16" max="16" width="13.375" style="7" bestFit="1" customWidth="1"/>
    <col min="17" max="17" width="6.75" style="7" bestFit="1" customWidth="1"/>
    <col min="18" max="18" width="1.625" style="7" customWidth="1"/>
    <col min="19" max="19" width="11.875" style="7" customWidth="1"/>
    <col min="20" max="20" width="10.625" style="7" customWidth="1"/>
    <col min="21" max="21" width="15.25" style="7" customWidth="1"/>
    <col min="22" max="22" width="12.125" style="7" customWidth="1" outlineLevel="1" collapsed="1"/>
    <col min="23" max="23" width="11.875" style="7" customWidth="1" outlineLevel="1"/>
    <col min="24" max="24" width="8.125" style="7" customWidth="1"/>
    <col min="25" max="25" width="1.625" style="7" customWidth="1"/>
    <col min="26" max="26" width="10.875" style="7" customWidth="1"/>
    <col min="27" max="27" width="11.875" style="7" customWidth="1"/>
    <col min="28" max="28" width="16.375" style="7" customWidth="1"/>
    <col min="29" max="29" width="14.25" style="7" customWidth="1" outlineLevel="1"/>
    <col min="30" max="30" width="11.5" style="7" customWidth="1" outlineLevel="1"/>
    <col min="31" max="31" width="8.125" style="7" customWidth="1"/>
    <col min="32" max="32" width="1.625" style="7" customWidth="1"/>
    <col min="33" max="33" width="5.625" style="7" bestFit="1" customWidth="1"/>
    <col min="34" max="34" width="6" style="7" bestFit="1" customWidth="1"/>
    <col min="35" max="35" width="7.125" style="7" bestFit="1" customWidth="1"/>
    <col min="36" max="36" width="10" style="7" bestFit="1" customWidth="1"/>
    <col min="37" max="37" width="14.25" style="38" bestFit="1" customWidth="1"/>
    <col min="38" max="39" width="6.75" style="7" bestFit="1" customWidth="1"/>
    <col min="40" max="16384" width="9" style="7"/>
  </cols>
  <sheetData>
    <row r="2" spans="17:38" ht="18" customHeight="1" x14ac:dyDescent="0.3">
      <c r="Q2" s="221"/>
      <c r="R2" s="12"/>
      <c r="S2" s="12"/>
      <c r="T2" s="12"/>
      <c r="W2" s="12"/>
      <c r="X2" s="12"/>
      <c r="Y2" s="12"/>
      <c r="Z2" s="12"/>
      <c r="AA2" s="12"/>
      <c r="AD2" s="12"/>
      <c r="AE2" s="12"/>
      <c r="AF2" s="12"/>
    </row>
    <row r="3" spans="17:38" s="12" customFormat="1" ht="18" customHeight="1" outlineLevel="1" x14ac:dyDescent="0.3">
      <c r="AC3" s="222"/>
      <c r="AG3" s="7"/>
      <c r="AH3" s="7"/>
      <c r="AI3" s="7"/>
      <c r="AJ3" s="7"/>
      <c r="AL3" s="7"/>
    </row>
    <row r="4" spans="17:38" s="12" customFormat="1" ht="18" customHeight="1" outlineLevel="1" x14ac:dyDescent="0.3">
      <c r="AC4" s="222"/>
      <c r="AG4" s="7"/>
      <c r="AH4" s="7"/>
      <c r="AI4" s="7"/>
      <c r="AJ4" s="7"/>
      <c r="AK4" s="221"/>
      <c r="AL4" s="7"/>
    </row>
    <row r="5" spans="17:38" s="12" customFormat="1" ht="18" customHeight="1" outlineLevel="1" x14ac:dyDescent="0.3">
      <c r="AC5" s="222"/>
      <c r="AG5" s="7"/>
      <c r="AH5" s="7"/>
      <c r="AI5" s="7"/>
      <c r="AJ5" s="7"/>
      <c r="AK5" s="221"/>
      <c r="AL5" s="7"/>
    </row>
    <row r="6" spans="17:38" s="12" customFormat="1" ht="18" customHeight="1" outlineLevel="1" x14ac:dyDescent="0.3">
      <c r="AC6" s="222"/>
      <c r="AG6" s="7"/>
      <c r="AH6" s="7"/>
      <c r="AI6" s="7"/>
      <c r="AJ6" s="7"/>
      <c r="AK6" s="221"/>
      <c r="AL6" s="7"/>
    </row>
    <row r="7" spans="17:38" s="12" customFormat="1" ht="18" customHeight="1" outlineLevel="1" x14ac:dyDescent="0.3">
      <c r="AC7" s="222"/>
      <c r="AG7" s="7"/>
      <c r="AH7" s="7"/>
      <c r="AI7" s="7"/>
      <c r="AJ7" s="7"/>
      <c r="AK7" s="221"/>
      <c r="AL7" s="7"/>
    </row>
    <row r="8" spans="17:38" s="12" customFormat="1" ht="18" customHeight="1" outlineLevel="1" x14ac:dyDescent="0.3">
      <c r="AC8" s="222"/>
      <c r="AG8" s="7"/>
      <c r="AH8" s="7"/>
      <c r="AI8" s="7"/>
      <c r="AJ8" s="7"/>
      <c r="AK8" s="221"/>
      <c r="AL8" s="7"/>
    </row>
    <row r="9" spans="17:38" s="12" customFormat="1" ht="18" customHeight="1" outlineLevel="1" x14ac:dyDescent="0.3">
      <c r="AC9" s="222"/>
      <c r="AG9" s="7"/>
      <c r="AH9" s="7"/>
      <c r="AI9" s="7"/>
      <c r="AJ9" s="7"/>
      <c r="AK9" s="221"/>
      <c r="AL9" s="7"/>
    </row>
    <row r="10" spans="17:38" s="12" customFormat="1" ht="18" customHeight="1" outlineLevel="1" x14ac:dyDescent="0.3">
      <c r="AC10" s="222"/>
      <c r="AG10" s="7"/>
      <c r="AH10" s="7"/>
      <c r="AI10" s="7"/>
      <c r="AJ10" s="7"/>
      <c r="AK10" s="221"/>
      <c r="AL10" s="7"/>
    </row>
    <row r="11" spans="17:38" s="12" customFormat="1" ht="18" customHeight="1" outlineLevel="1" x14ac:dyDescent="0.3">
      <c r="AC11" s="222"/>
      <c r="AG11" s="7"/>
      <c r="AH11" s="7"/>
      <c r="AI11" s="7"/>
      <c r="AJ11" s="7"/>
      <c r="AK11" s="221"/>
      <c r="AL11" s="7"/>
    </row>
    <row r="12" spans="17:38" s="12" customFormat="1" ht="18" customHeight="1" outlineLevel="1" x14ac:dyDescent="0.3">
      <c r="AC12" s="222"/>
      <c r="AG12" s="7"/>
      <c r="AH12" s="7"/>
      <c r="AI12" s="7"/>
      <c r="AJ12" s="7"/>
      <c r="AK12" s="221"/>
      <c r="AL12" s="7"/>
    </row>
    <row r="13" spans="17:38" s="12" customFormat="1" ht="18" customHeight="1" outlineLevel="1" x14ac:dyDescent="0.3">
      <c r="AC13" s="222"/>
      <c r="AG13" s="7"/>
      <c r="AH13" s="7"/>
      <c r="AI13" s="7"/>
      <c r="AJ13" s="7"/>
      <c r="AK13" s="221"/>
      <c r="AL13" s="7"/>
    </row>
    <row r="14" spans="17:38" s="12" customFormat="1" ht="18" customHeight="1" outlineLevel="1" x14ac:dyDescent="0.3">
      <c r="AC14" s="222"/>
      <c r="AG14" s="7"/>
      <c r="AH14" s="7"/>
      <c r="AI14" s="7"/>
      <c r="AJ14" s="7"/>
      <c r="AK14" s="221"/>
      <c r="AL14" s="7"/>
    </row>
    <row r="15" spans="17:38" s="12" customFormat="1" ht="18" customHeight="1" outlineLevel="1" x14ac:dyDescent="0.3">
      <c r="AC15" s="222"/>
      <c r="AG15" s="7"/>
      <c r="AH15" s="7"/>
      <c r="AI15" s="7"/>
      <c r="AJ15" s="7"/>
      <c r="AK15" s="221"/>
      <c r="AL15" s="7"/>
    </row>
    <row r="16" spans="17:38" s="12" customFormat="1" ht="18" customHeight="1" outlineLevel="1" x14ac:dyDescent="0.3">
      <c r="AC16" s="222"/>
      <c r="AG16" s="7"/>
      <c r="AH16" s="7"/>
      <c r="AI16" s="7"/>
      <c r="AJ16" s="7"/>
      <c r="AK16" s="221"/>
      <c r="AL16" s="7"/>
    </row>
    <row r="17" spans="2:38" s="12" customFormat="1" ht="18" customHeight="1" outlineLevel="1" x14ac:dyDescent="0.3">
      <c r="AC17" s="222"/>
      <c r="AG17" s="7"/>
      <c r="AH17" s="7"/>
      <c r="AI17" s="7"/>
      <c r="AJ17" s="7"/>
      <c r="AK17" s="221"/>
      <c r="AL17" s="7"/>
    </row>
    <row r="18" spans="2:38" s="12" customFormat="1" ht="18" customHeight="1" outlineLevel="1" x14ac:dyDescent="0.3">
      <c r="AC18" s="222"/>
      <c r="AG18" s="7"/>
      <c r="AH18" s="7"/>
      <c r="AI18" s="7"/>
      <c r="AJ18" s="7"/>
      <c r="AK18" s="221"/>
      <c r="AL18" s="7"/>
    </row>
    <row r="19" spans="2:38" s="12" customFormat="1" ht="18" customHeight="1" outlineLevel="1" x14ac:dyDescent="0.3">
      <c r="AC19" s="222"/>
      <c r="AG19" s="7"/>
      <c r="AH19" s="7"/>
      <c r="AI19" s="7"/>
      <c r="AJ19" s="7"/>
      <c r="AK19" s="221"/>
      <c r="AL19" s="7"/>
    </row>
    <row r="20" spans="2:38" s="12" customFormat="1" ht="18" customHeight="1" x14ac:dyDescent="0.3">
      <c r="AC20" s="222"/>
      <c r="AG20" s="7"/>
      <c r="AH20" s="7"/>
      <c r="AI20" s="7"/>
      <c r="AJ20" s="7"/>
      <c r="AK20" s="221" cm="1">
        <f t="array" ref="AK20" xml:space="preserve">
+IFERROR(
SUM(_xlfn._xlws.FILTER(Table_TSCD[Giá trị sổ sách],
(ISBLANK(Table_TSCD[Ngày thanh lý]))*
(Table_TSCD[Mã Tài sản] = NoXau_MaNCC) *
(Table_TSCD[Ngày mua] &lt; NoXau_NgayTheoDoi)
)),0)
+IFERROR(
SUM(_xlfn._xlws.FILTER(Table_TSCD[Giá trị sổ sách],
(NOT(ISBLANK(Table_TSCD[Ngày thanh lý])))*
(Table_TSCD[Mã Tài sản] = NoXau_MaNCC) *
(Table_TSCD[Ngày thanh lý] &gt;= NoXau_NgayTheoDoi)*
(Table_TSCD[Ngày mua] &lt; NoXau_NgayTheoDoi)
)),0)
+ IFERROR(
SUM(_xlfn._xlws.FILTER(Table_DonMua[Phải trả],
(Table_DonMua[Mã Đối tác] = NoXau_MaNCC) *
(Table_DonMua[Ngày lập] &lt; NoXau_NgayTheoDoi)
)),0)
+IFERROR(
SUM(_xlfn._xlws.FILTER(#REF!,
(Table_DonBan[Kênh] = NoXau_MaNCC)*
(Table_DonBan[Ngày lập]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+IFERROR(
SUM(_xlfn._xlws.FILTER(Table_ChiPhiNV[Lương net],
(Table_ChiPhiNV[Nhân viên] = NoXau_MaNCC) *
(Table_ChiPhiNV[Kỳ] &lt; NoXau_NgayTheoDoi)
)),0)
+ IFERROR(
SUM(_xlfn._xlws.FILTER(Table_ChiPhiKD[Giá trị],
( Table_ChiPhiKD[Vendor] = NoXau_MaNCC) *
(NOT(ISBLANK(Table_ChiPhiKD[Tháng]))) *
(Table_ChiPhiKD[Kỳ] &lt; NoXau_NgayTheoDoi)
)),0)
+IFERROR(
SUM(_xlfn._xlws.FILTER(Table_ChiPhiKD[Giá trị],
(Table_ChiPhiKD[Vendor]=NoXau_MaNCC) *
(ISBLANK(Table_ChiPhiKD[Tháng])) *
(Table_ChiPhiKD[Phân bổ đến]&lt;NoXau_NgayTheoDoi)
)),0)
+IFERROR(
SUMPRODUCT(
_xlfn._xlws.FILTER(Table_ChiPhiKD[Giá trị],
(Table_ChiPhiKD[Vendor]=NoXau_MaNCC) *
(ISBLANK(Table_ChiPhiKD[Tháng])) *
(Table_ChiPhiKD[Phân bổ từ]&lt;NoXau_NgayTheoDoi)*
(Table_ChiPhiKD[Phân bổ đến]&gt;NoXau_NgayTheoDoi)
),
_xlfn._xlws.FILTER(ROUND((DATE(YEAR(P$21),MONTH(P$21)+1, 1) - 1 - Table_ChiPhiKD[Phân bổ từ]) / (362.25 / 12 ), 0),
(Table_ChiPhiKD[Vendor]=NoXau_MaNCC) *
(ISBLANK(Table_ChiPhiKD[Tháng])) *
(Table_ChiPhiKD[Phân bổ từ]&lt;NoXau_NgayTheoDoi)*
(Table_ChiPhiKD[Phân bổ đến]&gt;NoXau_NgayTheoDoi)
),
_xlfn._xlws.FILTER(1/ROUND((Table_ChiPhiKD[Phân bổ đến] - Table_ChiPhiKD[Phân bổ từ]) / (362.25 / 12 ), 0),
(Table_ChiPhiKD[Vendor]=NoXau_MaNCC) *
(ISBLANK(Table_ChiPhiKD[Tháng])) *
(Table_ChiPhiKD[Phân bổ từ]&lt;NoXau_NgayTheoDoi)*
(Table_ChiPhiKD[Phân bổ đến]&gt;NoXau_NgayTheoDoi)
)
),0)
- IFERROR(
SUM(_xlfn._xlws.FILTER(Table_LaiKhac[Giá trị],
( Table_LaiKhac[Đối tác]=NoXau_MaNCC) *
(NOT(ISBLANK(Table_LaiKhac[Tháng]))) *
(Table_LaiKhac[Kỳ] &lt;NoXau_NgayTheoDoi)
)),0)
- IFERROR(
SUM(_xlfn._xlws.FILTER(Table_LaiKhac[Giá trị],
( Table_LaiKhac[Đối tác]=NoXau_MaNCC) *
(ISBLANK(Table_LaiKhac[Tháng])) *
(Table_LaiKhac[Phân bổ đến] &lt; NoXau_NgayTheoDoi)
)),0)
-IFERROR(
SUMPRODUCT(
_xlfn._xlws.FILTER(Table_LaiKhac[Giá trị],
( Table_LaiKhac[Đối tác]=NoXau_MaNCC) *
(ISBLANK(Table_LaiKhac[Tháng])) *
(Table_ChiPhiKD[Phân bổ từ]&lt;NoXau_NgayTheoDoi)*
(Table_ChiPhiKD[Phân bổ đến]&gt;NoXau_NgayTheoDoi)
),
_xlfn._xlws.FILTER(ROUND((DATE(YEAR(P$21),MONTH(P$21)+1, 1) - 1 - Table_ChiPhiKD[Phân bổ từ]) / (362.25 / 12 ), 0),
( Table_LaiKhac[Đối tác]=NoXau_MaNCC) *
(ISBLANK(Table_LaiKhac[Tháng])) *
(Table_ChiPhiKD[Phân bổ từ]&lt;NoXau_NgayTheoDoi)*
(Table_ChiPhiKD[Phân bổ đến]&gt;NoXau_NgayTheoDoi)
),
_xlfn._xlws.FILTER(1/ROUND((Table_ChiPhiKD[Phân bổ đến] - Table_ChiPhiKD[Phân bổ từ]) / (362.25 / 12 ), 0),
( Table_LaiKhac[Đối tác]=NoXau_MaNCC) *
(ISBLANK(Table_LaiKhac[Tháng])) *
(Table_ChiPhiKD[Phân bổ từ]&lt;NoXau_NgayTheoDoi)*
(Table_ChiPhiKD[Phân bổ đến]&gt;NoXau_NgayTheoDoi)
)
),0)</f>
        <v>0</v>
      </c>
      <c r="AL20" s="7"/>
    </row>
    <row r="21" spans="2:38" ht="18" customHeight="1" x14ac:dyDescent="0.15">
      <c r="M21" s="12" t="s">
        <v>538</v>
      </c>
      <c r="N21" s="406"/>
      <c r="O21" s="12"/>
      <c r="P21" s="221">
        <f>SUM(Table_PhaiThu_DuPhong[Giá trị dự phòng])</f>
        <v>0</v>
      </c>
      <c r="U21" s="220"/>
      <c r="V21" s="222" cm="1">
        <f t="array" ref="V21" xml:space="preserve">
IFERROR(
SUM(_xlfn._xlws.FILTER(Table_ThuChiKD[Giá trị GD],
(Table_ThuChiKD[Đối tác] = NoXau_MaKH) *
(Table_ThuChiKD[Loại GD] = "THU") *
(Table_ThuChiKD[Ngày GD] &lt;= NoXau_NgayTheoDoi)
)),0)
- IFERROR(
SUM(_xlfn._xlws.FILTER(Table_ThuChiKD[Giá trị GD],
(Table_ThuChiKD[Đối tác] = NoXau_MaKH) *
(Table_ThuChiKD[Loại GD] = "CHI") *
(Table_ThuChiKD[Ngày GD] &lt;= NoXau_NgayTheoDoi)
)),0)</f>
        <v>0</v>
      </c>
      <c r="AB21" s="220"/>
      <c r="AC21" s="558" cm="1">
        <f t="array" ref="AC21" xml:space="preserve">
+ IFERROR(
SUM(_xlfn._xlws.FILTER(Table_DonMua[Phải trả],
(Table_DonMua[Mã Đối tác] = NoXau_MaNCC) *
(Table_DonMua[Ngày lập] &lt;= NoXau_NgayTheoDoi)
)),0)
+IFERROR(
SUM(_xlfn._xlws.FILTER(Table_Main[CK kênh],
(Table_Main[Kênh]=NoXau_MaNCC) *
(Table_Main[Ngày lên đơn]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 IFERROR(
SUM(_xlfn._xlws.FILTER(Table_ChiPhiKD[Giá trị],
( Table_ChiPhiKD[Vendor] = NoXau_MaNCC) *
(NOT(ISBLANK(Table_ChiPhiKD[Tháng]))) *
(Table_ChiPhiKD[Kỳ] &lt;= NoXau_NgayTheoDoi)
)),0)
+IFERROR(
SUM(_xlfn._xlws.FILTER(Table_ChiPhiNV[Lương net],
(Table_ChiPhiNV[Nhân viên] = NoXau_MaNCC) *
(NOT(ISBLANK(Table_ChiPhiNV[Tháng]))) *
(Table_ChiPhiNV[Kỳ] &lt;= NoXau_NgayTheoDoi)
)),0)
+ IFERROR(
SUM(_xlfn._xlws.FILTER(Table_ChiPhiKD[Giá trị],
(Table_ChiPhiKD[Vendor] = NoXau_MaNCC) *
(ISBLANK(Table_ChiPhiKD[Tháng])) *
(Table_ChiPhiKD[Phân bổ đến]&lt;= NoXau_NgayTheoDoi)
)),0)
+IFERROR(
SUM(_xlfn._xlws.FILTER(Table_ChiPhiNV[Lương net],
(Table_ChiPhiNV[Nhân viên] = NoXau_MaNCC) *
(ISBLANK(Table_ChiPhiNV[Tháng])) *
(Table_ChiPhiNV[Phân bổ đến] &lt;= NoXau_NgayTheoDoi)
)),0)
+IFERROR(
SUMPRODUCT(
_xlfn._xlws.FILTER(Table_ChiPhiKD[Giá trị],
(Table_ChiPhiKD[Vendor]=NoXau_MaNCC) *
(ISBLANK(Table_ChiPhiKD[Tháng])) *
(Table_ChiPhiKD[Phân bổ từ]&lt;= NoXau_NgayTheoDoi)*
(Table_ChiPhiKD[Phân bổ đến]&gt;= NoXau_NgayTheoDoi)
),
_xlfn._xlws.FILTER(ROUND((NoXau_NgayTheoDoi - 1 - Table_ChiPhiKD[Phân bổ từ]) / (362.25 / 12 ), 0),
(Table_ChiPhiKD[Vendor]=NoXau_MaNCC) *
(ISBLANK(Table_ChiPhiKD[Tháng])) *
(Table_ChiPhiKD[Phân bổ từ]&lt;= NoXau_NgayTheoDoi)*
(Table_ChiPhiKD[Phân bổ đến]&gt;= NoXau_NgayTheoDoi)
),
_xlfn._xlws.FILTER(1 / ROUND((Table_ChiPhiKD[Phân bổ đến] - Table_ChiPhiKD[Phân bổ từ])/ (362.25 / 12 ),0),
(Table_ChiPhiKD[Vendor]=NoXau_MaNCC) *
(ISBLANK(Table_ChiPhiKD[Tháng])) *
(Table_ChiPhiKD[Phân bổ từ]&lt;= NoXau_NgayTheoDoi)*
(Table_ChiPhiKD[Phân bổ đến]&gt;= NoXau_NgayTheoDoi)
)),0)
+IFERROR(
SUMPRODUCT(
_xlfn._xlws.FILTER(Table_ChiPhiNV[Lương net],
(Table_ChiPhiNV[Nhân viên] = NoXau_MaNCC) *
(ISBLANK(Table_ChiPhiNV[Tháng])) *
(Table_ChiPhiNV[Phân bổ từ]&lt;= NoXau_NgayTheoDoi)*
(Table_ChiPhiNV[Phân bổ đến]&gt;= NoXau_NgayTheoDoi)
),
_xlfn._xlws.FILTER(ROUND((NoXau_NgayTheoDoi - 1 - Table_ChiPhiNV[Phân bổ từ]) / (362.25 / 12 ), 0),
(Table_ChiPhiNV[Nhân viên] = NoXau_MaNCC) *
(ISBLANK(Table_ChiPhiNV[Tháng])) *
(Table_ChiPhiNV[Phân bổ từ]&lt;= NoXau_NgayTheoDoi)*
(Table_ChiPhiNV[Phân bổ đến]&gt;= NoXau_NgayTheoDoi)
),
_xlfn._xlws.FILTER(1 / ROUND((Table_ChiPhiNV[Phân bổ đến] - Table_ChiPhiNV[Phân bổ từ])/ (362.25 / 12 ),0),
(Table_ChiPhiNV[Nhân viên] = NoXau_MaNCC) *
(ISBLANK(Table_ChiPhiNV[Tháng])) *
(Table_ChiPhiNV[Phân bổ từ]&lt;= NoXau_NgayTheoDoi)*
(Table_ChiPhiNV[Phân bổ đến]&gt;= NoXau_NgayTheoDoi)
)),0)</f>
        <v>0</v>
      </c>
      <c r="AG21" s="180">
        <f>IFERROR(
IF(ISBLANK(AI21),
DATE(AH21,12,1),
DATE(AH21,AI21,1)),0)</f>
        <v>693932</v>
      </c>
      <c r="AH21" s="223">
        <f>IF(MONTH(NoXau_NgayTheoDoi)=1, YEAR(NoXau_NgayTheoDoi)-1, YEAR(NoXau_NgayTheoDoi))</f>
        <v>1899</v>
      </c>
      <c r="AI21" s="223">
        <f>IF(MONTH(NoXau_NgayTheoDoi)=1,12, MONTH(NoXau_NgayTheoDoi)-1)</f>
        <v>12</v>
      </c>
      <c r="AJ21" s="223">
        <f>IF(ISBLANK(NoXau_MaKH),NoXau_MaNCC,NoXau_MaKH)</f>
        <v>0</v>
      </c>
      <c r="AK21" s="405">
        <f>P21</f>
        <v>0</v>
      </c>
      <c r="AL21" s="224"/>
    </row>
    <row r="22" spans="2:38" ht="16.5" x14ac:dyDescent="0.3">
      <c r="B22" s="97" t="s">
        <v>1238</v>
      </c>
      <c r="C22" s="97" t="s">
        <v>1166</v>
      </c>
      <c r="D22"/>
      <c r="E22"/>
      <c r="F22"/>
      <c r="G22"/>
      <c r="H22"/>
      <c r="I22"/>
      <c r="J22"/>
      <c r="M22" s="7" t="s">
        <v>545</v>
      </c>
      <c r="N22" s="7" t="s">
        <v>546</v>
      </c>
      <c r="O22" s="7" t="s">
        <v>547</v>
      </c>
      <c r="P22" s="7" t="s">
        <v>1254</v>
      </c>
      <c r="Q22" s="7" t="s">
        <v>883</v>
      </c>
      <c r="U22" s="7" t="s">
        <v>548</v>
      </c>
      <c r="V22" s="7" t="s">
        <v>1256</v>
      </c>
      <c r="W22" s="7" t="s">
        <v>549</v>
      </c>
      <c r="X22" s="7" t="s">
        <v>883</v>
      </c>
      <c r="AB22" s="7" t="s">
        <v>550</v>
      </c>
      <c r="AC22" s="7" t="s">
        <v>1256</v>
      </c>
      <c r="AD22" s="7" t="s">
        <v>549</v>
      </c>
      <c r="AE22" s="7" t="s">
        <v>883</v>
      </c>
      <c r="AG22" s="7" t="s">
        <v>3</v>
      </c>
      <c r="AH22" s="7" t="s">
        <v>2</v>
      </c>
      <c r="AI22" s="7" t="s">
        <v>1</v>
      </c>
      <c r="AJ22" s="7" t="s">
        <v>551</v>
      </c>
      <c r="AK22" s="7" t="s">
        <v>552</v>
      </c>
      <c r="AL22" s="7" t="s">
        <v>883</v>
      </c>
    </row>
    <row r="23" spans="2:38" ht="16.5" x14ac:dyDescent="0.3">
      <c r="B23" s="97" t="s">
        <v>23</v>
      </c>
      <c r="C23" t="s">
        <v>1205</v>
      </c>
      <c r="D23" t="s">
        <v>1206</v>
      </c>
      <c r="E23" s="511"/>
      <c r="F23" s="511"/>
      <c r="G23" s="511"/>
      <c r="H23" s="511"/>
      <c r="I23" s="511"/>
      <c r="J23"/>
      <c r="M23" s="15"/>
      <c r="N23" s="15"/>
      <c r="O23" s="45"/>
      <c r="P23" s="18" cm="1">
        <f t="array" ref="P23"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Q23" s="212"/>
      <c r="S23" s="7" t="str" cm="1">
        <f t="array" ref="S23:S25">_xlfn.SORTBY(Table_KhachHang[Mã KH], Table_KhachHang[Dư nợ],-1)</f>
        <v>KH1</v>
      </c>
      <c r="T23" s="7" t="e" cm="1" vm="1">
        <f t="array" ref="T23">_xlfn.UNIQUE(
_xlfn._xlws.FILTER(Table_DonBan[Ngày lập],
(Table_DonBan[Ngày lập] &lt; NoXau_NgayTheoDoi) *
(Table_DonBan[Mã Khách] = NoXau_MaKH)
))</f>
        <v>#VALUE!</v>
      </c>
      <c r="U23" s="395"/>
      <c r="V23" s="18" cm="1">
        <f t="array" ref="V23"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f>
        <v>0</v>
      </c>
      <c r="W23" s="18">
        <f>IF(Table_PhaiThu_TuoiNoKH[[#This Row],[Giá trị nợ]] =0, 0, NoXau_NgayTheoDoi-Table_PhaiThu_TuoiNoKH[[#This Row],[Ngày lên đơn]])</f>
        <v>0</v>
      </c>
      <c r="X23" s="212"/>
      <c r="Z23" s="7" t="str" cm="1">
        <f t="array" ref="Z23:Z25">_xlfn.SORTBY(Table_NhaCungCap[Mã Đối tác], Table_NhaCungCap[Dư nợ],1)</f>
        <v>NCC2</v>
      </c>
      <c r="AA23" s="7" t="e" cm="1" vm="1">
        <f t="array" ref="AA23">_xlfn.UNIQUE(
_xlfn._xlws.FILTER(Table_ThuChiKD[Ngày GD],
(Table_ThuChiKD[Ngày GD] &lt; NoXau_NgayTheoDoi) *
(Table_ThuChiKD[Đối tác] = NoXau_MaNCC)
))</f>
        <v>#VALUE!</v>
      </c>
      <c r="AB23" s="395"/>
      <c r="AC23" s="18" cm="1">
        <f t="array" ref="AC23"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f>
        <v>0</v>
      </c>
      <c r="AD23" s="18" cm="1">
        <f t="array" ref="AD23">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f>
        <v>0</v>
      </c>
      <c r="AE23" s="212"/>
      <c r="AG23" s="33">
        <f>IFERROR(
IF(ISBLANK(Table_DuPhong[[#This Row],[Tháng]]),
DATE(Table_DuPhong[[#This Row],[Năm]],12,1),
DATE(Table_DuPhong[[#This Row],[Năm]],Table_DuPhong[[#This Row],[Tháng]],1)),0)</f>
        <v>45778</v>
      </c>
      <c r="AH23" s="7">
        <v>2025</v>
      </c>
      <c r="AI23" s="7">
        <v>5</v>
      </c>
      <c r="AJ23" s="7" t="s">
        <v>1206</v>
      </c>
      <c r="AK23" s="15">
        <v>100000</v>
      </c>
    </row>
    <row r="24" spans="2:38" ht="16.5" x14ac:dyDescent="0.3">
      <c r="B24" s="526">
        <v>45717</v>
      </c>
      <c r="C24" s="511">
        <v>100000</v>
      </c>
      <c r="D24" s="511">
        <v>200000</v>
      </c>
      <c r="E24" s="511"/>
      <c r="F24" s="511"/>
      <c r="G24" s="511"/>
      <c r="H24" s="511"/>
      <c r="I24" s="511"/>
      <c r="J24"/>
      <c r="S24" s="7" t="str">
        <v>KH2</v>
      </c>
      <c r="Z24" s="7" t="str">
        <v>NCC3</v>
      </c>
      <c r="AG24" s="33">
        <f>IFERROR(
IF(ISBLANK(Table_DuPhong[[#This Row],[Tháng]]),
DATE(Table_DuPhong[[#This Row],[Năm]],12,1),
DATE(Table_DuPhong[[#This Row],[Năm]],Table_DuPhong[[#This Row],[Tháng]],1)),0)</f>
        <v>45778</v>
      </c>
      <c r="AH24" s="7">
        <v>2025</v>
      </c>
      <c r="AI24" s="7">
        <v>5</v>
      </c>
      <c r="AJ24" s="7" t="s">
        <v>1205</v>
      </c>
      <c r="AK24" s="15">
        <v>200000</v>
      </c>
    </row>
    <row r="25" spans="2:38" ht="16.5" x14ac:dyDescent="0.3">
      <c r="B25" s="526">
        <v>45748</v>
      </c>
      <c r="C25" s="511">
        <v>200000</v>
      </c>
      <c r="D25" s="511">
        <v>100000</v>
      </c>
      <c r="E25" s="511"/>
      <c r="F25" s="511"/>
      <c r="G25" s="511"/>
      <c r="H25" s="511"/>
      <c r="I25" s="511"/>
      <c r="J25"/>
      <c r="S25" s="7" t="str">
        <v>KH3</v>
      </c>
      <c r="Z25" s="7" t="str">
        <v>NCC1</v>
      </c>
      <c r="AG25" s="33">
        <f>IFERROR(
IF(ISBLANK(Table_DuPhong[[#This Row],[Tháng]]),
DATE(Table_DuPhong[[#This Row],[Năm]],12,1),
DATE(Table_DuPhong[[#This Row],[Năm]],Table_DuPhong[[#This Row],[Tháng]],1)),0)</f>
        <v>45748</v>
      </c>
      <c r="AH25" s="7">
        <v>2025</v>
      </c>
      <c r="AI25" s="7">
        <v>4</v>
      </c>
      <c r="AJ25" s="7" t="s">
        <v>1206</v>
      </c>
      <c r="AK25" s="15">
        <v>100000</v>
      </c>
    </row>
    <row r="26" spans="2:38" ht="16.5" x14ac:dyDescent="0.3">
      <c r="B26" s="526">
        <v>45778</v>
      </c>
      <c r="C26" s="511">
        <v>200000</v>
      </c>
      <c r="D26" s="511">
        <v>100000</v>
      </c>
      <c r="E26" s="511"/>
      <c r="F26" s="511"/>
      <c r="G26" s="511"/>
      <c r="H26" s="511"/>
      <c r="I26" s="511"/>
      <c r="J26"/>
      <c r="AG26" s="33">
        <f>IFERROR(
IF(ISBLANK(Table_DuPhong[[#This Row],[Tháng]]),
DATE(Table_DuPhong[[#This Row],[Năm]],12,1),
DATE(Table_DuPhong[[#This Row],[Năm]],Table_DuPhong[[#This Row],[Tháng]],1)),0)</f>
        <v>45748</v>
      </c>
      <c r="AH26" s="7">
        <v>2025</v>
      </c>
      <c r="AI26" s="7">
        <v>4</v>
      </c>
      <c r="AJ26" s="7" t="s">
        <v>1205</v>
      </c>
      <c r="AK26" s="15">
        <v>200000</v>
      </c>
    </row>
    <row r="27" spans="2:38" ht="16.5" x14ac:dyDescent="0.3">
      <c r="B27" s="526" t="s">
        <v>1112</v>
      </c>
      <c r="C27" s="511">
        <v>500000</v>
      </c>
      <c r="D27" s="511">
        <v>400000</v>
      </c>
      <c r="E27"/>
      <c r="F27"/>
      <c r="G27"/>
      <c r="H27"/>
      <c r="I27"/>
      <c r="J27"/>
      <c r="AG27" s="33">
        <f>IFERROR(
IF(ISBLANK(Table_DuPhong[[#This Row],[Tháng]]),
DATE(Table_DuPhong[[#This Row],[Năm]],12,1),
DATE(Table_DuPhong[[#This Row],[Năm]],Table_DuPhong[[#This Row],[Tháng]],1)),0)</f>
        <v>45717</v>
      </c>
      <c r="AH27" s="7">
        <v>2025</v>
      </c>
      <c r="AI27" s="7">
        <v>3</v>
      </c>
      <c r="AJ27" s="7" t="s">
        <v>1206</v>
      </c>
      <c r="AK27" s="15">
        <v>200000</v>
      </c>
    </row>
    <row r="28" spans="2:38" ht="16.5" x14ac:dyDescent="0.3">
      <c r="B28"/>
      <c r="C28"/>
      <c r="D28"/>
      <c r="E28"/>
      <c r="F28"/>
      <c r="G28"/>
      <c r="H28"/>
      <c r="I28"/>
      <c r="J28"/>
      <c r="AG28" s="33">
        <f>IFERROR(
IF(ISBLANK(Table_DuPhong[[#This Row],[Tháng]]),
DATE(Table_DuPhong[[#This Row],[Năm]],12,1),
DATE(Table_DuPhong[[#This Row],[Năm]],Table_DuPhong[[#This Row],[Tháng]],1)),0)</f>
        <v>45717</v>
      </c>
      <c r="AH28" s="7">
        <v>2025</v>
      </c>
      <c r="AI28" s="7">
        <v>3</v>
      </c>
      <c r="AJ28" s="7" t="s">
        <v>1205</v>
      </c>
      <c r="AK28" s="15">
        <v>100000</v>
      </c>
    </row>
    <row r="29" spans="2:38" ht="16.5" x14ac:dyDescent="0.3">
      <c r="B29"/>
      <c r="C29"/>
      <c r="D29"/>
      <c r="E29"/>
      <c r="F29"/>
      <c r="G29"/>
      <c r="H29"/>
      <c r="I29"/>
      <c r="J29"/>
    </row>
    <row r="30" spans="2:38" ht="16.5" x14ac:dyDescent="0.3">
      <c r="B30"/>
      <c r="C30"/>
      <c r="D30"/>
      <c r="E30"/>
      <c r="F30"/>
      <c r="G30"/>
      <c r="H30"/>
      <c r="I30"/>
      <c r="J30"/>
    </row>
    <row r="31" spans="2:38" ht="16.5" x14ac:dyDescent="0.3">
      <c r="B31"/>
      <c r="C31"/>
      <c r="D31"/>
      <c r="E31"/>
      <c r="F31"/>
      <c r="G31"/>
      <c r="H31"/>
      <c r="I31"/>
      <c r="J31"/>
    </row>
    <row r="32" spans="2:38" ht="16.5" x14ac:dyDescent="0.3">
      <c r="B32"/>
      <c r="C32"/>
      <c r="D32"/>
      <c r="E32"/>
      <c r="F32"/>
      <c r="G32"/>
      <c r="H32"/>
      <c r="I32"/>
      <c r="J32"/>
    </row>
    <row r="33" spans="2:10" ht="16.5" x14ac:dyDescent="0.3">
      <c r="B33"/>
      <c r="C33"/>
      <c r="D33"/>
      <c r="E33"/>
      <c r="F33"/>
      <c r="G33"/>
      <c r="H33"/>
      <c r="I33"/>
      <c r="J33"/>
    </row>
    <row r="34" spans="2:10" ht="16.5" x14ac:dyDescent="0.3">
      <c r="B34"/>
      <c r="C34"/>
      <c r="D34"/>
      <c r="E34"/>
      <c r="F34"/>
      <c r="G34"/>
      <c r="H34"/>
      <c r="I34"/>
      <c r="J34"/>
    </row>
    <row r="35" spans="2:10" ht="16.5" x14ac:dyDescent="0.3">
      <c r="B35"/>
      <c r="C35"/>
      <c r="D35"/>
      <c r="E35"/>
      <c r="F35"/>
      <c r="G35"/>
      <c r="H35"/>
      <c r="I35"/>
      <c r="J35"/>
    </row>
    <row r="36" spans="2:10" ht="16.5" x14ac:dyDescent="0.3">
      <c r="B36"/>
      <c r="C36"/>
      <c r="D36"/>
      <c r="E36"/>
      <c r="F36"/>
      <c r="G36"/>
      <c r="H36"/>
      <c r="I36"/>
      <c r="J36"/>
    </row>
    <row r="37" spans="2:10" ht="16.5" x14ac:dyDescent="0.3">
      <c r="B37"/>
      <c r="C37"/>
      <c r="D37"/>
      <c r="E37"/>
      <c r="F37"/>
      <c r="G37"/>
      <c r="H37"/>
      <c r="I37"/>
      <c r="J37"/>
    </row>
    <row r="38" spans="2:10" ht="16.5" x14ac:dyDescent="0.3">
      <c r="B38"/>
      <c r="C38"/>
      <c r="D38"/>
      <c r="E38"/>
      <c r="F38"/>
      <c r="G38"/>
      <c r="H38"/>
      <c r="I38"/>
      <c r="J38"/>
    </row>
    <row r="39" spans="2:10" ht="16.5" x14ac:dyDescent="0.3">
      <c r="B39"/>
      <c r="C39"/>
      <c r="D39"/>
      <c r="E39"/>
      <c r="F39"/>
      <c r="G39"/>
      <c r="H39"/>
      <c r="I39"/>
      <c r="J39"/>
    </row>
  </sheetData>
  <sheetProtection algorithmName="SHA-512" hashValue="ZcQYqxnZlBZZRDW3TdiVF9tDnTNGp7rarQ7gH/zg3SxFRbt/Z0H0VtNUo+5glNCMA0R7cdRDKt/J3JxBOd6Fmg==" saltValue="sQS7tro44AXYGaJ+uokEew==" spinCount="100000" sheet="1" scenarios="1" formatCells="0" formatColumns="0" formatRows="0" insertColumns="0" insertRows="0" deleteColumns="0" deleteRows="0" sort="0" autoFilter="0" pivotTables="0"/>
  <dataValidations disablePrompts="1" count="2">
    <dataValidation type="list" allowBlank="1" showInputMessage="1" showErrorMessage="1" sqref="U21" xr:uid="{FE2EA77E-5DA6-4162-9BDA-B986D00BE2D1}">
      <formula1>MaKhachHang</formula1>
    </dataValidation>
    <dataValidation type="list" allowBlank="1" showInputMessage="1" showErrorMessage="1" sqref="AB21" xr:uid="{C7A0233B-36C5-4D5F-BB48-07D20E6CD6E4}">
      <formula1>MaNhaCungCap</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57" r:id="rId5" name="Button 9">
              <controlPr defaultSize="0" print="0" autoFill="0" autoPict="0" macro="[0]!AddRow">
                <anchor moveWithCells="1">
                  <from>
                    <xdr:col>18</xdr:col>
                    <xdr:colOff>619125</xdr:colOff>
                    <xdr:row>20</xdr:row>
                    <xdr:rowOff>142875</xdr:rowOff>
                  </from>
                  <to>
                    <xdr:col>19</xdr:col>
                    <xdr:colOff>190500</xdr:colOff>
                    <xdr:row>21</xdr:row>
                    <xdr:rowOff>171450</xdr:rowOff>
                  </to>
                </anchor>
              </controlPr>
            </control>
          </mc:Choice>
        </mc:AlternateContent>
        <mc:AlternateContent xmlns:mc="http://schemas.openxmlformats.org/markup-compatibility/2006">
          <mc:Choice Requires="x14">
            <control shapeId="53258" r:id="rId6" name="Button 10">
              <controlPr defaultSize="0" print="0" autoFill="0" autoPict="0" macro="[0]!DeleteRow">
                <anchor moveWithCells="1">
                  <from>
                    <xdr:col>19</xdr:col>
                    <xdr:colOff>228600</xdr:colOff>
                    <xdr:row>20</xdr:row>
                    <xdr:rowOff>142875</xdr:rowOff>
                  </from>
                  <to>
                    <xdr:col>19</xdr:col>
                    <xdr:colOff>704850</xdr:colOff>
                    <xdr:row>21</xdr:row>
                    <xdr:rowOff>171450</xdr:rowOff>
                  </to>
                </anchor>
              </controlPr>
            </control>
          </mc:Choice>
        </mc:AlternateContent>
        <mc:AlternateContent xmlns:mc="http://schemas.openxmlformats.org/markup-compatibility/2006">
          <mc:Choice Requires="x14">
            <control shapeId="53263" r:id="rId7" name="Button 15">
              <controlPr defaultSize="0" print="0" autoFill="0" autoPict="0" macro="[0]!CopyToTable">
                <anchor moveWithCells="1">
                  <from>
                    <xdr:col>37</xdr:col>
                    <xdr:colOff>104775</xdr:colOff>
                    <xdr:row>20</xdr:row>
                    <xdr:rowOff>0</xdr:rowOff>
                  </from>
                  <to>
                    <xdr:col>38</xdr:col>
                    <xdr:colOff>133350</xdr:colOff>
                    <xdr:row>21</xdr:row>
                    <xdr:rowOff>28575</xdr:rowOff>
                  </to>
                </anchor>
              </controlPr>
            </control>
          </mc:Choice>
        </mc:AlternateContent>
        <mc:AlternateContent xmlns:mc="http://schemas.openxmlformats.org/markup-compatibility/2006">
          <mc:Choice Requires="x14">
            <control shapeId="53268" r:id="rId8" name="Option Button 20">
              <controlPr defaultSize="0" autoFill="0" autoLine="0" autoPict="0" macro="[0]!DoiDonViHienThi">
                <anchor moveWithCells="1">
                  <from>
                    <xdr:col>14</xdr:col>
                    <xdr:colOff>9525</xdr:colOff>
                    <xdr:row>0</xdr:row>
                    <xdr:rowOff>152400</xdr:rowOff>
                  </from>
                  <to>
                    <xdr:col>14</xdr:col>
                    <xdr:colOff>600075</xdr:colOff>
                    <xdr:row>1</xdr:row>
                    <xdr:rowOff>200025</xdr:rowOff>
                  </to>
                </anchor>
              </controlPr>
            </control>
          </mc:Choice>
        </mc:AlternateContent>
        <mc:AlternateContent xmlns:mc="http://schemas.openxmlformats.org/markup-compatibility/2006">
          <mc:Choice Requires="x14">
            <control shapeId="53269" r:id="rId9" name="Option Button 21">
              <controlPr defaultSize="0" autoFill="0" autoLine="0" autoPict="0" macro="[0]!DoiDonViHienThi">
                <anchor moveWithCells="1">
                  <from>
                    <xdr:col>14</xdr:col>
                    <xdr:colOff>476250</xdr:colOff>
                    <xdr:row>0</xdr:row>
                    <xdr:rowOff>152400</xdr:rowOff>
                  </from>
                  <to>
                    <xdr:col>15</xdr:col>
                    <xdr:colOff>257175</xdr:colOff>
                    <xdr:row>1</xdr:row>
                    <xdr:rowOff>200025</xdr:rowOff>
                  </to>
                </anchor>
              </controlPr>
            </control>
          </mc:Choice>
        </mc:AlternateContent>
        <mc:AlternateContent xmlns:mc="http://schemas.openxmlformats.org/markup-compatibility/2006">
          <mc:Choice Requires="x14">
            <control shapeId="53270" r:id="rId10" name="Option Button 22">
              <controlPr defaultSize="0" autoFill="0" autoLine="0" autoPict="0" macro="[0]!DoiDonViHienThi">
                <anchor moveWithCells="1">
                  <from>
                    <xdr:col>15</xdr:col>
                    <xdr:colOff>133350</xdr:colOff>
                    <xdr:row>0</xdr:row>
                    <xdr:rowOff>152400</xdr:rowOff>
                  </from>
                  <to>
                    <xdr:col>15</xdr:col>
                    <xdr:colOff>723900</xdr:colOff>
                    <xdr:row>1</xdr:row>
                    <xdr:rowOff>200025</xdr:rowOff>
                  </to>
                </anchor>
              </controlPr>
            </control>
          </mc:Choice>
        </mc:AlternateContent>
        <mc:AlternateContent xmlns:mc="http://schemas.openxmlformats.org/markup-compatibility/2006">
          <mc:Choice Requires="x14">
            <control shapeId="53271" r:id="rId11" name="Option Button 23">
              <controlPr defaultSize="0" autoFill="0" autoLine="0" autoPict="0" macro="[0]!DoiDonViHienThi">
                <anchor moveWithCells="1">
                  <from>
                    <xdr:col>15</xdr:col>
                    <xdr:colOff>609600</xdr:colOff>
                    <xdr:row>0</xdr:row>
                    <xdr:rowOff>152400</xdr:rowOff>
                  </from>
                  <to>
                    <xdr:col>15</xdr:col>
                    <xdr:colOff>962025</xdr:colOff>
                    <xdr:row>1</xdr:row>
                    <xdr:rowOff>200025</xdr:rowOff>
                  </to>
                </anchor>
              </controlPr>
            </control>
          </mc:Choice>
        </mc:AlternateContent>
        <mc:AlternateContent xmlns:mc="http://schemas.openxmlformats.org/markup-compatibility/2006">
          <mc:Choice Requires="x14">
            <control shapeId="53272" r:id="rId12" name="Group Box 24">
              <controlPr defaultSize="0" autoFill="0" autoPict="0">
                <anchor moveWithCells="1">
                  <from>
                    <xdr:col>13</xdr:col>
                    <xdr:colOff>704850</xdr:colOff>
                    <xdr:row>0</xdr:row>
                    <xdr:rowOff>104775</xdr:rowOff>
                  </from>
                  <to>
                    <xdr:col>16</xdr:col>
                    <xdr:colOff>57150</xdr:colOff>
                    <xdr:row>2</xdr:row>
                    <xdr:rowOff>9525</xdr:rowOff>
                  </to>
                </anchor>
              </controlPr>
            </control>
          </mc:Choice>
        </mc:AlternateContent>
        <mc:AlternateContent xmlns:mc="http://schemas.openxmlformats.org/markup-compatibility/2006">
          <mc:Choice Requires="x14">
            <control shapeId="53273" r:id="rId13" name="Group Box 25">
              <controlPr defaultSize="0" autoFill="0" autoPict="0">
                <anchor moveWithCells="1">
                  <from>
                    <xdr:col>12</xdr:col>
                    <xdr:colOff>57150</xdr:colOff>
                    <xdr:row>0</xdr:row>
                    <xdr:rowOff>104775</xdr:rowOff>
                  </from>
                  <to>
                    <xdr:col>13</xdr:col>
                    <xdr:colOff>657225</xdr:colOff>
                    <xdr:row>2</xdr:row>
                    <xdr:rowOff>9525</xdr:rowOff>
                  </to>
                </anchor>
              </controlPr>
            </control>
          </mc:Choice>
        </mc:AlternateContent>
        <mc:AlternateContent xmlns:mc="http://schemas.openxmlformats.org/markup-compatibility/2006">
          <mc:Choice Requires="x14">
            <control shapeId="53274" r:id="rId14" name="Button 26">
              <controlPr defaultSize="0" autoFill="0" autoPict="0" macro="[0]!NhanNghin">
                <anchor moveWithCells="1">
                  <from>
                    <xdr:col>12</xdr:col>
                    <xdr:colOff>142875</xdr:colOff>
                    <xdr:row>0</xdr:row>
                    <xdr:rowOff>200025</xdr:rowOff>
                  </from>
                  <to>
                    <xdr:col>12</xdr:col>
                    <xdr:colOff>609600</xdr:colOff>
                    <xdr:row>1</xdr:row>
                    <xdr:rowOff>142875</xdr:rowOff>
                  </to>
                </anchor>
              </controlPr>
            </control>
          </mc:Choice>
        </mc:AlternateContent>
        <mc:AlternateContent xmlns:mc="http://schemas.openxmlformats.org/markup-compatibility/2006">
          <mc:Choice Requires="x14">
            <control shapeId="53275" r:id="rId15" name="Button 27">
              <controlPr defaultSize="0" autoFill="0" autoPict="0" macro="[0]!NhanTrieu">
                <anchor moveWithCells="1">
                  <from>
                    <xdr:col>12</xdr:col>
                    <xdr:colOff>657225</xdr:colOff>
                    <xdr:row>0</xdr:row>
                    <xdr:rowOff>200025</xdr:rowOff>
                  </from>
                  <to>
                    <xdr:col>13</xdr:col>
                    <xdr:colOff>66675</xdr:colOff>
                    <xdr:row>1</xdr:row>
                    <xdr:rowOff>142875</xdr:rowOff>
                  </to>
                </anchor>
              </controlPr>
            </control>
          </mc:Choice>
        </mc:AlternateContent>
        <mc:AlternateContent xmlns:mc="http://schemas.openxmlformats.org/markup-compatibility/2006">
          <mc:Choice Requires="x14">
            <control shapeId="53276" r:id="rId16" name="Button 28">
              <controlPr defaultSize="0" autoFill="0" autoPict="0" macro="[0]!NhanTy">
                <anchor moveWithCells="1">
                  <from>
                    <xdr:col>13</xdr:col>
                    <xdr:colOff>114300</xdr:colOff>
                    <xdr:row>0</xdr:row>
                    <xdr:rowOff>200025</xdr:rowOff>
                  </from>
                  <to>
                    <xdr:col>13</xdr:col>
                    <xdr:colOff>581025</xdr:colOff>
                    <xdr:row>1</xdr:row>
                    <xdr:rowOff>142875</xdr:rowOff>
                  </to>
                </anchor>
              </controlPr>
            </control>
          </mc:Choice>
        </mc:AlternateContent>
        <mc:AlternateContent xmlns:mc="http://schemas.openxmlformats.org/markup-compatibility/2006">
          <mc:Choice Requires="x14">
            <control shapeId="53277" r:id="rId17" name="Button 29">
              <controlPr defaultSize="0" print="0" autoFill="0" autoPict="0" macro="[0]!AddRow">
                <anchor moveWithCells="1">
                  <from>
                    <xdr:col>11</xdr:col>
                    <xdr:colOff>47625</xdr:colOff>
                    <xdr:row>20</xdr:row>
                    <xdr:rowOff>104775</xdr:rowOff>
                  </from>
                  <to>
                    <xdr:col>11</xdr:col>
                    <xdr:colOff>523875</xdr:colOff>
                    <xdr:row>21</xdr:row>
                    <xdr:rowOff>133350</xdr:rowOff>
                  </to>
                </anchor>
              </controlPr>
            </control>
          </mc:Choice>
        </mc:AlternateContent>
        <mc:AlternateContent xmlns:mc="http://schemas.openxmlformats.org/markup-compatibility/2006">
          <mc:Choice Requires="x14">
            <control shapeId="53278" r:id="rId18" name="Button 30">
              <controlPr defaultSize="0" print="0" autoFill="0" autoPict="0" macro="[0]!DeleteRow">
                <anchor moveWithCells="1">
                  <from>
                    <xdr:col>11</xdr:col>
                    <xdr:colOff>561975</xdr:colOff>
                    <xdr:row>20</xdr:row>
                    <xdr:rowOff>104775</xdr:rowOff>
                  </from>
                  <to>
                    <xdr:col>11</xdr:col>
                    <xdr:colOff>1038225</xdr:colOff>
                    <xdr:row>21</xdr:row>
                    <xdr:rowOff>133350</xdr:rowOff>
                  </to>
                </anchor>
              </controlPr>
            </control>
          </mc:Choice>
        </mc:AlternateContent>
        <mc:AlternateContent xmlns:mc="http://schemas.openxmlformats.org/markup-compatibility/2006">
          <mc:Choice Requires="x14">
            <control shapeId="53279" r:id="rId19" name="Button 31">
              <controlPr defaultSize="0" print="0" autoFill="0" autoPict="0" macro="[0]!AddRow">
                <anchor moveWithCells="1">
                  <from>
                    <xdr:col>25</xdr:col>
                    <xdr:colOff>628650</xdr:colOff>
                    <xdr:row>20</xdr:row>
                    <xdr:rowOff>161925</xdr:rowOff>
                  </from>
                  <to>
                    <xdr:col>26</xdr:col>
                    <xdr:colOff>276225</xdr:colOff>
                    <xdr:row>21</xdr:row>
                    <xdr:rowOff>190500</xdr:rowOff>
                  </to>
                </anchor>
              </controlPr>
            </control>
          </mc:Choice>
        </mc:AlternateContent>
        <mc:AlternateContent xmlns:mc="http://schemas.openxmlformats.org/markup-compatibility/2006">
          <mc:Choice Requires="x14">
            <control shapeId="53280" r:id="rId20" name="Button 32">
              <controlPr defaultSize="0" print="0" autoFill="0" autoPict="0" macro="[0]!DeleteRow">
                <anchor moveWithCells="1">
                  <from>
                    <xdr:col>26</xdr:col>
                    <xdr:colOff>314325</xdr:colOff>
                    <xdr:row>20</xdr:row>
                    <xdr:rowOff>161925</xdr:rowOff>
                  </from>
                  <to>
                    <xdr:col>26</xdr:col>
                    <xdr:colOff>790575</xdr:colOff>
                    <xdr:row>21</xdr:row>
                    <xdr:rowOff>190500</xdr:rowOff>
                  </to>
                </anchor>
              </controlPr>
            </control>
          </mc:Choice>
        </mc:AlternateContent>
        <mc:AlternateContent xmlns:mc="http://schemas.openxmlformats.org/markup-compatibility/2006">
          <mc:Choice Requires="x14">
            <control shapeId="53281" r:id="rId21" name="Button 33">
              <controlPr defaultSize="0" print="0" autoFill="0" autoPict="0" macro="[0]!AddRow">
                <anchor moveWithCells="1">
                  <from>
                    <xdr:col>31</xdr:col>
                    <xdr:colOff>114300</xdr:colOff>
                    <xdr:row>18</xdr:row>
                    <xdr:rowOff>171450</xdr:rowOff>
                  </from>
                  <to>
                    <xdr:col>33</xdr:col>
                    <xdr:colOff>38100</xdr:colOff>
                    <xdr:row>19</xdr:row>
                    <xdr:rowOff>200025</xdr:rowOff>
                  </to>
                </anchor>
              </controlPr>
            </control>
          </mc:Choice>
        </mc:AlternateContent>
        <mc:AlternateContent xmlns:mc="http://schemas.openxmlformats.org/markup-compatibility/2006">
          <mc:Choice Requires="x14">
            <control shapeId="53282" r:id="rId22" name="Button 34">
              <controlPr defaultSize="0" print="0" autoFill="0" autoPict="0" macro="[0]!DeleteRow">
                <anchor moveWithCells="1">
                  <from>
                    <xdr:col>33</xdr:col>
                    <xdr:colOff>76200</xdr:colOff>
                    <xdr:row>18</xdr:row>
                    <xdr:rowOff>171450</xdr:rowOff>
                  </from>
                  <to>
                    <xdr:col>34</xdr:col>
                    <xdr:colOff>95250</xdr:colOff>
                    <xdr:row>19</xdr:row>
                    <xdr:rowOff>200025</xdr:rowOff>
                  </to>
                </anchor>
              </controlPr>
            </control>
          </mc:Choice>
        </mc:AlternateContent>
      </controls>
    </mc:Choice>
  </mc:AlternateContent>
  <tableParts count="4">
    <tablePart r:id="rId23"/>
    <tablePart r:id="rId24"/>
    <tablePart r:id="rId25"/>
    <tablePart r:id="rId26"/>
  </tableParts>
  <extLst>
    <ext xmlns:x14="http://schemas.microsoft.com/office/spreadsheetml/2009/9/main" uri="{78C0D931-6437-407d-A8EE-F0AAD7539E65}">
      <x14:conditionalFormattings>
        <x14:conditionalFormatting xmlns:xm="http://schemas.microsoft.com/office/excel/2006/main">
          <x14:cfRule type="expression" priority="4" id="{42BC291F-022E-461D-935C-1310A28B6F2A}">
            <xm:f>Security!$A$1="NO VBA"</xm:f>
            <x14:dxf>
              <font>
                <color theme="0"/>
              </font>
              <border>
                <vertical/>
                <horizontal/>
              </border>
            </x14:dxf>
          </x14:cfRule>
          <xm:sqref>L2 Q2:T2 W2:AA2 AD2:AJ2 L23:T23 V23:AA23 L21:M21 O21:XFD21 L3:AJ3 AL2:XFD3 AC23:AF23 L24:AF1048576 AG23:XFD1048576 A1:XFD1 A22:XFD22 A4:XFD20</xm:sqref>
        </x14:conditionalFormatting>
        <x14:conditionalFormatting xmlns:xm="http://schemas.microsoft.com/office/excel/2006/main">
          <x14:cfRule type="expression" priority="3" id="{63193F11-22C5-4531-89EE-3BC0F3127578}">
            <xm:f>Security!$A$1="NO VBA"</xm:f>
            <x14:dxf>
              <font>
                <color theme="0"/>
              </font>
              <border>
                <vertical/>
                <horizontal/>
              </border>
            </x14:dxf>
          </x14:cfRule>
          <xm:sqref>U23</xm:sqref>
        </x14:conditionalFormatting>
        <x14:conditionalFormatting xmlns:xm="http://schemas.microsoft.com/office/excel/2006/main">
          <x14:cfRule type="expression" priority="2" id="{ECF3F244-C278-4E32-B5E7-38872E82A08B}">
            <xm:f>Security!$A$1="NO VBA"</xm:f>
            <x14:dxf>
              <font>
                <color theme="0"/>
              </font>
              <border>
                <vertical/>
                <horizontal/>
              </border>
            </x14:dxf>
          </x14:cfRule>
          <xm:sqref>AB23</xm:sqref>
        </x14:conditionalFormatting>
        <x14:conditionalFormatting xmlns:xm="http://schemas.microsoft.com/office/excel/2006/main">
          <x14:cfRule type="expression" priority="1" id="{25628A2B-664C-4689-9DFA-57A0C85DAEEA}">
            <xm:f>Security!$A$1="NO VBA"</xm:f>
            <x14:dxf>
              <font>
                <color theme="0"/>
              </font>
              <border>
                <vertical/>
                <horizontal/>
              </border>
            </x14:dxf>
          </x14:cfRule>
          <xm:sqref>N21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outlinePr summaryRight="0"/>
  </sheetPr>
  <dimension ref="A1:I54"/>
  <sheetViews>
    <sheetView showGridLines="0" zoomScaleNormal="100" workbookViewId="0">
      <selection activeCell="B17" sqref="B17"/>
    </sheetView>
  </sheetViews>
  <sheetFormatPr defaultRowHeight="17.25" outlineLevelRow="1" outlineLevelCol="1" x14ac:dyDescent="0.3"/>
  <cols>
    <col min="1" max="1" width="12.25" style="346" customWidth="1"/>
    <col min="2" max="2" width="20" style="21" customWidth="1"/>
    <col min="3" max="3" width="12.625" style="1" customWidth="1"/>
    <col min="4" max="7" width="11.75" style="38" customWidth="1" outlineLevel="1"/>
    <col min="8" max="8" width="11.375" style="38" bestFit="1" customWidth="1"/>
    <col min="9" max="9" width="12.625" style="1" customWidth="1"/>
    <col min="10" max="16384" width="9" style="1"/>
  </cols>
  <sheetData>
    <row r="1" spans="1:8" s="7" customFormat="1" ht="17.25" customHeight="1" x14ac:dyDescent="0.3">
      <c r="A1" s="21"/>
      <c r="B1" s="46">
        <v>1</v>
      </c>
      <c r="C1" s="10" t="s">
        <v>1</v>
      </c>
      <c r="D1" s="403"/>
      <c r="E1" s="403">
        <v>45717</v>
      </c>
      <c r="F1" s="403">
        <v>45748</v>
      </c>
      <c r="G1" s="403">
        <v>45778</v>
      </c>
      <c r="H1" s="403"/>
    </row>
    <row r="2" spans="1:8" s="7" customFormat="1" ht="17.25" customHeight="1" x14ac:dyDescent="0.3">
      <c r="A2" s="21"/>
      <c r="B2" s="46">
        <v>2</v>
      </c>
      <c r="C2" s="10" t="s">
        <v>553</v>
      </c>
      <c r="D2" s="401">
        <f>+SUMIF(D$6:D$1048576,"&gt;0",D$6:D$1048576)</f>
        <v>0</v>
      </c>
      <c r="E2" s="401">
        <f>+SUMIF(E$5:E$1048576,"&gt;0",E$5:E$1048576)</f>
        <v>700000</v>
      </c>
      <c r="F2" s="401">
        <f>+SUMIF(F$5:F$1048576,"&gt;0",F$5:F$1048576)</f>
        <v>700000</v>
      </c>
      <c r="G2" s="401">
        <f>+SUMIF(G$5:G$1048576,"&gt;0",G$5:G$1048576)</f>
        <v>700000</v>
      </c>
      <c r="H2" s="401">
        <f>+SUMIF(H$5:H$1048576,"&gt;0",H$5:H$1048576)</f>
        <v>0</v>
      </c>
    </row>
    <row r="3" spans="1:8" s="21" customFormat="1" ht="17.25" customHeight="1" x14ac:dyDescent="0.3">
      <c r="B3" s="46">
        <v>3</v>
      </c>
      <c r="C3" s="9" t="s">
        <v>554</v>
      </c>
      <c r="D3" s="404"/>
      <c r="E3" s="404"/>
      <c r="F3" s="404"/>
      <c r="G3" s="404"/>
      <c r="H3" s="404"/>
    </row>
    <row r="4" spans="1:8" s="7" customFormat="1" ht="17.25" customHeight="1" x14ac:dyDescent="0.3">
      <c r="A4" s="21"/>
      <c r="B4" s="46">
        <v>4</v>
      </c>
      <c r="C4" s="10" t="s">
        <v>555</v>
      </c>
      <c r="D4" s="401">
        <f>-SUMIF(D$6:D$1048576,"&lt;0",D$6:D$1048576)</f>
        <v>0</v>
      </c>
      <c r="E4" s="401">
        <f>-SUMIF(E$5:E$1048576,"&lt;0",E$5:E$1048576)</f>
        <v>0</v>
      </c>
      <c r="F4" s="401">
        <f>-SUMIF(F$5:F$1048576,"&lt;0",F$5:F$1048576)</f>
        <v>500000</v>
      </c>
      <c r="G4" s="401">
        <f>-SUMIF(G$5:G$1048576,"&lt;0",G$5:G$1048576)</f>
        <v>800000</v>
      </c>
      <c r="H4" s="401">
        <f>-SUMIF(H$5:H$1048576,"&lt;0",H$5:H$1048576)</f>
        <v>0</v>
      </c>
    </row>
    <row r="5" spans="1:8" s="21" customFormat="1" ht="17.25" customHeight="1" x14ac:dyDescent="0.3">
      <c r="B5" s="46">
        <v>5</v>
      </c>
      <c r="C5" s="9" t="s">
        <v>554</v>
      </c>
      <c r="D5" s="34"/>
      <c r="E5" s="404"/>
      <c r="F5" s="404"/>
      <c r="G5" s="404"/>
      <c r="H5" s="404"/>
    </row>
    <row r="6" spans="1:8" s="21" customFormat="1" ht="17.25" customHeight="1" outlineLevel="1" x14ac:dyDescent="0.3">
      <c r="B6" s="46"/>
      <c r="C6" s="9"/>
      <c r="D6" s="34"/>
      <c r="E6" s="404"/>
      <c r="F6" s="404"/>
      <c r="G6" s="404"/>
      <c r="H6" s="404"/>
    </row>
    <row r="7" spans="1:8" s="21" customFormat="1" ht="17.25" customHeight="1" outlineLevel="1" x14ac:dyDescent="0.3">
      <c r="B7" s="46"/>
      <c r="C7" s="9"/>
      <c r="D7" s="34"/>
      <c r="E7" s="404"/>
      <c r="F7" s="404"/>
      <c r="G7" s="404"/>
      <c r="H7" s="404"/>
    </row>
    <row r="8" spans="1:8" s="21" customFormat="1" ht="17.25" customHeight="1" outlineLevel="1" x14ac:dyDescent="0.3">
      <c r="B8" s="46"/>
      <c r="C8" s="9"/>
      <c r="D8" s="34"/>
      <c r="E8" s="404"/>
      <c r="F8" s="404"/>
      <c r="G8" s="404"/>
      <c r="H8" s="404"/>
    </row>
    <row r="9" spans="1:8" s="21" customFormat="1" ht="17.25" customHeight="1" outlineLevel="1" x14ac:dyDescent="0.3">
      <c r="B9" s="46"/>
      <c r="C9" s="9"/>
      <c r="D9" s="34"/>
      <c r="E9" s="404"/>
      <c r="F9" s="404"/>
      <c r="G9" s="404"/>
      <c r="H9" s="404"/>
    </row>
    <row r="10" spans="1:8" s="21" customFormat="1" ht="17.25" customHeight="1" outlineLevel="1" x14ac:dyDescent="0.3">
      <c r="B10" s="46"/>
      <c r="C10" s="9"/>
      <c r="D10" s="34"/>
      <c r="E10" s="404"/>
      <c r="F10" s="404"/>
      <c r="G10" s="404"/>
      <c r="H10" s="404"/>
    </row>
    <row r="11" spans="1:8" s="21" customFormat="1" ht="17.25" customHeight="1" outlineLevel="1" x14ac:dyDescent="0.3">
      <c r="B11" s="46"/>
      <c r="C11" s="9"/>
      <c r="D11" s="34"/>
      <c r="E11" s="404"/>
      <c r="F11" s="404"/>
      <c r="G11" s="404"/>
      <c r="H11" s="404"/>
    </row>
    <row r="12" spans="1:8" s="21" customFormat="1" ht="17.25" customHeight="1" outlineLevel="1" x14ac:dyDescent="0.3">
      <c r="B12" s="46"/>
      <c r="C12" s="9"/>
      <c r="D12" s="34"/>
      <c r="E12" s="404"/>
      <c r="F12" s="404"/>
      <c r="G12" s="404"/>
      <c r="H12" s="404"/>
    </row>
    <row r="13" spans="1:8" s="21" customFormat="1" ht="17.25" customHeight="1" outlineLevel="1" x14ac:dyDescent="0.3">
      <c r="B13" s="46"/>
      <c r="C13" s="9"/>
      <c r="D13" s="34"/>
      <c r="E13" s="404"/>
      <c r="F13" s="404"/>
      <c r="G13" s="404"/>
      <c r="H13" s="404"/>
    </row>
    <row r="14" spans="1:8" s="21" customFormat="1" ht="17.25" customHeight="1" outlineLevel="1" x14ac:dyDescent="0.3">
      <c r="B14" s="46"/>
      <c r="C14" s="9"/>
      <c r="D14" s="34"/>
      <c r="E14" s="404"/>
      <c r="F14" s="404"/>
      <c r="G14" s="404"/>
      <c r="H14" s="404"/>
    </row>
    <row r="15" spans="1:8" s="21" customFormat="1" ht="17.25" customHeight="1" outlineLevel="1" x14ac:dyDescent="0.3">
      <c r="B15" s="46"/>
      <c r="C15" s="9"/>
      <c r="D15" s="34"/>
      <c r="E15" s="404"/>
      <c r="F15" s="404"/>
      <c r="G15" s="404"/>
      <c r="H15" s="404"/>
    </row>
    <row r="16" spans="1:8" s="21" customFormat="1" ht="17.25" customHeight="1" outlineLevel="1" x14ac:dyDescent="0.3">
      <c r="B16" s="46"/>
      <c r="C16" s="9"/>
      <c r="D16" s="34"/>
      <c r="E16" s="404"/>
      <c r="F16" s="404"/>
      <c r="G16" s="404"/>
      <c r="H16" s="404"/>
    </row>
    <row r="17" spans="1:9" s="21" customFormat="1" ht="17.25" customHeight="1" outlineLevel="1" x14ac:dyDescent="0.3">
      <c r="B17" s="46"/>
      <c r="C17" s="9"/>
      <c r="D17" s="34"/>
      <c r="E17" s="404"/>
      <c r="F17" s="404"/>
      <c r="G17" s="404"/>
      <c r="H17" s="404"/>
    </row>
    <row r="18" spans="1:9" s="21" customFormat="1" ht="17.25" customHeight="1" outlineLevel="1" x14ac:dyDescent="0.3">
      <c r="B18" s="46"/>
      <c r="C18" s="9"/>
      <c r="D18" s="34"/>
      <c r="E18" s="404"/>
      <c r="F18" s="404"/>
      <c r="G18" s="404"/>
      <c r="H18" s="404"/>
    </row>
    <row r="19" spans="1:9" s="21" customFormat="1" ht="17.25" customHeight="1" outlineLevel="1" x14ac:dyDescent="0.3">
      <c r="B19" s="46"/>
      <c r="C19" s="9"/>
      <c r="D19" s="34"/>
      <c r="E19" s="404"/>
      <c r="F19" s="404"/>
      <c r="G19" s="404"/>
      <c r="H19" s="404"/>
    </row>
    <row r="20" spans="1:9" s="21" customFormat="1" ht="17.25" customHeight="1" outlineLevel="1" x14ac:dyDescent="0.3">
      <c r="B20" s="46"/>
      <c r="C20" s="9"/>
      <c r="D20" s="34"/>
      <c r="E20" s="404"/>
      <c r="F20" s="404"/>
      <c r="G20" s="404"/>
      <c r="H20" s="404"/>
    </row>
    <row r="21" spans="1:9" s="21" customFormat="1" ht="17.25" customHeight="1" outlineLevel="1" x14ac:dyDescent="0.3">
      <c r="B21" s="46"/>
      <c r="C21" s="9"/>
      <c r="D21" s="34"/>
      <c r="E21" s="404"/>
      <c r="F21" s="404"/>
      <c r="G21" s="404"/>
      <c r="H21" s="404"/>
    </row>
    <row r="22" spans="1:9" s="21" customFormat="1" ht="17.25" customHeight="1" outlineLevel="1" x14ac:dyDescent="0.3">
      <c r="B22" s="46"/>
      <c r="C22" s="9"/>
      <c r="D22" s="34"/>
      <c r="E22" s="404"/>
      <c r="F22" s="404"/>
      <c r="G22" s="404"/>
      <c r="H22" s="404"/>
    </row>
    <row r="23" spans="1:9" ht="17.25" customHeight="1" x14ac:dyDescent="0.3">
      <c r="C23" s="19" t="s">
        <v>556</v>
      </c>
      <c r="D23" s="20" t="s">
        <v>557</v>
      </c>
      <c r="E23" s="20" t="s">
        <v>1232</v>
      </c>
      <c r="F23" s="20" t="s">
        <v>1233</v>
      </c>
      <c r="G23" s="20" t="s">
        <v>1234</v>
      </c>
      <c r="H23" s="20" t="s">
        <v>883</v>
      </c>
    </row>
    <row r="24" spans="1:9" s="5" customFormat="1" x14ac:dyDescent="0.3">
      <c r="A24" s="347"/>
      <c r="B24" s="21" t="str" cm="1">
        <f t="array" ref="B24:B26">_xlfn._xlws.SORT(Table_KhachHang[Mã KH])</f>
        <v>KH1</v>
      </c>
      <c r="C24" s="21" t="s">
        <v>1205</v>
      </c>
      <c r="D24" s="545"/>
      <c r="E24"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300000</v>
      </c>
      <c r="F24"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400000</v>
      </c>
      <c r="G24"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400000</v>
      </c>
      <c r="H24"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row>
    <row r="25" spans="1:9" s="5" customFormat="1" x14ac:dyDescent="0.3">
      <c r="A25" s="347"/>
      <c r="B25" s="21" t="str">
        <v>KH2</v>
      </c>
      <c r="C25" s="21" t="s">
        <v>1206</v>
      </c>
      <c r="D25" s="545"/>
      <c r="E25"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400000</v>
      </c>
      <c r="F25"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300000</v>
      </c>
      <c r="G25"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300000</v>
      </c>
      <c r="H25"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5" s="1"/>
    </row>
    <row r="26" spans="1:9" s="5" customFormat="1" x14ac:dyDescent="0.3">
      <c r="A26" s="347"/>
      <c r="B26" s="21" t="str">
        <v>KH3</v>
      </c>
      <c r="C26" s="21" t="s">
        <v>1207</v>
      </c>
      <c r="D26" s="400"/>
      <c r="E26"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0</v>
      </c>
      <c r="F26"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-500000</v>
      </c>
      <c r="G26"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-800000</v>
      </c>
      <c r="H26"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6" s="1"/>
    </row>
    <row r="27" spans="1:9" s="5" customFormat="1" x14ac:dyDescent="0.3">
      <c r="A27" s="347"/>
      <c r="B27" s="21"/>
      <c r="C27" s="1"/>
      <c r="D27" s="38"/>
      <c r="E27" s="38"/>
      <c r="F27" s="38"/>
      <c r="G27" s="38"/>
      <c r="H27" s="38"/>
      <c r="I27" s="38"/>
    </row>
    <row r="28" spans="1:9" s="5" customFormat="1" x14ac:dyDescent="0.3">
      <c r="A28" s="347"/>
      <c r="B28" s="21"/>
      <c r="C28" s="1"/>
      <c r="D28" s="38"/>
      <c r="E28" s="38"/>
      <c r="F28" s="38"/>
      <c r="G28" s="38"/>
      <c r="H28" s="38"/>
      <c r="I28" s="1"/>
    </row>
    <row r="29" spans="1:9" s="5" customFormat="1" x14ac:dyDescent="0.3">
      <c r="A29" s="347"/>
      <c r="B29" s="21"/>
      <c r="C29" s="1"/>
      <c r="D29" s="38"/>
      <c r="E29" s="38"/>
      <c r="F29" s="38"/>
      <c r="G29" s="38"/>
      <c r="H29" s="38"/>
      <c r="I29" s="1"/>
    </row>
    <row r="30" spans="1:9" s="5" customFormat="1" x14ac:dyDescent="0.3">
      <c r="A30" s="347"/>
      <c r="B30" s="21"/>
      <c r="C30" s="1"/>
      <c r="D30" s="38"/>
      <c r="E30" s="38"/>
      <c r="F30" s="38"/>
      <c r="G30" s="38"/>
      <c r="H30" s="38"/>
      <c r="I30" s="1"/>
    </row>
    <row r="31" spans="1:9" s="5" customFormat="1" x14ac:dyDescent="0.3">
      <c r="A31" s="347"/>
      <c r="B31" s="21"/>
      <c r="C31" s="1"/>
      <c r="D31" s="38"/>
      <c r="E31" s="38"/>
      <c r="F31" s="38"/>
      <c r="G31" s="38"/>
      <c r="H31" s="38"/>
      <c r="I31" s="1"/>
    </row>
    <row r="32" spans="1:9" s="5" customFormat="1" x14ac:dyDescent="0.3">
      <c r="A32" s="347"/>
      <c r="B32" s="21"/>
      <c r="C32" s="1"/>
      <c r="D32" s="38"/>
      <c r="E32" s="38"/>
      <c r="F32" s="38"/>
      <c r="G32" s="38"/>
      <c r="H32" s="38"/>
      <c r="I32" s="1"/>
    </row>
    <row r="33" spans="1:9" s="5" customFormat="1" x14ac:dyDescent="0.3">
      <c r="A33" s="347"/>
      <c r="B33" s="21"/>
      <c r="C33" s="1"/>
      <c r="D33" s="38"/>
      <c r="E33" s="38"/>
      <c r="F33" s="38"/>
      <c r="G33" s="38"/>
      <c r="H33" s="38"/>
      <c r="I33" s="1"/>
    </row>
    <row r="35" spans="1:9" s="5" customFormat="1" x14ac:dyDescent="0.3">
      <c r="A35" s="347"/>
      <c r="B35" s="21"/>
      <c r="C35" s="1"/>
      <c r="D35" s="38"/>
      <c r="E35" s="38"/>
      <c r="F35" s="38"/>
      <c r="G35" s="38"/>
      <c r="H35" s="38"/>
      <c r="I35" s="1"/>
    </row>
    <row r="36" spans="1:9" s="5" customFormat="1" x14ac:dyDescent="0.3">
      <c r="A36" s="347"/>
      <c r="B36" s="21"/>
      <c r="C36" s="1"/>
      <c r="D36" s="38"/>
      <c r="E36" s="38"/>
      <c r="F36" s="38"/>
      <c r="G36" s="38"/>
      <c r="H36" s="38"/>
      <c r="I36" s="1"/>
    </row>
    <row r="37" spans="1:9" s="5" customFormat="1" x14ac:dyDescent="0.3">
      <c r="A37" s="347"/>
      <c r="B37" s="21"/>
      <c r="C37" s="1"/>
      <c r="D37" s="38"/>
      <c r="E37" s="38"/>
      <c r="F37" s="38"/>
      <c r="G37" s="38"/>
      <c r="H37" s="38"/>
      <c r="I37" s="1"/>
    </row>
    <row r="38" spans="1:9" s="5" customFormat="1" x14ac:dyDescent="0.3">
      <c r="A38" s="347"/>
      <c r="B38" s="21"/>
      <c r="C38" s="1"/>
      <c r="D38" s="38"/>
      <c r="E38" s="38"/>
      <c r="F38" s="38"/>
      <c r="G38" s="38"/>
      <c r="H38" s="38"/>
      <c r="I38" s="1"/>
    </row>
    <row r="39" spans="1:9" s="5" customFormat="1" x14ac:dyDescent="0.3">
      <c r="A39" s="347"/>
      <c r="B39" s="21"/>
      <c r="C39" s="1"/>
      <c r="D39" s="38"/>
      <c r="E39" s="38"/>
      <c r="F39" s="38"/>
      <c r="G39" s="38"/>
      <c r="H39" s="38"/>
      <c r="I39" s="1"/>
    </row>
    <row r="40" spans="1:9" s="5" customFormat="1" x14ac:dyDescent="0.3">
      <c r="A40" s="347"/>
      <c r="B40" s="21"/>
      <c r="C40" s="1"/>
      <c r="D40" s="38"/>
      <c r="E40" s="38"/>
      <c r="F40" s="38"/>
      <c r="G40" s="38"/>
      <c r="H40" s="38"/>
      <c r="I40" s="1"/>
    </row>
    <row r="41" spans="1:9" s="5" customFormat="1" x14ac:dyDescent="0.3">
      <c r="A41" s="347"/>
      <c r="B41" s="21"/>
      <c r="C41" s="1"/>
      <c r="D41" s="38"/>
      <c r="E41" s="38"/>
      <c r="F41" s="38"/>
      <c r="G41" s="38"/>
      <c r="H41" s="38"/>
      <c r="I41" s="1"/>
    </row>
    <row r="43" spans="1:9" s="6" customFormat="1" x14ac:dyDescent="0.3">
      <c r="A43" s="348"/>
      <c r="B43" s="21"/>
      <c r="C43" s="1"/>
      <c r="D43" s="38"/>
      <c r="E43" s="38"/>
      <c r="F43" s="38"/>
      <c r="G43" s="38"/>
      <c r="H43" s="38"/>
      <c r="I43" s="1"/>
    </row>
    <row r="44" spans="1:9" s="5" customFormat="1" x14ac:dyDescent="0.3">
      <c r="A44" s="347"/>
      <c r="B44" s="21"/>
      <c r="C44" s="1"/>
      <c r="D44" s="38"/>
      <c r="E44" s="38"/>
      <c r="F44" s="38"/>
      <c r="G44" s="38"/>
      <c r="H44" s="38"/>
      <c r="I44" s="1"/>
    </row>
    <row r="45" spans="1:9" s="5" customFormat="1" x14ac:dyDescent="0.3">
      <c r="A45" s="347"/>
      <c r="B45" s="21"/>
      <c r="C45" s="1"/>
      <c r="D45" s="38"/>
      <c r="E45" s="38"/>
      <c r="F45" s="38"/>
      <c r="G45" s="38"/>
      <c r="H45" s="38"/>
      <c r="I45" s="1"/>
    </row>
    <row r="46" spans="1:9" s="5" customFormat="1" x14ac:dyDescent="0.3">
      <c r="A46" s="347"/>
      <c r="B46" s="21"/>
      <c r="C46" s="1"/>
      <c r="D46" s="38"/>
      <c r="E46" s="38"/>
      <c r="F46" s="38"/>
      <c r="G46" s="38"/>
      <c r="H46" s="38"/>
      <c r="I46" s="1"/>
    </row>
    <row r="47" spans="1:9" s="5" customFormat="1" x14ac:dyDescent="0.3">
      <c r="A47" s="347"/>
      <c r="B47" s="21"/>
      <c r="C47" s="1"/>
      <c r="D47" s="38"/>
      <c r="E47" s="38"/>
      <c r="F47" s="38"/>
      <c r="G47" s="38"/>
      <c r="H47" s="38"/>
      <c r="I47" s="1"/>
    </row>
    <row r="49" spans="1:9" s="6" customFormat="1" x14ac:dyDescent="0.3">
      <c r="A49" s="348"/>
      <c r="B49" s="21"/>
      <c r="C49" s="1"/>
      <c r="D49" s="38"/>
      <c r="E49" s="38"/>
      <c r="F49" s="38"/>
      <c r="G49" s="38"/>
      <c r="H49" s="38"/>
      <c r="I49" s="1"/>
    </row>
    <row r="51" spans="1:9" s="6" customFormat="1" x14ac:dyDescent="0.3">
      <c r="A51" s="348"/>
      <c r="B51" s="21"/>
      <c r="C51" s="1"/>
      <c r="D51" s="38"/>
      <c r="E51" s="38"/>
      <c r="F51" s="38"/>
      <c r="G51" s="38"/>
      <c r="H51" s="38"/>
      <c r="I51" s="1"/>
    </row>
    <row r="54" spans="1:9" s="2" customFormat="1" x14ac:dyDescent="0.3">
      <c r="A54" s="348"/>
      <c r="B54" s="21"/>
      <c r="C54" s="1"/>
      <c r="D54" s="38"/>
      <c r="E54" s="38"/>
      <c r="F54" s="38"/>
      <c r="G54" s="38"/>
      <c r="H54" s="38"/>
      <c r="I54" s="1"/>
    </row>
  </sheetData>
  <sheetProtection algorithmName="SHA-512" hashValue="tn7aAj6Wm6mu+CUEFjfOT9vTkeejL7jLSi4T/yjH7uhiXufe1B1V44Ysgx32trQPkF2c2EFGdJSxzBkU5qLS5w==" saltValue="aEgGZloBRWJ2hyin03h0iQ==" spinCount="100000" sheet="1" scenarios="1" formatCells="0" formatColumns="0" formatRows="0" insertColumns="0" insertRows="0" deleteColumns="0" deleteRows="0" sort="0" autoFilter="0" pivotTables="0"/>
  <protectedRanges>
    <protectedRange sqref="J58:XFD1048576 I25:I1048576 J25:XFD53 B25:B1048576 I23:XFD24 J1:XFD22 H5:H22 D2:H4 D23:H25 C1:C1048576" name="Range1_69"/>
    <protectedRange sqref="J54:XFD57" name="Range1_4_13"/>
    <protectedRange sqref="H1" name="Range1_69_1"/>
  </protectedRanges>
  <dataConsolidate link="1"/>
  <phoneticPr fontId="14" type="noConversion"/>
  <conditionalFormatting sqref="C24:C26">
    <cfRule type="duplicateValues" dxfId="874" priority="809"/>
  </conditionalFormatting>
  <dataValidations count="1">
    <dataValidation type="list" errorStyle="warning" allowBlank="1" showInputMessage="1" sqref="C24:C26" xr:uid="{43B8D64C-72EB-4646-9AA7-931D5A35C97B}">
      <formula1>MaKhachHang</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9" r:id="rId4" name="Option Button 7">
              <controlPr defaultSize="0" autoFill="0" autoLine="0" autoPict="0" macro="[0]!DoiDonViHienThi">
                <anchor moveWithCells="1">
                  <from>
                    <xdr:col>0</xdr:col>
                    <xdr:colOff>561975</xdr:colOff>
                    <xdr:row>2</xdr:row>
                    <xdr:rowOff>171450</xdr:rowOff>
                  </from>
                  <to>
                    <xdr:col>1</xdr:col>
                    <xdr:colOff>219075</xdr:colOff>
                    <xdr:row>4</xdr:row>
                    <xdr:rowOff>9525</xdr:rowOff>
                  </to>
                </anchor>
              </controlPr>
            </control>
          </mc:Choice>
        </mc:AlternateContent>
        <mc:AlternateContent xmlns:mc="http://schemas.openxmlformats.org/markup-compatibility/2006">
          <mc:Choice Requires="x14">
            <control shapeId="54280" r:id="rId5" name="Option Button 8">
              <controlPr defaultSize="0" autoFill="0" autoLine="0" autoPict="0" macro="[0]!DoiDonViHienThi">
                <anchor moveWithCells="1">
                  <from>
                    <xdr:col>1</xdr:col>
                    <xdr:colOff>95250</xdr:colOff>
                    <xdr:row>2</xdr:row>
                    <xdr:rowOff>171450</xdr:rowOff>
                  </from>
                  <to>
                    <xdr:col>1</xdr:col>
                    <xdr:colOff>685800</xdr:colOff>
                    <xdr:row>4</xdr:row>
                    <xdr:rowOff>9525</xdr:rowOff>
                  </to>
                </anchor>
              </controlPr>
            </control>
          </mc:Choice>
        </mc:AlternateContent>
        <mc:AlternateContent xmlns:mc="http://schemas.openxmlformats.org/markup-compatibility/2006">
          <mc:Choice Requires="x14">
            <control shapeId="54281" r:id="rId6" name="Option Button 9">
              <controlPr defaultSize="0" autoFill="0" autoLine="0" autoPict="0" macro="[0]!DoiDonViHienThi">
                <anchor moveWithCells="1">
                  <from>
                    <xdr:col>1</xdr:col>
                    <xdr:colOff>561975</xdr:colOff>
                    <xdr:row>2</xdr:row>
                    <xdr:rowOff>171450</xdr:rowOff>
                  </from>
                  <to>
                    <xdr:col>1</xdr:col>
                    <xdr:colOff>1152525</xdr:colOff>
                    <xdr:row>4</xdr:row>
                    <xdr:rowOff>9525</xdr:rowOff>
                  </to>
                </anchor>
              </controlPr>
            </control>
          </mc:Choice>
        </mc:AlternateContent>
        <mc:AlternateContent xmlns:mc="http://schemas.openxmlformats.org/markup-compatibility/2006">
          <mc:Choice Requires="x14">
            <control shapeId="54282" r:id="rId7" name="Option Button 10">
              <controlPr defaultSize="0" autoFill="0" autoLine="0" autoPict="0" macro="[0]!DoiDonViHienThi">
                <anchor moveWithCells="1">
                  <from>
                    <xdr:col>1</xdr:col>
                    <xdr:colOff>1038225</xdr:colOff>
                    <xdr:row>2</xdr:row>
                    <xdr:rowOff>171450</xdr:rowOff>
                  </from>
                  <to>
                    <xdr:col>1</xdr:col>
                    <xdr:colOff>1390650</xdr:colOff>
                    <xdr:row>4</xdr:row>
                    <xdr:rowOff>9525</xdr:rowOff>
                  </to>
                </anchor>
              </controlPr>
            </control>
          </mc:Choice>
        </mc:AlternateContent>
        <mc:AlternateContent xmlns:mc="http://schemas.openxmlformats.org/markup-compatibility/2006">
          <mc:Choice Requires="x14">
            <control shapeId="54283" r:id="rId8" name="Group Box 11">
              <controlPr defaultSize="0" autoFill="0" autoPict="0">
                <anchor moveWithCells="1">
                  <from>
                    <xdr:col>0</xdr:col>
                    <xdr:colOff>447675</xdr:colOff>
                    <xdr:row>2</xdr:row>
                    <xdr:rowOff>123825</xdr:rowOff>
                  </from>
                  <to>
                    <xdr:col>1</xdr:col>
                    <xdr:colOff>1504950</xdr:colOff>
                    <xdr:row>4</xdr:row>
                    <xdr:rowOff>47625</xdr:rowOff>
                  </to>
                </anchor>
              </controlPr>
            </control>
          </mc:Choice>
        </mc:AlternateContent>
        <mc:AlternateContent xmlns:mc="http://schemas.openxmlformats.org/markup-compatibility/2006">
          <mc:Choice Requires="x14">
            <control shapeId="54284" r:id="rId9" name="Group Box 12">
              <controlPr defaultSize="0" autoFill="0" autoPict="0">
                <anchor moveWithCells="1">
                  <from>
                    <xdr:col>0</xdr:col>
                    <xdr:colOff>447675</xdr:colOff>
                    <xdr:row>0</xdr:row>
                    <xdr:rowOff>161925</xdr:rowOff>
                  </from>
                  <to>
                    <xdr:col>1</xdr:col>
                    <xdr:colOff>1171575</xdr:colOff>
                    <xdr:row>2</xdr:row>
                    <xdr:rowOff>85725</xdr:rowOff>
                  </to>
                </anchor>
              </controlPr>
            </control>
          </mc:Choice>
        </mc:AlternateContent>
        <mc:AlternateContent xmlns:mc="http://schemas.openxmlformats.org/markup-compatibility/2006">
          <mc:Choice Requires="x14">
            <control shapeId="54285" r:id="rId10" name="Button 13">
              <controlPr defaultSize="0" autoFill="0" autoPict="0" macro="[0]!NhanNghin">
                <anchor moveWithCells="1">
                  <from>
                    <xdr:col>0</xdr:col>
                    <xdr:colOff>533400</xdr:colOff>
                    <xdr:row>1</xdr:row>
                    <xdr:rowOff>38100</xdr:rowOff>
                  </from>
                  <to>
                    <xdr:col>1</xdr:col>
                    <xdr:colOff>66675</xdr:colOff>
                    <xdr:row>1</xdr:row>
                    <xdr:rowOff>209550</xdr:rowOff>
                  </to>
                </anchor>
              </controlPr>
            </control>
          </mc:Choice>
        </mc:AlternateContent>
        <mc:AlternateContent xmlns:mc="http://schemas.openxmlformats.org/markup-compatibility/2006">
          <mc:Choice Requires="x14">
            <control shapeId="54286" r:id="rId11" name="Button 14">
              <controlPr defaultSize="0" autoFill="0" autoPict="0" macro="[0]!NhanTrieu">
                <anchor moveWithCells="1">
                  <from>
                    <xdr:col>1</xdr:col>
                    <xdr:colOff>114300</xdr:colOff>
                    <xdr:row>1</xdr:row>
                    <xdr:rowOff>38100</xdr:rowOff>
                  </from>
                  <to>
                    <xdr:col>1</xdr:col>
                    <xdr:colOff>581025</xdr:colOff>
                    <xdr:row>1</xdr:row>
                    <xdr:rowOff>209550</xdr:rowOff>
                  </to>
                </anchor>
              </controlPr>
            </control>
          </mc:Choice>
        </mc:AlternateContent>
        <mc:AlternateContent xmlns:mc="http://schemas.openxmlformats.org/markup-compatibility/2006">
          <mc:Choice Requires="x14">
            <control shapeId="54287" r:id="rId12" name="Button 15">
              <controlPr defaultSize="0" autoFill="0" autoPict="0" macro="[0]!NhanTy">
                <anchor moveWithCells="1">
                  <from>
                    <xdr:col>1</xdr:col>
                    <xdr:colOff>628650</xdr:colOff>
                    <xdr:row>1</xdr:row>
                    <xdr:rowOff>38100</xdr:rowOff>
                  </from>
                  <to>
                    <xdr:col>1</xdr:col>
                    <xdr:colOff>1095375</xdr:colOff>
                    <xdr:row>1</xdr:row>
                    <xdr:rowOff>209550</xdr:rowOff>
                  </to>
                </anchor>
              </controlPr>
            </control>
          </mc:Choice>
        </mc:AlternateContent>
        <mc:AlternateContent xmlns:mc="http://schemas.openxmlformats.org/markup-compatibility/2006">
          <mc:Choice Requires="x14">
            <control shapeId="54288" r:id="rId13" name="Button 16">
              <controlPr defaultSize="0" print="0" autoFill="0" autoPict="0" macro="[0]!AddRow">
                <anchor moveWithCells="1">
                  <from>
                    <xdr:col>1</xdr:col>
                    <xdr:colOff>304800</xdr:colOff>
                    <xdr:row>22</xdr:row>
                    <xdr:rowOff>66675</xdr:rowOff>
                  </from>
                  <to>
                    <xdr:col>1</xdr:col>
                    <xdr:colOff>781050</xdr:colOff>
                    <xdr:row>23</xdr:row>
                    <xdr:rowOff>104775</xdr:rowOff>
                  </to>
                </anchor>
              </controlPr>
            </control>
          </mc:Choice>
        </mc:AlternateContent>
        <mc:AlternateContent xmlns:mc="http://schemas.openxmlformats.org/markup-compatibility/2006">
          <mc:Choice Requires="x14">
            <control shapeId="54289" r:id="rId14" name="Button 17">
              <controlPr defaultSize="0" print="0" autoFill="0" autoPict="0" macro="[0]!DeleteRow">
                <anchor moveWithCells="1">
                  <from>
                    <xdr:col>1</xdr:col>
                    <xdr:colOff>819150</xdr:colOff>
                    <xdr:row>22</xdr:row>
                    <xdr:rowOff>66675</xdr:rowOff>
                  </from>
                  <to>
                    <xdr:col>1</xdr:col>
                    <xdr:colOff>1295400</xdr:colOff>
                    <xdr:row>23</xdr:row>
                    <xdr:rowOff>104775</xdr:rowOff>
                  </to>
                </anchor>
              </controlPr>
            </control>
          </mc:Choice>
        </mc:AlternateContent>
        <mc:AlternateContent xmlns:mc="http://schemas.openxmlformats.org/markup-compatibility/2006">
          <mc:Choice Requires="x14">
            <control shapeId="54290" r:id="rId15" name="Button 18">
              <controlPr defaultSize="0" print="0" autoFill="0" autoPict="0" macro="[0]!AddColumn">
                <anchor moveWithCells="1">
                  <from>
                    <xdr:col>8</xdr:col>
                    <xdr:colOff>47625</xdr:colOff>
                    <xdr:row>22</xdr:row>
                    <xdr:rowOff>38100</xdr:rowOff>
                  </from>
                  <to>
                    <xdr:col>8</xdr:col>
                    <xdr:colOff>561975</xdr:colOff>
                    <xdr:row>23</xdr:row>
                    <xdr:rowOff>76200</xdr:rowOff>
                  </to>
                </anchor>
              </controlPr>
            </control>
          </mc:Choice>
        </mc:AlternateContent>
        <mc:AlternateContent xmlns:mc="http://schemas.openxmlformats.org/markup-compatibility/2006">
          <mc:Choice Requires="x14">
            <control shapeId="54291" r:id="rId16" name="Button 19">
              <controlPr defaultSize="0" print="0" autoFill="0" autoPict="0" macro="[0]!DeleteColumn">
                <anchor moveWithCells="1">
                  <from>
                    <xdr:col>8</xdr:col>
                    <xdr:colOff>600075</xdr:colOff>
                    <xdr:row>22</xdr:row>
                    <xdr:rowOff>38100</xdr:rowOff>
                  </from>
                  <to>
                    <xdr:col>9</xdr:col>
                    <xdr:colOff>180975</xdr:colOff>
                    <xdr:row>23</xdr:row>
                    <xdr:rowOff>76200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36CE45FA-A670-4BCE-A1C3-DE9F0124D280}">
            <xm:f>Security!$A$1="NO VBA"</xm:f>
            <x14:dxf>
              <font>
                <color theme="0"/>
              </font>
              <border>
                <vertical/>
                <horizontal/>
              </border>
            </x14:dxf>
          </x14:cfRule>
          <xm:sqref>A1:XFD1048576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outlinePr summaryRight="0"/>
  </sheetPr>
  <dimension ref="A1:L72"/>
  <sheetViews>
    <sheetView showGridLines="0" topLeftCell="A7" zoomScaleNormal="100" workbookViewId="0">
      <selection activeCell="H32" sqref="H32"/>
    </sheetView>
  </sheetViews>
  <sheetFormatPr defaultRowHeight="18" customHeight="1" outlineLevelRow="1" outlineLevelCol="1" x14ac:dyDescent="0.3"/>
  <cols>
    <col min="1" max="1" width="17.375" style="7" customWidth="1"/>
    <col min="2" max="2" width="16.25" style="7" bestFit="1" customWidth="1"/>
    <col min="3" max="3" width="14.125" style="7" bestFit="1" customWidth="1"/>
    <col min="4" max="7" width="11.75" style="7" customWidth="1" outlineLevel="1"/>
    <col min="8" max="8" width="11.25" style="44" bestFit="1" customWidth="1"/>
    <col min="9" max="9" width="12.625" style="15" customWidth="1"/>
    <col min="10" max="10" width="12.625" style="7" customWidth="1"/>
    <col min="11" max="11" width="9" style="7"/>
    <col min="12" max="12" width="9" style="464"/>
    <col min="13" max="16384" width="9" style="7"/>
  </cols>
  <sheetData>
    <row r="1" spans="1:12" ht="18" customHeight="1" x14ac:dyDescent="0.3">
      <c r="A1" s="301">
        <v>1</v>
      </c>
      <c r="B1" s="242"/>
      <c r="C1" s="10" t="s">
        <v>1</v>
      </c>
      <c r="D1" s="403"/>
      <c r="E1" s="403">
        <v>45717</v>
      </c>
      <c r="F1" s="403">
        <v>45748</v>
      </c>
      <c r="G1" s="403">
        <v>45778</v>
      </c>
      <c r="H1" s="403"/>
      <c r="I1" s="242"/>
      <c r="J1" s="242"/>
      <c r="L1" s="7"/>
    </row>
    <row r="2" spans="1:12" ht="18" customHeight="1" x14ac:dyDescent="0.3">
      <c r="A2" s="301">
        <v>2</v>
      </c>
      <c r="B2" s="11" t="s">
        <v>558</v>
      </c>
      <c r="C2" s="10" t="s">
        <v>559</v>
      </c>
      <c r="D2" s="401">
        <f>+SUMIFS(D$26:D$1048576,D$26:D$1048576,"&gt;0",$B$26:$B$1048576,$B$2)</f>
        <v>0</v>
      </c>
      <c r="E2" s="401">
        <f>+SUMIFS(E$9:E$1048576,E$9:E$1048576,"&gt;0",$B$9:$B$1048576,$B$2)</f>
        <v>403962</v>
      </c>
      <c r="F2" s="401">
        <f>+SUMIFS(F$9:F$1048576,F$9:F$1048576,"&gt;0",$B$9:$B$1048576,$B$2)</f>
        <v>496415</v>
      </c>
      <c r="G2" s="401">
        <f>+SUMIFS(G$9:G$1048576,G$9:G$1048576,"&gt;0",$B$9:$B$1048576,$B$2)</f>
        <v>430146</v>
      </c>
      <c r="H2" s="401">
        <f>+SUMIFS(H$9:H$1048576,H$9:H$1048576,"&gt;0",$B$9:$B$1048576,$B$2)</f>
        <v>0</v>
      </c>
      <c r="I2" s="242"/>
      <c r="J2" s="242"/>
      <c r="L2" s="7"/>
    </row>
    <row r="3" spans="1:12" ht="18" customHeight="1" x14ac:dyDescent="0.3">
      <c r="A3" s="301">
        <v>3</v>
      </c>
      <c r="B3" s="13"/>
      <c r="C3" s="9" t="s">
        <v>554</v>
      </c>
      <c r="D3" s="402"/>
      <c r="E3" s="402"/>
      <c r="F3" s="402"/>
      <c r="G3" s="402"/>
      <c r="H3" s="402"/>
      <c r="I3" s="242"/>
      <c r="J3" s="242"/>
      <c r="L3" s="7"/>
    </row>
    <row r="4" spans="1:12" ht="18" customHeight="1" x14ac:dyDescent="0.3">
      <c r="A4" s="301">
        <v>4</v>
      </c>
      <c r="B4" s="259"/>
      <c r="C4" s="10" t="s">
        <v>555</v>
      </c>
      <c r="D4" s="401">
        <f>-SUMIFS(D$26:D$1048576,D$26:D$1048576,"&lt;=0",$B$26:$B$1048576,$B$2)</f>
        <v>0</v>
      </c>
      <c r="E4" s="401">
        <f>-SUMIFS(E$9:E$1048576,E$9:E$1048576,"&lt;=0",$B$9:$B$1048576,$B$2)</f>
        <v>175654</v>
      </c>
      <c r="F4" s="401">
        <f>-SUMIFS(F$9:F$1048576,F$9:F$1048576,"&lt;=0",$B$9:$B$1048576,$B$2)</f>
        <v>333042</v>
      </c>
      <c r="G4" s="401">
        <f>-SUMIFS(G$9:G$1048576,G$9:G$1048576,"&lt;=0",$B$9:$B$1048576,$B$2)</f>
        <v>629803</v>
      </c>
      <c r="H4" s="401">
        <f>-SUMIFS(H$9:H$1048576,H$9:H$1048576,"&lt;=0",$B$9:$B$1048576,$B$2)</f>
        <v>0</v>
      </c>
      <c r="I4" s="242"/>
      <c r="J4" s="242"/>
      <c r="L4" s="7"/>
    </row>
    <row r="5" spans="1:12" ht="18" customHeight="1" x14ac:dyDescent="0.3">
      <c r="A5" s="301">
        <v>5</v>
      </c>
      <c r="B5" s="13"/>
      <c r="C5" s="9" t="s">
        <v>554</v>
      </c>
      <c r="D5" s="402"/>
      <c r="E5" s="402"/>
      <c r="F5" s="402"/>
      <c r="G5" s="402"/>
      <c r="H5" s="402"/>
      <c r="I5" s="242"/>
      <c r="J5" s="260"/>
      <c r="L5" s="7"/>
    </row>
    <row r="6" spans="1:12" ht="18" customHeight="1" x14ac:dyDescent="0.3">
      <c r="A6" s="301">
        <v>6</v>
      </c>
      <c r="B6" s="11" t="s">
        <v>560</v>
      </c>
      <c r="C6" s="10" t="s">
        <v>559</v>
      </c>
      <c r="D6" s="401">
        <f>+SUMIFS(D$26:D$1048576,D$26:D$1048576,"&gt;0",$B$26:$B$1048576,$B$6)</f>
        <v>0</v>
      </c>
      <c r="E6" s="401">
        <f>+SUMIFS(E$9:E$1048576,E$9:E$1048576,"&gt;0",$B$9:$B$1048576,$B$6)</f>
        <v>0</v>
      </c>
      <c r="F6" s="401">
        <f>+SUMIFS(F$9:F$1048576,F$9:F$1048576,"&gt;0",$B$9:$B$1048576,$B$6)</f>
        <v>0</v>
      </c>
      <c r="G6" s="401">
        <f>+SUMIFS(G$9:G$1048576,G$9:G$1048576,"&gt;0",$B$9:$B$1048576,$B$6)</f>
        <v>0</v>
      </c>
      <c r="H6" s="401">
        <f>+SUMIFS(H$9:H$1048576,H$9:H$1048576,"&gt;0",$B$9:$B$1048576,$B$6)</f>
        <v>0</v>
      </c>
      <c r="I6" s="242"/>
      <c r="J6" s="260"/>
      <c r="L6" s="7"/>
    </row>
    <row r="7" spans="1:12" ht="18" customHeight="1" x14ac:dyDescent="0.3">
      <c r="A7" s="301">
        <v>7</v>
      </c>
      <c r="B7" s="13"/>
      <c r="C7" s="9" t="s">
        <v>554</v>
      </c>
      <c r="D7" s="402"/>
      <c r="E7" s="402"/>
      <c r="F7" s="402"/>
      <c r="G7" s="402"/>
      <c r="H7" s="402"/>
      <c r="I7" s="242"/>
      <c r="J7" s="260"/>
      <c r="L7" s="7"/>
    </row>
    <row r="8" spans="1:12" ht="18" customHeight="1" x14ac:dyDescent="0.3">
      <c r="A8" s="301">
        <v>8</v>
      </c>
      <c r="B8" s="242"/>
      <c r="C8" s="10" t="s">
        <v>555</v>
      </c>
      <c r="D8" s="401">
        <f>-SUMIFS(D$26:D$1048576,D$26:D$1048576,"&lt;=0",$B$26:$B$1048576,$B$6)</f>
        <v>0</v>
      </c>
      <c r="E8" s="401">
        <f>-SUMIFS(E$9:E$1048576,E$9:E$1048576,"&lt;=0",$B$9:$B$1048576,$B$6)</f>
        <v>0</v>
      </c>
      <c r="F8" s="401">
        <f>-SUMIFS(F$9:F$1048576,F$9:F$1048576,"&lt;=0",$B$9:$B$1048576,$B$6)</f>
        <v>0</v>
      </c>
      <c r="G8" s="401">
        <f>-SUMIFS(G$9:G$1048576,G$9:G$1048576,"&lt;=0",$B$9:$B$1048576,$B$6)</f>
        <v>0</v>
      </c>
      <c r="H8" s="401">
        <f>-SUMIFS(H$9:H$1048576,H$9:H$1048576,"&lt;=0",$B$9:$B$1048576,$B$6)</f>
        <v>0</v>
      </c>
      <c r="I8" s="242"/>
      <c r="J8" s="260"/>
      <c r="L8" s="7"/>
    </row>
    <row r="9" spans="1:12" ht="18" customHeight="1" x14ac:dyDescent="0.3">
      <c r="A9" s="301">
        <v>9</v>
      </c>
      <c r="B9" s="242"/>
      <c r="C9" s="9" t="s">
        <v>554</v>
      </c>
      <c r="D9" s="15"/>
      <c r="E9" s="402"/>
      <c r="F9" s="402"/>
      <c r="G9" s="402"/>
      <c r="H9" s="402"/>
      <c r="I9" s="242"/>
      <c r="J9" s="260"/>
      <c r="L9" s="7"/>
    </row>
    <row r="10" spans="1:12" ht="18" customHeight="1" outlineLevel="1" x14ac:dyDescent="0.3">
      <c r="A10" s="301"/>
      <c r="B10" s="242"/>
      <c r="C10" s="9"/>
      <c r="D10" s="15"/>
      <c r="E10" s="402"/>
      <c r="F10" s="402"/>
      <c r="G10" s="402"/>
      <c r="H10" s="402"/>
      <c r="I10" s="242"/>
      <c r="J10" s="260"/>
      <c r="L10" s="7"/>
    </row>
    <row r="11" spans="1:12" ht="18" customHeight="1" outlineLevel="1" x14ac:dyDescent="0.3">
      <c r="A11" s="301"/>
      <c r="B11" s="242"/>
      <c r="C11" s="9"/>
      <c r="D11" s="15"/>
      <c r="E11" s="402"/>
      <c r="F11" s="402"/>
      <c r="G11" s="402"/>
      <c r="H11" s="402"/>
      <c r="I11" s="242"/>
      <c r="J11" s="260"/>
      <c r="L11" s="7"/>
    </row>
    <row r="12" spans="1:12" ht="18" customHeight="1" outlineLevel="1" x14ac:dyDescent="0.3">
      <c r="A12" s="301"/>
      <c r="B12" s="242"/>
      <c r="C12" s="9"/>
      <c r="D12" s="15"/>
      <c r="E12" s="402"/>
      <c r="F12" s="402"/>
      <c r="G12" s="402"/>
      <c r="H12" s="402"/>
      <c r="I12" s="242"/>
      <c r="J12" s="260"/>
      <c r="L12" s="7"/>
    </row>
    <row r="13" spans="1:12" ht="18" customHeight="1" outlineLevel="1" x14ac:dyDescent="0.3">
      <c r="A13" s="301"/>
      <c r="B13" s="242"/>
      <c r="C13" s="9"/>
      <c r="D13" s="15"/>
      <c r="E13" s="402"/>
      <c r="F13" s="402"/>
      <c r="G13" s="402"/>
      <c r="H13" s="402"/>
      <c r="I13" s="242"/>
      <c r="J13" s="260"/>
      <c r="L13" s="7"/>
    </row>
    <row r="14" spans="1:12" ht="18" customHeight="1" outlineLevel="1" x14ac:dyDescent="0.3">
      <c r="A14" s="301"/>
      <c r="B14" s="242"/>
      <c r="C14" s="9"/>
      <c r="D14" s="15"/>
      <c r="E14" s="402"/>
      <c r="F14" s="402"/>
      <c r="G14" s="402"/>
      <c r="H14" s="402"/>
      <c r="I14" s="242"/>
      <c r="J14" s="260"/>
      <c r="L14" s="7"/>
    </row>
    <row r="15" spans="1:12" ht="18" customHeight="1" outlineLevel="1" x14ac:dyDescent="0.3">
      <c r="A15" s="301"/>
      <c r="B15" s="242"/>
      <c r="C15" s="9"/>
      <c r="D15" s="15"/>
      <c r="E15" s="402"/>
      <c r="F15" s="402"/>
      <c r="G15" s="402"/>
      <c r="H15" s="402"/>
      <c r="I15" s="242"/>
      <c r="J15" s="260"/>
    </row>
    <row r="16" spans="1:12" ht="18" customHeight="1" outlineLevel="1" x14ac:dyDescent="0.3">
      <c r="A16" s="301"/>
      <c r="B16" s="242"/>
      <c r="C16" s="9"/>
      <c r="D16" s="15"/>
      <c r="E16" s="402"/>
      <c r="F16" s="402"/>
      <c r="G16" s="402"/>
      <c r="H16" s="402"/>
      <c r="I16" s="242"/>
      <c r="J16" s="260"/>
    </row>
    <row r="17" spans="1:10" ht="18" customHeight="1" outlineLevel="1" x14ac:dyDescent="0.3">
      <c r="A17" s="301"/>
      <c r="B17" s="242"/>
      <c r="C17" s="9"/>
      <c r="D17" s="15"/>
      <c r="E17" s="402"/>
      <c r="F17" s="402"/>
      <c r="G17" s="402"/>
      <c r="H17" s="402"/>
      <c r="I17" s="242"/>
      <c r="J17" s="260"/>
    </row>
    <row r="18" spans="1:10" ht="18" customHeight="1" outlineLevel="1" x14ac:dyDescent="0.3">
      <c r="A18" s="301"/>
      <c r="B18" s="242"/>
      <c r="C18" s="9"/>
      <c r="D18" s="15"/>
      <c r="E18" s="402"/>
      <c r="F18" s="402"/>
      <c r="G18" s="402"/>
      <c r="H18" s="402"/>
      <c r="I18" s="242"/>
      <c r="J18" s="260"/>
    </row>
    <row r="19" spans="1:10" ht="18" customHeight="1" outlineLevel="1" x14ac:dyDescent="0.3">
      <c r="A19" s="301"/>
      <c r="B19" s="242"/>
      <c r="C19" s="9"/>
      <c r="D19" s="15"/>
      <c r="E19" s="402"/>
      <c r="F19" s="402"/>
      <c r="G19" s="402"/>
      <c r="H19" s="402"/>
      <c r="I19" s="242"/>
      <c r="J19" s="260"/>
    </row>
    <row r="20" spans="1:10" ht="18" customHeight="1" outlineLevel="1" x14ac:dyDescent="0.3">
      <c r="A20" s="301"/>
      <c r="B20" s="242"/>
      <c r="C20" s="9"/>
      <c r="D20" s="15"/>
      <c r="E20" s="402"/>
      <c r="F20" s="402"/>
      <c r="G20" s="402"/>
      <c r="H20" s="402"/>
      <c r="I20" s="242"/>
      <c r="J20" s="260"/>
    </row>
    <row r="21" spans="1:10" ht="18" customHeight="1" outlineLevel="1" x14ac:dyDescent="0.3">
      <c r="A21" s="301"/>
      <c r="B21" s="242"/>
      <c r="C21" s="9"/>
      <c r="D21" s="15"/>
      <c r="E21" s="402"/>
      <c r="F21" s="402"/>
      <c r="G21" s="402"/>
      <c r="H21" s="402"/>
      <c r="I21" s="242"/>
      <c r="J21" s="260"/>
    </row>
    <row r="22" spans="1:10" ht="18" customHeight="1" outlineLevel="1" x14ac:dyDescent="0.3">
      <c r="A22" s="301"/>
      <c r="B22" s="242"/>
      <c r="C22" s="9"/>
      <c r="D22" s="15"/>
      <c r="E22" s="402"/>
      <c r="F22" s="402"/>
      <c r="G22" s="402"/>
      <c r="H22" s="402"/>
      <c r="I22" s="242"/>
      <c r="J22" s="260"/>
    </row>
    <row r="23" spans="1:10" ht="18" customHeight="1" outlineLevel="1" x14ac:dyDescent="0.3">
      <c r="A23" s="301"/>
      <c r="B23" s="242"/>
      <c r="C23" s="9"/>
      <c r="D23" s="15"/>
      <c r="E23" s="402"/>
      <c r="F23" s="402"/>
      <c r="G23" s="402"/>
      <c r="H23" s="402"/>
      <c r="I23" s="242"/>
      <c r="J23" s="260"/>
    </row>
    <row r="24" spans="1:10" ht="18" customHeight="1" outlineLevel="1" x14ac:dyDescent="0.3">
      <c r="A24" s="301"/>
      <c r="B24" s="242"/>
      <c r="C24" s="9"/>
      <c r="D24" s="15"/>
      <c r="E24" s="402"/>
      <c r="F24" s="402"/>
      <c r="G24" s="402"/>
      <c r="H24" s="402"/>
      <c r="I24" s="242"/>
      <c r="J24" s="260"/>
    </row>
    <row r="25" spans="1:10" ht="18" customHeight="1" outlineLevel="1" x14ac:dyDescent="0.3">
      <c r="A25" s="301"/>
      <c r="B25" s="242"/>
      <c r="C25" s="9"/>
      <c r="D25" s="15"/>
      <c r="E25" s="402"/>
      <c r="F25" s="402"/>
      <c r="G25" s="402"/>
      <c r="H25" s="402"/>
      <c r="I25" s="242"/>
      <c r="J25" s="260"/>
    </row>
    <row r="26" spans="1:10" ht="18" customHeight="1" outlineLevel="1" x14ac:dyDescent="0.3">
      <c r="A26" s="301"/>
      <c r="B26" s="242"/>
      <c r="C26" s="9"/>
      <c r="D26" s="15"/>
      <c r="E26" s="402"/>
      <c r="F26" s="402"/>
      <c r="G26" s="402"/>
      <c r="H26" s="402"/>
      <c r="I26" s="242"/>
      <c r="J26" s="260"/>
    </row>
    <row r="27" spans="1:10" ht="18" customHeight="1" x14ac:dyDescent="0.3">
      <c r="A27" s="242"/>
      <c r="B27" s="19" t="s">
        <v>561</v>
      </c>
      <c r="C27" s="19" t="s">
        <v>556</v>
      </c>
      <c r="D27" s="20" t="s">
        <v>557</v>
      </c>
      <c r="E27" s="20" t="s">
        <v>1232</v>
      </c>
      <c r="F27" s="20" t="s">
        <v>1233</v>
      </c>
      <c r="G27" s="20" t="s">
        <v>1234</v>
      </c>
      <c r="H27" s="20" t="s">
        <v>883</v>
      </c>
      <c r="I27" s="242"/>
      <c r="J27" s="242"/>
    </row>
    <row r="28" spans="1:10" s="53" customFormat="1" ht="18" customHeight="1" x14ac:dyDescent="0.3">
      <c r="A28" s="242" t="str" cm="1">
        <f t="array" ref="A28:A30">_xlfn._xlws.SORT(Table_NhaCungCap[Mã Đối tác])</f>
        <v>NCC1</v>
      </c>
      <c r="B28" s="262" t="s">
        <v>558</v>
      </c>
      <c r="C28" s="242" t="s">
        <v>1168</v>
      </c>
      <c r="D28" s="545"/>
      <c r="E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-11946</v>
      </c>
      <c r="F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-333042</v>
      </c>
      <c r="G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430146</v>
      </c>
      <c r="H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8" s="244"/>
      <c r="J28" s="264"/>
    </row>
    <row r="29" spans="1:10" ht="18" customHeight="1" x14ac:dyDescent="0.3">
      <c r="A29" s="242" t="str">
        <v>NCC2</v>
      </c>
      <c r="B29" s="262" t="s">
        <v>558</v>
      </c>
      <c r="C29" s="242" t="s">
        <v>1169</v>
      </c>
      <c r="D29" s="545"/>
      <c r="E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403962</v>
      </c>
      <c r="F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75837</v>
      </c>
      <c r="G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-376901</v>
      </c>
      <c r="H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9" s="244"/>
      <c r="J29" s="242"/>
    </row>
    <row r="30" spans="1:10" ht="18" customHeight="1" x14ac:dyDescent="0.3">
      <c r="A30" s="242" t="str">
        <v>NCC3</v>
      </c>
      <c r="B30" s="262" t="s">
        <v>558</v>
      </c>
      <c r="C30" s="242" t="s">
        <v>1170</v>
      </c>
      <c r="D30" s="400"/>
      <c r="E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-163708</v>
      </c>
      <c r="F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420578</v>
      </c>
      <c r="G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-252902</v>
      </c>
      <c r="H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30" s="244"/>
      <c r="J30" s="242"/>
    </row>
    <row r="31" spans="1:10" s="41" customFormat="1" ht="18" customHeight="1" x14ac:dyDescent="0.15">
      <c r="A31" s="266"/>
      <c r="B31" s="242"/>
      <c r="C31" s="242"/>
      <c r="D31" s="242"/>
      <c r="E31" s="242"/>
      <c r="F31" s="242"/>
      <c r="G31" s="242"/>
      <c r="H31" s="265"/>
      <c r="I31" s="244"/>
      <c r="J31" s="242"/>
    </row>
    <row r="32" spans="1:10" ht="18" customHeight="1" x14ac:dyDescent="0.3">
      <c r="A32" s="242"/>
      <c r="B32" s="242"/>
      <c r="C32" s="242"/>
      <c r="D32" s="242"/>
      <c r="E32" s="242"/>
      <c r="F32" s="242"/>
      <c r="G32" s="242"/>
      <c r="H32" s="265"/>
      <c r="I32" s="244"/>
      <c r="J32" s="242"/>
    </row>
    <row r="33" spans="1:10" ht="18" customHeight="1" x14ac:dyDescent="0.3">
      <c r="A33" s="242"/>
      <c r="B33" s="242"/>
      <c r="C33" s="242"/>
      <c r="D33" s="242"/>
      <c r="E33" s="242"/>
      <c r="F33" s="242"/>
      <c r="G33" s="242"/>
      <c r="H33" s="265"/>
      <c r="I33" s="244"/>
      <c r="J33" s="242"/>
    </row>
    <row r="34" spans="1:10" s="52" customFormat="1" ht="18" customHeight="1" x14ac:dyDescent="0.15">
      <c r="A34" s="267"/>
      <c r="B34" s="242"/>
      <c r="C34" s="242"/>
      <c r="D34" s="242"/>
      <c r="E34" s="242"/>
      <c r="F34" s="242"/>
      <c r="G34" s="242"/>
      <c r="H34" s="265"/>
      <c r="I34" s="244"/>
      <c r="J34" s="242"/>
    </row>
    <row r="35" spans="1:10" ht="18" customHeight="1" x14ac:dyDescent="0.3">
      <c r="B35" s="242"/>
      <c r="C35" s="242"/>
      <c r="D35" s="242"/>
      <c r="E35" s="242"/>
      <c r="F35" s="242"/>
      <c r="G35" s="242"/>
      <c r="H35" s="265"/>
    </row>
    <row r="36" spans="1:10" ht="18" customHeight="1" x14ac:dyDescent="0.3">
      <c r="B36" s="242"/>
      <c r="C36" s="242"/>
      <c r="D36" s="242"/>
      <c r="E36" s="242"/>
      <c r="F36" s="242"/>
      <c r="G36" s="242"/>
      <c r="H36" s="265"/>
    </row>
    <row r="37" spans="1:10" ht="18" customHeight="1" x14ac:dyDescent="0.3">
      <c r="B37" s="242"/>
      <c r="C37" s="242"/>
      <c r="D37" s="242"/>
      <c r="E37" s="242"/>
      <c r="F37" s="242"/>
      <c r="G37" s="242"/>
      <c r="H37" s="265"/>
    </row>
    <row r="38" spans="1:10" ht="18" customHeight="1" x14ac:dyDescent="0.3">
      <c r="B38" s="242"/>
      <c r="C38" s="242"/>
      <c r="D38" s="242"/>
      <c r="E38" s="242"/>
      <c r="F38" s="242"/>
      <c r="G38" s="242"/>
      <c r="H38" s="265"/>
    </row>
    <row r="39" spans="1:10" ht="18" customHeight="1" x14ac:dyDescent="0.3">
      <c r="B39" s="242"/>
      <c r="C39" s="242"/>
      <c r="D39" s="242"/>
      <c r="E39" s="242"/>
      <c r="F39" s="242"/>
      <c r="G39" s="242"/>
      <c r="H39" s="265"/>
    </row>
    <row r="40" spans="1:10" ht="18" customHeight="1" x14ac:dyDescent="0.3">
      <c r="B40" s="242"/>
      <c r="C40" s="242"/>
      <c r="D40" s="242"/>
      <c r="E40" s="242"/>
      <c r="F40" s="242"/>
      <c r="G40" s="242"/>
      <c r="H40" s="265"/>
    </row>
    <row r="41" spans="1:10" ht="18" customHeight="1" x14ac:dyDescent="0.3">
      <c r="B41" s="242"/>
      <c r="C41" s="242"/>
      <c r="D41" s="242"/>
      <c r="E41" s="242"/>
      <c r="F41" s="242"/>
      <c r="G41" s="242"/>
      <c r="H41" s="265"/>
    </row>
    <row r="42" spans="1:10" ht="18" customHeight="1" x14ac:dyDescent="0.3">
      <c r="B42" s="242"/>
      <c r="C42" s="242"/>
      <c r="D42" s="242"/>
      <c r="E42" s="242"/>
      <c r="F42" s="242"/>
      <c r="G42" s="242"/>
      <c r="H42" s="265"/>
    </row>
    <row r="43" spans="1:10" ht="18" customHeight="1" x14ac:dyDescent="0.3">
      <c r="B43" s="242"/>
      <c r="C43" s="242"/>
      <c r="D43" s="242"/>
      <c r="E43" s="242"/>
      <c r="F43" s="242"/>
      <c r="G43" s="242"/>
      <c r="H43" s="265"/>
    </row>
    <row r="44" spans="1:10" ht="18" customHeight="1" x14ac:dyDescent="0.3">
      <c r="B44" s="242"/>
      <c r="C44" s="242"/>
      <c r="D44" s="242"/>
      <c r="E44" s="242"/>
      <c r="F44" s="242"/>
      <c r="G44" s="242"/>
      <c r="H44" s="265"/>
    </row>
    <row r="45" spans="1:10" ht="18" customHeight="1" x14ac:dyDescent="0.3">
      <c r="B45" s="242"/>
      <c r="C45" s="242"/>
      <c r="D45" s="242"/>
      <c r="E45" s="242"/>
      <c r="F45" s="242"/>
      <c r="G45" s="242"/>
      <c r="H45" s="265"/>
    </row>
    <row r="46" spans="1:10" ht="18" customHeight="1" x14ac:dyDescent="0.3">
      <c r="B46" s="242"/>
      <c r="C46" s="242"/>
      <c r="D46" s="242"/>
      <c r="E46" s="242"/>
      <c r="F46" s="242"/>
      <c r="G46" s="242"/>
      <c r="H46" s="265"/>
    </row>
    <row r="47" spans="1:10" ht="18" customHeight="1" x14ac:dyDescent="0.3">
      <c r="B47" s="242"/>
      <c r="C47" s="242"/>
      <c r="D47" s="242"/>
      <c r="E47" s="242"/>
      <c r="F47" s="242"/>
      <c r="G47" s="242"/>
      <c r="H47" s="265"/>
    </row>
    <row r="48" spans="1:10" ht="18" customHeight="1" x14ac:dyDescent="0.3">
      <c r="B48" s="242"/>
      <c r="C48" s="242"/>
      <c r="D48" s="242"/>
      <c r="E48" s="242"/>
      <c r="F48" s="242"/>
      <c r="G48" s="242"/>
      <c r="H48" s="265"/>
    </row>
    <row r="49" spans="2:8" ht="18" customHeight="1" x14ac:dyDescent="0.3">
      <c r="B49" s="242"/>
      <c r="C49" s="242"/>
      <c r="D49" s="242"/>
      <c r="E49" s="242"/>
      <c r="F49" s="242"/>
      <c r="G49" s="242"/>
      <c r="H49" s="265"/>
    </row>
    <row r="50" spans="2:8" ht="18" customHeight="1" x14ac:dyDescent="0.3">
      <c r="B50" s="242"/>
      <c r="C50" s="242"/>
      <c r="D50" s="242"/>
      <c r="E50" s="242"/>
      <c r="F50" s="242"/>
      <c r="G50" s="242"/>
      <c r="H50" s="265"/>
    </row>
    <row r="51" spans="2:8" ht="18" customHeight="1" x14ac:dyDescent="0.3">
      <c r="B51" s="242"/>
      <c r="C51" s="242"/>
      <c r="D51" s="242"/>
      <c r="E51" s="242"/>
      <c r="F51" s="242"/>
      <c r="G51" s="242"/>
      <c r="H51" s="265"/>
    </row>
    <row r="52" spans="2:8" ht="18" customHeight="1" x14ac:dyDescent="0.3">
      <c r="B52" s="242"/>
      <c r="C52" s="242"/>
      <c r="D52" s="242"/>
      <c r="E52" s="242"/>
      <c r="F52" s="242"/>
      <c r="G52" s="242"/>
      <c r="H52" s="265"/>
    </row>
    <row r="53" spans="2:8" ht="18" customHeight="1" x14ac:dyDescent="0.3">
      <c r="B53" s="242"/>
      <c r="C53" s="242"/>
      <c r="D53" s="242"/>
      <c r="E53" s="242"/>
      <c r="F53" s="242"/>
      <c r="G53" s="242"/>
      <c r="H53" s="265"/>
    </row>
    <row r="54" spans="2:8" ht="18" customHeight="1" x14ac:dyDescent="0.3">
      <c r="B54" s="242"/>
      <c r="C54" s="242"/>
      <c r="D54" s="242"/>
      <c r="E54" s="242"/>
      <c r="F54" s="242"/>
      <c r="G54" s="242"/>
      <c r="H54" s="265"/>
    </row>
    <row r="55" spans="2:8" ht="18" customHeight="1" x14ac:dyDescent="0.3">
      <c r="B55" s="242"/>
      <c r="C55" s="242"/>
      <c r="D55" s="242"/>
      <c r="E55" s="242"/>
      <c r="F55" s="242"/>
      <c r="G55" s="242"/>
      <c r="H55" s="265"/>
    </row>
    <row r="56" spans="2:8" ht="18" customHeight="1" x14ac:dyDescent="0.3">
      <c r="B56" s="242"/>
      <c r="C56" s="242"/>
      <c r="D56" s="242"/>
      <c r="E56" s="242"/>
      <c r="F56" s="242"/>
      <c r="G56" s="242"/>
      <c r="H56" s="265"/>
    </row>
    <row r="57" spans="2:8" ht="18" customHeight="1" x14ac:dyDescent="0.3">
      <c r="B57" s="242"/>
      <c r="C57" s="242"/>
      <c r="D57" s="242"/>
      <c r="E57" s="242"/>
      <c r="F57" s="242"/>
      <c r="G57" s="242"/>
      <c r="H57" s="265"/>
    </row>
    <row r="58" spans="2:8" ht="18" customHeight="1" x14ac:dyDescent="0.3">
      <c r="B58" s="242"/>
      <c r="C58" s="242"/>
      <c r="D58" s="242"/>
      <c r="E58" s="242"/>
      <c r="F58" s="242"/>
      <c r="G58" s="242"/>
      <c r="H58" s="265"/>
    </row>
    <row r="59" spans="2:8" ht="18" customHeight="1" x14ac:dyDescent="0.3">
      <c r="B59" s="242"/>
      <c r="C59" s="242"/>
      <c r="D59" s="242"/>
      <c r="E59" s="242"/>
      <c r="F59" s="242"/>
      <c r="G59" s="242"/>
      <c r="H59" s="265"/>
    </row>
    <row r="60" spans="2:8" ht="18" customHeight="1" x14ac:dyDescent="0.3">
      <c r="B60" s="242"/>
      <c r="C60" s="242"/>
      <c r="D60" s="242"/>
      <c r="E60" s="242"/>
      <c r="F60" s="242"/>
      <c r="G60" s="242"/>
      <c r="H60" s="265"/>
    </row>
    <row r="61" spans="2:8" ht="18" customHeight="1" x14ac:dyDescent="0.3">
      <c r="B61" s="242"/>
      <c r="C61" s="242"/>
      <c r="D61" s="242"/>
      <c r="E61" s="242"/>
      <c r="F61" s="242"/>
      <c r="G61" s="242"/>
      <c r="H61" s="265"/>
    </row>
    <row r="62" spans="2:8" ht="18" customHeight="1" x14ac:dyDescent="0.3">
      <c r="B62" s="242"/>
      <c r="C62" s="242"/>
      <c r="D62" s="242"/>
      <c r="E62" s="242"/>
      <c r="F62" s="242"/>
      <c r="G62" s="242"/>
      <c r="H62" s="265"/>
    </row>
    <row r="63" spans="2:8" ht="18" customHeight="1" x14ac:dyDescent="0.3">
      <c r="B63" s="242"/>
      <c r="C63" s="242"/>
      <c r="D63" s="242"/>
      <c r="E63" s="242"/>
      <c r="F63" s="242"/>
      <c r="G63" s="242"/>
      <c r="H63" s="265"/>
    </row>
    <row r="64" spans="2:8" ht="18" customHeight="1" x14ac:dyDescent="0.3">
      <c r="B64" s="242"/>
      <c r="C64" s="242"/>
      <c r="D64" s="242"/>
      <c r="E64" s="242"/>
      <c r="F64" s="242"/>
      <c r="G64" s="242"/>
      <c r="H64" s="265"/>
    </row>
    <row r="65" spans="2:8" ht="18" customHeight="1" x14ac:dyDescent="0.3">
      <c r="B65" s="242"/>
      <c r="C65" s="242"/>
      <c r="D65" s="242"/>
      <c r="E65" s="242"/>
      <c r="F65" s="242"/>
      <c r="G65" s="242"/>
      <c r="H65" s="265"/>
    </row>
    <row r="66" spans="2:8" ht="18" customHeight="1" x14ac:dyDescent="0.3">
      <c r="B66" s="242"/>
      <c r="C66" s="242"/>
      <c r="D66" s="242"/>
      <c r="E66" s="242"/>
      <c r="F66" s="242"/>
      <c r="G66" s="242"/>
      <c r="H66" s="265"/>
    </row>
    <row r="67" spans="2:8" ht="18" customHeight="1" x14ac:dyDescent="0.3">
      <c r="B67" s="242"/>
      <c r="C67" s="242"/>
      <c r="D67" s="242"/>
      <c r="E67" s="242"/>
      <c r="F67" s="242"/>
      <c r="G67" s="242"/>
      <c r="H67" s="265"/>
    </row>
    <row r="68" spans="2:8" ht="18" customHeight="1" x14ac:dyDescent="0.3">
      <c r="B68" s="242"/>
      <c r="C68" s="242"/>
      <c r="D68" s="242"/>
      <c r="E68" s="242"/>
      <c r="F68" s="242"/>
      <c r="G68" s="242"/>
      <c r="H68" s="265"/>
    </row>
    <row r="69" spans="2:8" ht="18" customHeight="1" x14ac:dyDescent="0.3">
      <c r="B69" s="242"/>
      <c r="C69" s="242"/>
      <c r="D69" s="242"/>
      <c r="E69" s="242"/>
      <c r="F69" s="242"/>
      <c r="G69" s="242"/>
      <c r="H69" s="265"/>
    </row>
    <row r="70" spans="2:8" ht="18" customHeight="1" x14ac:dyDescent="0.3">
      <c r="B70" s="242"/>
      <c r="C70" s="242"/>
      <c r="D70" s="242"/>
      <c r="E70" s="242"/>
      <c r="F70" s="242"/>
      <c r="G70" s="242"/>
      <c r="H70" s="265"/>
    </row>
    <row r="71" spans="2:8" ht="18" customHeight="1" x14ac:dyDescent="0.3">
      <c r="B71" s="242"/>
      <c r="C71" s="242"/>
      <c r="D71" s="242"/>
      <c r="E71" s="242"/>
      <c r="F71" s="242"/>
      <c r="G71" s="242"/>
      <c r="H71" s="265"/>
    </row>
    <row r="72" spans="2:8" ht="18" customHeight="1" x14ac:dyDescent="0.3">
      <c r="B72" s="242"/>
      <c r="C72" s="242"/>
      <c r="D72" s="242"/>
      <c r="E72" s="242"/>
      <c r="F72" s="242"/>
      <c r="G72" s="242"/>
      <c r="H72" s="265"/>
    </row>
  </sheetData>
  <sheetProtection algorithmName="SHA-512" hashValue="hk44n/T2FwOabrnngrim42ZPsJ4mRWwwneZsxKXW0wG/zZdCKSs5Y2H6vQdDHCdUjbPb2OoN7b0QVUsbK28K7Q==" saltValue="36BcaqQeynU0Tgr66kyxSw==" spinCount="100000" sheet="1" scenarios="1" formatCells="0" formatColumns="0" formatRows="0" insertColumns="0" insertRows="0" deleteColumns="0" deleteRows="0" sort="0" autoFilter="0" pivotTables="0"/>
  <protectedRanges>
    <protectedRange sqref="I29:J1048576 H1 J5:J26 D30:H30 C1:C26 B31:G1048576 K1:K26 S1:XFD18 B29:H29 K29:K33 K38:K1048576 M38:XFD1048576 M19:XFD33 L1:R14 D6:H6 D4:H4 D8:H8 D2:H2 B27:K28" name="Range1_69"/>
    <protectedRange sqref="K34:K37 M34:XFD37" name="Range1_4_13"/>
    <protectedRange sqref="D3:H3" name="Range1_69_1"/>
    <protectedRange sqref="D5:H5" name="Range1_69_2"/>
    <protectedRange sqref="D7:H7" name="Range1_69_3"/>
    <protectedRange sqref="H9:H26" name="Range1_69_4"/>
    <protectedRange sqref="B30:C30" name="Range1_69_5"/>
  </protectedRanges>
  <dataConsolidate link="1"/>
  <phoneticPr fontId="14" type="noConversion"/>
  <conditionalFormatting sqref="C28:C30">
    <cfRule type="duplicateValues" dxfId="864" priority="823"/>
  </conditionalFormatting>
  <dataValidations count="2">
    <dataValidation type="list" allowBlank="1" showInputMessage="1" showErrorMessage="1" sqref="B28:C30" xr:uid="{41E4154B-C4D7-4F9A-B2F7-DACB589B15B2}">
      <formula1>"Thương mại, Nội bộ"</formula1>
    </dataValidation>
    <dataValidation type="list" errorStyle="information" allowBlank="1" showInputMessage="1" sqref="C28:C30" xr:uid="{A09D97FE-00BE-44D3-A3BE-3E4CA3034EF0}">
      <formula1>MaNhaCungCap</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302" r:id="rId4" name="Option Button 6">
              <controlPr defaultSize="0" autoFill="0" autoLine="0" autoPict="0" macro="[0]!DoiDonViHienThi">
                <anchor moveWithCells="1">
                  <from>
                    <xdr:col>0</xdr:col>
                    <xdr:colOff>238125</xdr:colOff>
                    <xdr:row>3</xdr:row>
                    <xdr:rowOff>190500</xdr:rowOff>
                  </from>
                  <to>
                    <xdr:col>0</xdr:col>
                    <xdr:colOff>828675</xdr:colOff>
                    <xdr:row>5</xdr:row>
                    <xdr:rowOff>9525</xdr:rowOff>
                  </to>
                </anchor>
              </controlPr>
            </control>
          </mc:Choice>
        </mc:AlternateContent>
        <mc:AlternateContent xmlns:mc="http://schemas.openxmlformats.org/markup-compatibility/2006">
          <mc:Choice Requires="x14">
            <control shapeId="55303" r:id="rId5" name="Option Button 7">
              <controlPr defaultSize="0" autoFill="0" autoLine="0" autoPict="0" macro="[0]!DoiDonViHienThi">
                <anchor moveWithCells="1">
                  <from>
                    <xdr:col>0</xdr:col>
                    <xdr:colOff>704850</xdr:colOff>
                    <xdr:row>3</xdr:row>
                    <xdr:rowOff>190500</xdr:rowOff>
                  </from>
                  <to>
                    <xdr:col>0</xdr:col>
                    <xdr:colOff>1295400</xdr:colOff>
                    <xdr:row>5</xdr:row>
                    <xdr:rowOff>9525</xdr:rowOff>
                  </to>
                </anchor>
              </controlPr>
            </control>
          </mc:Choice>
        </mc:AlternateContent>
        <mc:AlternateContent xmlns:mc="http://schemas.openxmlformats.org/markup-compatibility/2006">
          <mc:Choice Requires="x14">
            <control shapeId="55304" r:id="rId6" name="Option Button 8">
              <controlPr defaultSize="0" autoFill="0" autoLine="0" autoPict="0" macro="[0]!DoiDonViHienThi">
                <anchor moveWithCells="1">
                  <from>
                    <xdr:col>0</xdr:col>
                    <xdr:colOff>1171575</xdr:colOff>
                    <xdr:row>3</xdr:row>
                    <xdr:rowOff>190500</xdr:rowOff>
                  </from>
                  <to>
                    <xdr:col>1</xdr:col>
                    <xdr:colOff>438150</xdr:colOff>
                    <xdr:row>5</xdr:row>
                    <xdr:rowOff>9525</xdr:rowOff>
                  </to>
                </anchor>
              </controlPr>
            </control>
          </mc:Choice>
        </mc:AlternateContent>
        <mc:AlternateContent xmlns:mc="http://schemas.openxmlformats.org/markup-compatibility/2006">
          <mc:Choice Requires="x14">
            <control shapeId="55305" r:id="rId7" name="Option Button 9">
              <controlPr defaultSize="0" autoFill="0" autoLine="0" autoPict="0" macro="[0]!DoiDonViHienThi">
                <anchor moveWithCells="1">
                  <from>
                    <xdr:col>1</xdr:col>
                    <xdr:colOff>323850</xdr:colOff>
                    <xdr:row>3</xdr:row>
                    <xdr:rowOff>190500</xdr:rowOff>
                  </from>
                  <to>
                    <xdr:col>1</xdr:col>
                    <xdr:colOff>676275</xdr:colOff>
                    <xdr:row>5</xdr:row>
                    <xdr:rowOff>9525</xdr:rowOff>
                  </to>
                </anchor>
              </controlPr>
            </control>
          </mc:Choice>
        </mc:AlternateContent>
        <mc:AlternateContent xmlns:mc="http://schemas.openxmlformats.org/markup-compatibility/2006">
          <mc:Choice Requires="x14">
            <control shapeId="55306" r:id="rId8" name="Group Box 10">
              <controlPr defaultSize="0" autoFill="0" autoPict="0">
                <anchor moveWithCells="1">
                  <from>
                    <xdr:col>0</xdr:col>
                    <xdr:colOff>123825</xdr:colOff>
                    <xdr:row>3</xdr:row>
                    <xdr:rowOff>142875</xdr:rowOff>
                  </from>
                  <to>
                    <xdr:col>1</xdr:col>
                    <xdr:colOff>790575</xdr:colOff>
                    <xdr:row>5</xdr:row>
                    <xdr:rowOff>47625</xdr:rowOff>
                  </to>
                </anchor>
              </controlPr>
            </control>
          </mc:Choice>
        </mc:AlternateContent>
        <mc:AlternateContent xmlns:mc="http://schemas.openxmlformats.org/markup-compatibility/2006">
          <mc:Choice Requires="x14">
            <control shapeId="55307" r:id="rId9" name="Group Box 11">
              <controlPr defaultSize="0" autoFill="0" autoPict="0">
                <anchor moveWithCells="1">
                  <from>
                    <xdr:col>0</xdr:col>
                    <xdr:colOff>123825</xdr:colOff>
                    <xdr:row>1</xdr:row>
                    <xdr:rowOff>200025</xdr:rowOff>
                  </from>
                  <to>
                    <xdr:col>1</xdr:col>
                    <xdr:colOff>457200</xdr:colOff>
                    <xdr:row>3</xdr:row>
                    <xdr:rowOff>104775</xdr:rowOff>
                  </to>
                </anchor>
              </controlPr>
            </control>
          </mc:Choice>
        </mc:AlternateContent>
        <mc:AlternateContent xmlns:mc="http://schemas.openxmlformats.org/markup-compatibility/2006">
          <mc:Choice Requires="x14">
            <control shapeId="55308" r:id="rId10" name="Button 12">
              <controlPr defaultSize="0" autoFill="0" autoPict="0" macro="[0]!NhanNghin">
                <anchor moveWithCells="1">
                  <from>
                    <xdr:col>0</xdr:col>
                    <xdr:colOff>209550</xdr:colOff>
                    <xdr:row>2</xdr:row>
                    <xdr:rowOff>66675</xdr:rowOff>
                  </from>
                  <to>
                    <xdr:col>0</xdr:col>
                    <xdr:colOff>676275</xdr:colOff>
                    <xdr:row>3</xdr:row>
                    <xdr:rowOff>9525</xdr:rowOff>
                  </to>
                </anchor>
              </controlPr>
            </control>
          </mc:Choice>
        </mc:AlternateContent>
        <mc:AlternateContent xmlns:mc="http://schemas.openxmlformats.org/markup-compatibility/2006">
          <mc:Choice Requires="x14">
            <control shapeId="55309" r:id="rId11" name="Button 13">
              <controlPr defaultSize="0" autoFill="0" autoPict="0" macro="[0]!NhanTrieu">
                <anchor moveWithCells="1">
                  <from>
                    <xdr:col>0</xdr:col>
                    <xdr:colOff>723900</xdr:colOff>
                    <xdr:row>2</xdr:row>
                    <xdr:rowOff>66675</xdr:rowOff>
                  </from>
                  <to>
                    <xdr:col>0</xdr:col>
                    <xdr:colOff>1190625</xdr:colOff>
                    <xdr:row>3</xdr:row>
                    <xdr:rowOff>9525</xdr:rowOff>
                  </to>
                </anchor>
              </controlPr>
            </control>
          </mc:Choice>
        </mc:AlternateContent>
        <mc:AlternateContent xmlns:mc="http://schemas.openxmlformats.org/markup-compatibility/2006">
          <mc:Choice Requires="x14">
            <control shapeId="55310" r:id="rId12" name="Button 14">
              <controlPr defaultSize="0" autoFill="0" autoPict="0" macro="[0]!NhanTy">
                <anchor moveWithCells="1">
                  <from>
                    <xdr:col>0</xdr:col>
                    <xdr:colOff>1238250</xdr:colOff>
                    <xdr:row>2</xdr:row>
                    <xdr:rowOff>66675</xdr:rowOff>
                  </from>
                  <to>
                    <xdr:col>1</xdr:col>
                    <xdr:colOff>381000</xdr:colOff>
                    <xdr:row>3</xdr:row>
                    <xdr:rowOff>9525</xdr:rowOff>
                  </to>
                </anchor>
              </controlPr>
            </control>
          </mc:Choice>
        </mc:AlternateContent>
        <mc:AlternateContent xmlns:mc="http://schemas.openxmlformats.org/markup-compatibility/2006">
          <mc:Choice Requires="x14">
            <control shapeId="55311" r:id="rId13" name="Button 15">
              <controlPr defaultSize="0" print="0" autoFill="0" autoPict="0" macro="[0]!AddRow">
                <anchor moveWithCells="1">
                  <from>
                    <xdr:col>0</xdr:col>
                    <xdr:colOff>190500</xdr:colOff>
                    <xdr:row>26</xdr:row>
                    <xdr:rowOff>38100</xdr:rowOff>
                  </from>
                  <to>
                    <xdr:col>0</xdr:col>
                    <xdr:colOff>666750</xdr:colOff>
                    <xdr:row>27</xdr:row>
                    <xdr:rowOff>66675</xdr:rowOff>
                  </to>
                </anchor>
              </controlPr>
            </control>
          </mc:Choice>
        </mc:AlternateContent>
        <mc:AlternateContent xmlns:mc="http://schemas.openxmlformats.org/markup-compatibility/2006">
          <mc:Choice Requires="x14">
            <control shapeId="55312" r:id="rId14" name="Button 16">
              <controlPr defaultSize="0" print="0" autoFill="0" autoPict="0" macro="[0]!DeleteRow">
                <anchor moveWithCells="1">
                  <from>
                    <xdr:col>0</xdr:col>
                    <xdr:colOff>704850</xdr:colOff>
                    <xdr:row>26</xdr:row>
                    <xdr:rowOff>38100</xdr:rowOff>
                  </from>
                  <to>
                    <xdr:col>0</xdr:col>
                    <xdr:colOff>1181100</xdr:colOff>
                    <xdr:row>27</xdr:row>
                    <xdr:rowOff>66675</xdr:rowOff>
                  </to>
                </anchor>
              </controlPr>
            </control>
          </mc:Choice>
        </mc:AlternateContent>
        <mc:AlternateContent xmlns:mc="http://schemas.openxmlformats.org/markup-compatibility/2006">
          <mc:Choice Requires="x14">
            <control shapeId="55313" r:id="rId15" name="Button 17">
              <controlPr defaultSize="0" print="0" autoFill="0" autoPict="0" macro="[0]!AddColumn">
                <anchor moveWithCells="1">
                  <from>
                    <xdr:col>8</xdr:col>
                    <xdr:colOff>47625</xdr:colOff>
                    <xdr:row>26</xdr:row>
                    <xdr:rowOff>38100</xdr:rowOff>
                  </from>
                  <to>
                    <xdr:col>8</xdr:col>
                    <xdr:colOff>561975</xdr:colOff>
                    <xdr:row>27</xdr:row>
                    <xdr:rowOff>66675</xdr:rowOff>
                  </to>
                </anchor>
              </controlPr>
            </control>
          </mc:Choice>
        </mc:AlternateContent>
        <mc:AlternateContent xmlns:mc="http://schemas.openxmlformats.org/markup-compatibility/2006">
          <mc:Choice Requires="x14">
            <control shapeId="55314" r:id="rId16" name="Button 18">
              <controlPr defaultSize="0" print="0" autoFill="0" autoPict="0" macro="[0]!DeleteColumn">
                <anchor moveWithCells="1">
                  <from>
                    <xdr:col>8</xdr:col>
                    <xdr:colOff>600075</xdr:colOff>
                    <xdr:row>26</xdr:row>
                    <xdr:rowOff>38100</xdr:rowOff>
                  </from>
                  <to>
                    <xdr:col>9</xdr:col>
                    <xdr:colOff>180975</xdr:colOff>
                    <xdr:row>27</xdr:row>
                    <xdr:rowOff>66675</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AABBC68D-38FA-415D-9EE0-FAFB375743CF}">
            <xm:f>Security!$A$1="NO VBA"</xm:f>
            <x14:dxf>
              <font>
                <color theme="0"/>
              </font>
              <border>
                <vertical/>
                <horizontal/>
              </border>
            </x14:dxf>
          </x14:cfRule>
          <xm:sqref>A1:D1 M19:XFD1048576 L1:XFD14 S15:XFD18 A2:G26 H1:K26 A27:K1048576</xm:sqref>
        </x14:conditionalFormatting>
        <x14:conditionalFormatting xmlns:xm="http://schemas.microsoft.com/office/excel/2006/main">
          <x14:cfRule type="expression" priority="1" id="{CDC5266D-DB80-43AC-8809-C193A72BC342}">
            <xm:f>Security!$A$1="NO VBA"</xm:f>
            <x14:dxf>
              <font>
                <color theme="0"/>
              </font>
              <border>
                <vertical/>
                <horizontal/>
              </border>
            </x14:dxf>
          </x14:cfRule>
          <xm:sqref>E1:G1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sheetPr>
  <dimension ref="B1:Q40"/>
  <sheetViews>
    <sheetView showGridLines="0" workbookViewId="0">
      <selection activeCell="T7" sqref="T7"/>
    </sheetView>
  </sheetViews>
  <sheetFormatPr defaultRowHeight="18" customHeight="1" outlineLevelRow="1" outlineLevelCol="1" x14ac:dyDescent="0.3"/>
  <cols>
    <col min="1" max="1" width="1.25" style="7" customWidth="1"/>
    <col min="2" max="2" width="13" style="7" hidden="1" customWidth="1" outlineLevel="1"/>
    <col min="3" max="3" width="17.125" style="7" hidden="1" customWidth="1" outlineLevel="1"/>
    <col min="4" max="4" width="1.25" style="7" customWidth="1" collapsed="1"/>
    <col min="5" max="5" width="9.625" style="7" customWidth="1"/>
    <col min="6" max="6" width="14.125" style="7" bestFit="1" customWidth="1"/>
    <col min="7" max="7" width="11.75" style="7" customWidth="1" outlineLevel="1"/>
    <col min="8" max="8" width="9.875" style="7" customWidth="1" outlineLevel="1" collapsed="1"/>
    <col min="9" max="9" width="13.25" style="7" customWidth="1" outlineLevel="1"/>
    <col min="10" max="10" width="14.25" style="7" customWidth="1" outlineLevel="1"/>
    <col min="11" max="11" width="17.375" style="7" bestFit="1" customWidth="1"/>
    <col min="12" max="12" width="13.125" style="7" customWidth="1"/>
    <col min="13" max="13" width="16.625" style="7" customWidth="1"/>
    <col min="14" max="14" width="12" style="7" bestFit="1" customWidth="1"/>
    <col min="15" max="15" width="9.875" style="7" bestFit="1" customWidth="1"/>
    <col min="16" max="16" width="12.5" style="7" customWidth="1"/>
    <col min="17" max="17" width="6.625" style="7" bestFit="1" customWidth="1"/>
    <col min="18" max="16384" width="9" style="7"/>
  </cols>
  <sheetData>
    <row r="1" spans="6:16" ht="18" customHeight="1" x14ac:dyDescent="0.3">
      <c r="M1" s="27" t="s">
        <v>562</v>
      </c>
      <c r="N1" s="428">
        <v>45717</v>
      </c>
      <c r="O1" s="428">
        <v>45808</v>
      </c>
      <c r="P1" s="424">
        <f>SUM(Table_DiemDatHang[Giá trị cần đặt])</f>
        <v>377434.98990958062</v>
      </c>
    </row>
    <row r="2" spans="6:16" ht="18" customHeight="1" x14ac:dyDescent="0.3">
      <c r="M2" s="27" t="s">
        <v>1032</v>
      </c>
      <c r="N2" s="423">
        <v>10</v>
      </c>
      <c r="O2" s="423">
        <v>30</v>
      </c>
      <c r="P2" s="225"/>
    </row>
    <row r="3" spans="6:16" ht="18" customHeight="1" x14ac:dyDescent="0.3">
      <c r="M3" s="27" t="s">
        <v>563</v>
      </c>
      <c r="N3" s="428">
        <v>45808</v>
      </c>
      <c r="O3" s="52">
        <f>DATE(YEAR(DatHang_NgayKetThuc), MONTH(DatHang_NgayKetThuc)+1,1)
-DATE(YEAR(DatHang_NgayBatDau), MONTH(DatHang_NgayBatDau),1)</f>
        <v>92</v>
      </c>
    </row>
    <row r="4" spans="6:16" ht="18" customHeight="1" x14ac:dyDescent="0.3">
      <c r="F4" s="27"/>
    </row>
    <row r="5" spans="6:16" ht="18" customHeight="1" outlineLevel="1" x14ac:dyDescent="0.3">
      <c r="F5" s="27"/>
    </row>
    <row r="6" spans="6:16" ht="18" customHeight="1" outlineLevel="1" x14ac:dyDescent="0.3">
      <c r="F6" s="27"/>
    </row>
    <row r="7" spans="6:16" ht="18" customHeight="1" outlineLevel="1" x14ac:dyDescent="0.3">
      <c r="F7" s="27"/>
    </row>
    <row r="8" spans="6:16" ht="18" customHeight="1" outlineLevel="1" x14ac:dyDescent="0.3">
      <c r="F8" s="27"/>
    </row>
    <row r="9" spans="6:16" ht="18" customHeight="1" outlineLevel="1" x14ac:dyDescent="0.3">
      <c r="F9" s="27"/>
    </row>
    <row r="10" spans="6:16" ht="18" customHeight="1" outlineLevel="1" x14ac:dyDescent="0.3">
      <c r="F10" s="27"/>
    </row>
    <row r="11" spans="6:16" ht="18" customHeight="1" outlineLevel="1" x14ac:dyDescent="0.3">
      <c r="F11" s="27"/>
    </row>
    <row r="12" spans="6:16" ht="18" customHeight="1" outlineLevel="1" x14ac:dyDescent="0.3">
      <c r="F12" s="27"/>
    </row>
    <row r="13" spans="6:16" ht="18" customHeight="1" outlineLevel="1" x14ac:dyDescent="0.3">
      <c r="F13" s="27"/>
    </row>
    <row r="14" spans="6:16" ht="18" customHeight="1" outlineLevel="1" x14ac:dyDescent="0.3">
      <c r="F14" s="27"/>
    </row>
    <row r="15" spans="6:16" ht="18" customHeight="1" outlineLevel="1" x14ac:dyDescent="0.3">
      <c r="F15" s="27"/>
    </row>
    <row r="16" spans="6:16" ht="18" customHeight="1" outlineLevel="1" x14ac:dyDescent="0.3">
      <c r="F16" s="27"/>
    </row>
    <row r="17" spans="2:17" ht="18" customHeight="1" outlineLevel="1" x14ac:dyDescent="0.3">
      <c r="F17" s="27"/>
    </row>
    <row r="18" spans="2:17" ht="18" customHeight="1" outlineLevel="1" x14ac:dyDescent="0.3">
      <c r="F18" s="27"/>
    </row>
    <row r="19" spans="2:17" ht="18" customHeight="1" outlineLevel="1" x14ac:dyDescent="0.3">
      <c r="F19" s="27"/>
    </row>
    <row r="20" spans="2:17" ht="18" customHeight="1" outlineLevel="1" x14ac:dyDescent="0.3">
      <c r="F20" s="27"/>
    </row>
    <row r="21" spans="2:17" ht="18" customHeight="1" outlineLevel="1" x14ac:dyDescent="0.3">
      <c r="F21" s="27"/>
    </row>
    <row r="22" spans="2:17" ht="18" customHeight="1" x14ac:dyDescent="0.3">
      <c r="F22" s="27"/>
    </row>
    <row r="23" spans="2:17" ht="16.5" x14ac:dyDescent="0.3">
      <c r="B23" s="97" t="s">
        <v>23</v>
      </c>
      <c r="C23" t="s">
        <v>579</v>
      </c>
      <c r="D23"/>
      <c r="F23" s="7" t="s">
        <v>564</v>
      </c>
      <c r="G23" s="7" t="s">
        <v>1033</v>
      </c>
      <c r="H23" s="7" t="s">
        <v>1034</v>
      </c>
      <c r="I23" s="7" t="s">
        <v>565</v>
      </c>
      <c r="J23" s="7" t="s">
        <v>566</v>
      </c>
      <c r="K23" s="45" t="s">
        <v>1036</v>
      </c>
      <c r="L23" s="7" t="s">
        <v>567</v>
      </c>
      <c r="M23" s="7" t="s">
        <v>1035</v>
      </c>
      <c r="N23" s="7" t="s">
        <v>568</v>
      </c>
      <c r="O23" s="7" t="s">
        <v>569</v>
      </c>
      <c r="P23" s="7" t="s">
        <v>570</v>
      </c>
      <c r="Q23" s="7" t="s">
        <v>883</v>
      </c>
    </row>
    <row r="24" spans="2:17" ht="16.5" x14ac:dyDescent="0.3">
      <c r="B24" s="98" t="s">
        <v>1159</v>
      </c>
      <c r="C24" s="511">
        <v>0</v>
      </c>
      <c r="D24"/>
      <c r="E24" s="7" t="str" cm="1">
        <f t="array" ref="E24:E26">_xlfn._xlws.SORT(Table_SKU[Mã SKU])</f>
        <v>HH1</v>
      </c>
      <c r="F24" s="7" t="s">
        <v>1159</v>
      </c>
      <c r="G24" s="18">
        <f>Table_DiemDatHang[[#This Row],[Tiêu thụ / ngày]]*(1+Table_DiemDatHang[[#This Row],[Tăng trưởng tiêu thụ]])*NgayLuuKho_Min</f>
        <v>23.054347826086957</v>
      </c>
      <c r="H24" s="18">
        <f>Table_DiemDatHang[[#This Row],[Tiêu thụ / ngày]]*(1+Table_DiemDatHang[[#This Row],[Tăng trưởng tiêu thụ]])*NgayLuuKho_Max</f>
        <v>69.163043478260875</v>
      </c>
      <c r="I24" s="48">
        <f>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f>
        <v>69</v>
      </c>
      <c r="J24" s="120">
        <f>(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f>
        <v>2.1956521739130435</v>
      </c>
      <c r="K24" s="68">
        <v>0.05</v>
      </c>
      <c r="L24" s="48">
        <f xml:space="preserve">
IFERROR(
ROUNDUP(I24/(J24*(1+K24)),0),0)</f>
        <v>30</v>
      </c>
      <c r="M24" s="469">
        <f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f>
        <v>2</v>
      </c>
      <c r="N24" s="47">
        <f>DatHang_NgayTheoDoi+L24-M24-NgayLuuKho_Min</f>
        <v>45826</v>
      </c>
      <c r="O24" s="120">
        <f>Table_DiemDatHang[[#This Row],[Tiêu thụ / ngày]]*(1+Table_DiemDatHang[[#This Row],[Tăng trưởng tiêu thụ]])*MAX(0,NgayLuuKho_Max-(Table_DiemDatHang[[#This Row],[Ngày tồn kho]]-Table_DiemDatHang[[#This Row],[Ngày giao / sản xuất]]))</f>
        <v>4.6108695652173912</v>
      </c>
      <c r="P24" s="48" cm="1">
        <f t="array" ref="P24">IFERROR(
SUM(_xlfn._xlws.FILTER(Table_NguonHang[Giá trị],
(Table_NguonHang[Đối tượng] = Table_DiemDatHang[[#This Row],[Mã hàng]])))
/SUM(_xlfn._xlws.FILTER(Table_NguonHang[Lượng đặt],
(Table_NguonHang[Đối tượng] = Table_DiemDatHang[[#This Row],[Mã hàng]]))),
0)*O24</f>
        <v>377434.98990958062</v>
      </c>
      <c r="Q24" s="541"/>
    </row>
    <row r="25" spans="2:17" ht="16.5" x14ac:dyDescent="0.3">
      <c r="B25" s="98" t="s">
        <v>1160</v>
      </c>
      <c r="C25" s="511">
        <v>0</v>
      </c>
      <c r="D25"/>
      <c r="E25" s="7" t="str">
        <v>TP1</v>
      </c>
      <c r="F25" s="7" t="s">
        <v>1160</v>
      </c>
      <c r="G25" s="18">
        <f>Table_DiemDatHang[[#This Row],[Tiêu thụ / ngày]]*(1+Table_DiemDatHang[[#This Row],[Tăng trưởng tiêu thụ]])*NgayLuuKho_Min</f>
        <v>23.947826086956525</v>
      </c>
      <c r="H25" s="18">
        <f>Table_DiemDatHang[[#This Row],[Tiêu thụ / ngày]]*(1+Table_DiemDatHang[[#This Row],[Tăng trưởng tiêu thụ]])*NgayLuuKho_Max</f>
        <v>71.843478260869574</v>
      </c>
      <c r="I25" s="48">
        <f>IFERROR(SUM(
_xlfn._xlws.FILTER(Table_Main[Số lượng],
(Table_Main[Mã SKU] = F25) *
(NOT(ISBLANK(Table_Main[Mã SKU]))) *
(Table_Main[Mã SKU] &lt;&gt; "") *
(Table_Main[Loại] = "Nhập") *
(Table_Main[Ngày xuất nhập] &lt; DatHang_NgayTheoDoi)
)),0)
- IFERROR(SUM(
_xlfn._xlws.FILTER(Table_Main[Số lượng],
(Table_Main[Mã SKU] = F25) *
(NOT(ISBLANK(Table_Main[Mã SKU]))) *
(Table_Main[Mã SKU] &lt;&gt; "") *
(Table_Main[Loại] = "Xuất") *
(Table_Main[Ngày xuất nhập] &lt; DatHang_NgayTheoDoi)
)),0)
+ IFERROR(SUM(
_xlfn._xlws.FILTER(Table_Main[Số lượng],
(Table_Main[Mã Nguyên liệu] = F25) *
(NOT(ISBLANK(Table_Main[Mã Nguyên liệu]))) *
(Table_Main[Mã Nguyên liệu] &lt;&gt; "") *
(Table_Main[Loại] = "Nhập") *
(Table_Main[Ngày xuất nhập] &lt; DatHang_NgayTheoDoi)
)),0)
- IFERROR(SUM(
_xlfn._xlws.FILTER(Table_Main[Số lượng],
(Table_Main[Mã Nguyên liệu] = F25) *
(NOT(ISBLANK(Table_Main[Mã Nguyên liệu]))) *
(Table_Main[Mã Nguyên liệu] &lt;&gt; "") *
(Table_Main[Loại] = "Xuất") *
(Table_Main[Ngày xuất nhập] &lt; DatHang_NgayTheoDoi)
)),0)</f>
        <v>85</v>
      </c>
      <c r="J25" s="120">
        <f>(
IFERROR(
SUM(_xlfn._xlws.FILTER(Table_TonKho[Tiêu thụ],
( Table_TonKho[SKU] = F25)*
(NOT(ISBLANK(Table_TonKho[SKU]))) *
(Table_TonKho[SKU] &lt;&gt; "") *
(Table_TonKho[Kỳ]&gt;=DatHang_NgayBatDau) *
(Table_TonKho[Kỳ]&lt;= DatHang_NgayKetThuc)
)),0)
+ IFERROR(
SUM(_xlfn._xlws.FILTER(Table_TonKho[Tiêu thụ],
( Table_TonKho[Nguyên liệu] = F25)*
(NOT(ISBLANK(Table_TonKho[Nguyên liệu]))) *
(Table_TonKho[Nguyên liệu] &lt;&gt; "") *
(Table_TonKho[Kỳ]&gt;=DatHang_NgayBatDau) *
(Table_TonKho[Kỳ]&lt;= DatHang_NgayKetThuc)
)),0))
/DatHang_SoNgayThamChieu</f>
        <v>2.2173913043478262</v>
      </c>
      <c r="K25" s="68">
        <v>0.08</v>
      </c>
      <c r="L25" s="48">
        <f xml:space="preserve">
IFERROR(
ROUNDUP(I25/(J25*(1+K25)),0),0)</f>
        <v>36</v>
      </c>
      <c r="M25" s="469">
        <v>3</v>
      </c>
      <c r="N25" s="47">
        <f>DatHang_NgayTheoDoi+L25-M25-NgayLuuKho_Min</f>
        <v>45831</v>
      </c>
      <c r="O25" s="120">
        <f>Table_DiemDatHang[[#This Row],[Tiêu thụ / ngày]]*(1+Table_DiemDatHang[[#This Row],[Tăng trưởng tiêu thụ]])*MAX(0,NgayLuuKho_Max-(Table_DiemDatHang[[#This Row],[Ngày tồn kho]]-Table_DiemDatHang[[#This Row],[Ngày giao / sản xuất]]))</f>
        <v>0</v>
      </c>
      <c r="P25" s="48" cm="1">
        <f t="array" ref="P25">IFERROR(
SUM(_xlfn._xlws.FILTER(Table_NguonHang[Giá trị],
(Table_NguonHang[Đối tượng] = Table_DiemDatHang[[#This Row],[Mã hàng]])))
/SUM(_xlfn._xlws.FILTER(Table_NguonHang[Lượng đặt],
(Table_NguonHang[Đối tượng] = Table_DiemDatHang[[#This Row],[Mã hàng]]))),
0)*O25</f>
        <v>0</v>
      </c>
      <c r="Q25" s="541"/>
    </row>
    <row r="26" spans="2:17" ht="16.5" x14ac:dyDescent="0.3">
      <c r="B26" s="98" t="s">
        <v>1161</v>
      </c>
      <c r="C26" s="511">
        <v>45.446739130434793</v>
      </c>
      <c r="D26"/>
      <c r="E26" s="7" t="str">
        <v>TP2</v>
      </c>
      <c r="F26" s="7" t="s">
        <v>1161</v>
      </c>
      <c r="G26" s="18">
        <f>Table_DiemDatHang[[#This Row],[Tiêu thụ / ngày]]*(1+Table_DiemDatHang[[#This Row],[Tăng trưởng tiêu thụ]])*NgayLuuKho_Min</f>
        <v>21.641304347826093</v>
      </c>
      <c r="H26" s="18">
        <f>Table_DiemDatHang[[#This Row],[Tiêu thụ / ngày]]*(1+Table_DiemDatHang[[#This Row],[Tăng trưởng tiêu thụ]])*NgayLuuKho_Max</f>
        <v>64.923913043478279</v>
      </c>
      <c r="I26" s="48">
        <f>IFERROR(SUM(
_xlfn._xlws.FILTER(Table_Main[Số lượng],
(Table_Main[Mã SKU] = F26) *
(NOT(ISBLANK(Table_Main[Mã SKU]))) *
(Table_Main[Mã SKU] &lt;&gt; "") *
(Table_Main[Loại] = "Nhập") *
(Table_Main[Ngày xuất nhập] &lt; DatHang_NgayTheoDoi)
)),0)
- IFERROR(SUM(
_xlfn._xlws.FILTER(Table_Main[Số lượng],
(Table_Main[Mã SKU] = F26) *
(NOT(ISBLANK(Table_Main[Mã SKU]))) *
(Table_Main[Mã SKU] &lt;&gt; "") *
(Table_Main[Loại] = "Xuất") *
(Table_Main[Ngày xuất nhập] &lt; DatHang_NgayTheoDoi)
)),0)
+ IFERROR(SUM(
_xlfn._xlws.FILTER(Table_Main[Số lượng],
(Table_Main[Mã Nguyên liệu] = F26) *
(NOT(ISBLANK(Table_Main[Mã Nguyên liệu]))) *
(Table_Main[Mã Nguyên liệu] &lt;&gt; "") *
(Table_Main[Loại] = "Nhập") *
(Table_Main[Ngày xuất nhập] &lt; DatHang_NgayTheoDoi)
)),0)
- IFERROR(SUM(
_xlfn._xlws.FILTER(Table_Main[Số lượng],
(Table_Main[Mã Nguyên liệu] = F26) *
(NOT(ISBLANK(Table_Main[Mã Nguyên liệu]))) *
(Table_Main[Mã Nguyên liệu] &lt;&gt; "") *
(Table_Main[Loại] = "Xuất") *
(Table_Main[Ngày xuất nhập] &lt; DatHang_NgayTheoDoi)
)),0)</f>
        <v>22</v>
      </c>
      <c r="J26" s="120">
        <f>(
IFERROR(
SUM(_xlfn._xlws.FILTER(Table_TonKho[Tiêu thụ],
( Table_TonKho[SKU] = F26)*
(NOT(ISBLANK(Table_TonKho[SKU]))) *
(Table_TonKho[SKU] &lt;&gt; "") *
(Table_TonKho[Kỳ]&gt;=DatHang_NgayBatDau) *
(Table_TonKho[Kỳ]&lt;= DatHang_NgayKetThuc)
)),0)
+ IFERROR(
SUM(_xlfn._xlws.FILTER(Table_TonKho[Tiêu thụ],
( Table_TonKho[Nguyên liệu] = F26)*
(NOT(ISBLANK(Table_TonKho[Nguyên liệu]))) *
(Table_TonKho[Nguyên liệu] &lt;&gt; "") *
(Table_TonKho[Kỳ]&gt;=DatHang_NgayBatDau) *
(Table_TonKho[Kỳ]&lt;= DatHang_NgayKetThuc)
)),0))
/DatHang_SoNgayThamChieu</f>
        <v>1.9673913043478262</v>
      </c>
      <c r="K26" s="68">
        <v>0.1</v>
      </c>
      <c r="L26" s="48">
        <f xml:space="preserve">
IFERROR(
ROUNDUP(I26/(J26*(1+K26)),0),0)</f>
        <v>11</v>
      </c>
      <c r="M26" s="469">
        <v>2</v>
      </c>
      <c r="N26" s="116">
        <f>DatHang_NgayTheoDoi+L26-M26-NgayLuuKho_Min</f>
        <v>45807</v>
      </c>
      <c r="O26" s="120">
        <f>Table_DiemDatHang[[#This Row],[Tiêu thụ / ngày]]*(1+Table_DiemDatHang[[#This Row],[Tăng trưởng tiêu thụ]])*MAX(0,NgayLuuKho_Max-(Table_DiemDatHang[[#This Row],[Ngày tồn kho]]-Table_DiemDatHang[[#This Row],[Ngày giao / sản xuất]]))</f>
        <v>45.446739130434793</v>
      </c>
      <c r="P26" s="429" cm="1">
        <f t="array" ref="P26">IFERROR(
SUM(_xlfn._xlws.FILTER(Table_NguonHang[Giá trị],
(Table_NguonHang[Đối tượng] = Table_DiemDatHang[[#This Row],[Mã hàng]])))
/SUM(_xlfn._xlws.FILTER(Table_NguonHang[Lượng đặt],
(Table_NguonHang[Đối tượng] = Table_DiemDatHang[[#This Row],[Mã hàng]]))),
0)*O26</f>
        <v>0</v>
      </c>
      <c r="Q26" s="227"/>
    </row>
    <row r="27" spans="2:17" ht="16.5" x14ac:dyDescent="0.3">
      <c r="B27" s="98" t="s">
        <v>1112</v>
      </c>
      <c r="C27" s="511">
        <v>45.446739130434793</v>
      </c>
      <c r="D27"/>
    </row>
    <row r="28" spans="2:17" ht="16.5" x14ac:dyDescent="0.3">
      <c r="B28"/>
      <c r="C28"/>
      <c r="D28"/>
    </row>
    <row r="29" spans="2:17" ht="16.5" x14ac:dyDescent="0.3">
      <c r="B29"/>
      <c r="C29"/>
      <c r="D29"/>
    </row>
    <row r="30" spans="2:17" ht="16.5" x14ac:dyDescent="0.3">
      <c r="B30"/>
      <c r="C30"/>
      <c r="D30"/>
    </row>
    <row r="31" spans="2:17" ht="16.5" x14ac:dyDescent="0.3">
      <c r="B31"/>
      <c r="C31"/>
      <c r="D31"/>
    </row>
    <row r="32" spans="2:17" ht="16.5" x14ac:dyDescent="0.3">
      <c r="B32"/>
      <c r="C32"/>
      <c r="D32"/>
    </row>
    <row r="33" spans="2:4" ht="16.5" x14ac:dyDescent="0.3">
      <c r="B33"/>
      <c r="C33"/>
      <c r="D33"/>
    </row>
    <row r="34" spans="2:4" ht="16.5" x14ac:dyDescent="0.3">
      <c r="B34"/>
      <c r="C34"/>
      <c r="D34"/>
    </row>
    <row r="35" spans="2:4" ht="16.5" x14ac:dyDescent="0.3">
      <c r="B35"/>
      <c r="C35"/>
      <c r="D35"/>
    </row>
    <row r="36" spans="2:4" ht="16.5" x14ac:dyDescent="0.3">
      <c r="B36"/>
      <c r="C36"/>
      <c r="D36"/>
    </row>
    <row r="37" spans="2:4" ht="16.5" x14ac:dyDescent="0.3">
      <c r="B37"/>
      <c r="C37"/>
      <c r="D37"/>
    </row>
    <row r="38" spans="2:4" ht="16.5" x14ac:dyDescent="0.3">
      <c r="B38"/>
      <c r="C38"/>
      <c r="D38"/>
    </row>
    <row r="39" spans="2:4" ht="16.5" x14ac:dyDescent="0.3">
      <c r="B39"/>
      <c r="C39"/>
      <c r="D39"/>
    </row>
    <row r="40" spans="2:4" ht="16.5" x14ac:dyDescent="0.3">
      <c r="B40"/>
      <c r="C40"/>
      <c r="D40"/>
    </row>
  </sheetData>
  <sheetProtection algorithmName="SHA-512" hashValue="Xspbo0YRWHdRiiKbAx6mBPqemXcwmmzIMZgQ0jY4Ua3DhSrjuAAWmOfpeqK+7ig0poTTlVIqkx6pyP4ndnkbjA==" saltValue="rmJsSvucOWOGSJx/vj37WA==" spinCount="100000" sheet="1" scenarios="1" formatCells="0" formatColumns="0" formatRows="0" insertColumns="0" insertRows="0" deleteColumns="0" deleteRows="0" sort="0" autoFilter="0" pivotTables="0"/>
  <conditionalFormatting sqref="N24:N26">
    <cfRule type="cellIs" dxfId="852" priority="2" operator="lessThanOrEqual">
      <formula>$N$3</formula>
    </cfRule>
  </conditionalFormatting>
  <dataValidations count="1">
    <dataValidation type="list" allowBlank="1" showInputMessage="1" sqref="F24:F26" xr:uid="{7ADFCE47-16CB-4CDB-B7EC-704C5F48C03E}">
      <formula1>Ma_SKU</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5</xdr:col>
                    <xdr:colOff>9525</xdr:colOff>
                    <xdr:row>2</xdr:row>
                    <xdr:rowOff>47625</xdr:rowOff>
                  </from>
                  <to>
                    <xdr:col>5</xdr:col>
                    <xdr:colOff>485775</xdr:colOff>
                    <xdr:row>3</xdr:row>
                    <xdr:rowOff>76200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5</xdr:col>
                    <xdr:colOff>638175</xdr:colOff>
                    <xdr:row>2</xdr:row>
                    <xdr:rowOff>47625</xdr:rowOff>
                  </from>
                  <to>
                    <xdr:col>6</xdr:col>
                    <xdr:colOff>38100</xdr:colOff>
                    <xdr:row>3</xdr:row>
                    <xdr:rowOff>76200</xdr:rowOff>
                  </to>
                </anchor>
              </controlPr>
            </control>
          </mc:Choice>
        </mc:AlternateContent>
        <mc:AlternateContent xmlns:mc="http://schemas.openxmlformats.org/markup-compatibility/2006">
          <mc:Choice Requires="x14">
            <control shapeId="56323" r:id="rId6" name="Button 3">
              <controlPr defaultSize="0" print="0" autoFill="0" autoPict="0" macro="[0]!AddColumn">
                <anchor moveWithCells="1">
                  <from>
                    <xdr:col>16</xdr:col>
                    <xdr:colOff>38100</xdr:colOff>
                    <xdr:row>2</xdr:row>
                    <xdr:rowOff>66675</xdr:rowOff>
                  </from>
                  <to>
                    <xdr:col>17</xdr:col>
                    <xdr:colOff>47625</xdr:colOff>
                    <xdr:row>3</xdr:row>
                    <xdr:rowOff>95250</xdr:rowOff>
                  </to>
                </anchor>
              </controlPr>
            </control>
          </mc:Choice>
        </mc:AlternateContent>
        <mc:AlternateContent xmlns:mc="http://schemas.openxmlformats.org/markup-compatibility/2006">
          <mc:Choice Requires="x14">
            <control shapeId="56324" r:id="rId7" name="Button 4">
              <controlPr defaultSize="0" print="0" autoFill="0" autoPict="0" macro="[0]!DeleteColumn">
                <anchor moveWithCells="1">
                  <from>
                    <xdr:col>17</xdr:col>
                    <xdr:colOff>180975</xdr:colOff>
                    <xdr:row>2</xdr:row>
                    <xdr:rowOff>66675</xdr:rowOff>
                  </from>
                  <to>
                    <xdr:col>18</xdr:col>
                    <xdr:colOff>38100</xdr:colOff>
                    <xdr:row>3</xdr:row>
                    <xdr:rowOff>95250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6</xdr:col>
                    <xdr:colOff>771525</xdr:colOff>
                    <xdr:row>0</xdr:row>
                    <xdr:rowOff>114300</xdr:rowOff>
                  </from>
                  <to>
                    <xdr:col>7</xdr:col>
                    <xdr:colOff>466725</xdr:colOff>
                    <xdr:row>1</xdr:row>
                    <xdr:rowOff>161925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7</xdr:col>
                    <xdr:colOff>342900</xdr:colOff>
                    <xdr:row>0</xdr:row>
                    <xdr:rowOff>114300</xdr:rowOff>
                  </from>
                  <to>
                    <xdr:col>8</xdr:col>
                    <xdr:colOff>180975</xdr:colOff>
                    <xdr:row>1</xdr:row>
                    <xdr:rowOff>161925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8</xdr:col>
                    <xdr:colOff>57150</xdr:colOff>
                    <xdr:row>0</xdr:row>
                    <xdr:rowOff>114300</xdr:rowOff>
                  </from>
                  <to>
                    <xdr:col>8</xdr:col>
                    <xdr:colOff>647700</xdr:colOff>
                    <xdr:row>1</xdr:row>
                    <xdr:rowOff>161925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8</xdr:col>
                    <xdr:colOff>533400</xdr:colOff>
                    <xdr:row>0</xdr:row>
                    <xdr:rowOff>114300</xdr:rowOff>
                  </from>
                  <to>
                    <xdr:col>8</xdr:col>
                    <xdr:colOff>885825</xdr:colOff>
                    <xdr:row>1</xdr:row>
                    <xdr:rowOff>161925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6</xdr:col>
                    <xdr:colOff>657225</xdr:colOff>
                    <xdr:row>0</xdr:row>
                    <xdr:rowOff>66675</xdr:rowOff>
                  </from>
                  <to>
                    <xdr:col>8</xdr:col>
                    <xdr:colOff>1000125</xdr:colOff>
                    <xdr:row>1</xdr:row>
                    <xdr:rowOff>200025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5</xdr:col>
                    <xdr:colOff>28575</xdr:colOff>
                    <xdr:row>0</xdr:row>
                    <xdr:rowOff>66675</xdr:rowOff>
                  </from>
                  <to>
                    <xdr:col>6</xdr:col>
                    <xdr:colOff>609600</xdr:colOff>
                    <xdr:row>1</xdr:row>
                    <xdr:rowOff>200025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5</xdr:col>
                    <xdr:colOff>114300</xdr:colOff>
                    <xdr:row>0</xdr:row>
                    <xdr:rowOff>161925</xdr:rowOff>
                  </from>
                  <to>
                    <xdr:col>5</xdr:col>
                    <xdr:colOff>581025</xdr:colOff>
                    <xdr:row>1</xdr:row>
                    <xdr:rowOff>104775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5</xdr:col>
                    <xdr:colOff>628650</xdr:colOff>
                    <xdr:row>0</xdr:row>
                    <xdr:rowOff>161925</xdr:rowOff>
                  </from>
                  <to>
                    <xdr:col>6</xdr:col>
                    <xdr:colOff>19050</xdr:colOff>
                    <xdr:row>1</xdr:row>
                    <xdr:rowOff>104775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6</xdr:col>
                    <xdr:colOff>66675</xdr:colOff>
                    <xdr:row>0</xdr:row>
                    <xdr:rowOff>161925</xdr:rowOff>
                  </from>
                  <to>
                    <xdr:col>6</xdr:col>
                    <xdr:colOff>533400</xdr:colOff>
                    <xdr:row>1</xdr:row>
                    <xdr:rowOff>104775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11</xdr:col>
                    <xdr:colOff>314325</xdr:colOff>
                    <xdr:row>1</xdr:row>
                    <xdr:rowOff>190500</xdr:rowOff>
                  </from>
                  <to>
                    <xdr:col>11</xdr:col>
                    <xdr:colOff>857250</xdr:colOff>
                    <xdr:row>2</xdr:row>
                    <xdr:rowOff>219075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F53924F9-F227-4F7F-9A12-DCE1A492951D}">
            <xm:f>Security!$A$1="NO VBA"</xm:f>
            <x14:dxf>
              <font>
                <color theme="0"/>
              </font>
              <border>
                <vertical/>
                <horizontal/>
              </border>
            </x14:dxf>
          </x14:cfRule>
          <xm:sqref>E1:E3 I1:XFD3 A24:A40 A4:D23 E4:XFD1048576 A41:D1048576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50AE8-E8B6-4316-8D3D-433CE2519E7C}">
  <sheetPr codeName="Sheet14">
    <tabColor theme="9"/>
  </sheetPr>
  <dimension ref="B1:AX38"/>
  <sheetViews>
    <sheetView showGridLines="0" zoomScaleNormal="100" workbookViewId="0">
      <selection activeCell="AD38" sqref="AD38"/>
    </sheetView>
  </sheetViews>
  <sheetFormatPr defaultRowHeight="18" customHeight="1" outlineLevelRow="1" outlineLevelCol="1" x14ac:dyDescent="0.3"/>
  <cols>
    <col min="1" max="1" width="1.25" style="7" customWidth="1"/>
    <col min="2" max="2" width="13" style="7" hidden="1" customWidth="1" outlineLevel="1"/>
    <col min="3" max="3" width="18.25" style="7" hidden="1" customWidth="1" outlineLevel="1"/>
    <col min="4" max="4" width="1.25" style="7" hidden="1" customWidth="1" outlineLevel="1"/>
    <col min="5" max="5" width="13" style="7" hidden="1" customWidth="1" outlineLevel="1"/>
    <col min="6" max="6" width="18.25" style="7" hidden="1" customWidth="1" outlineLevel="1"/>
    <col min="7" max="7" width="1.25" style="7" hidden="1" customWidth="1" outlineLevel="1"/>
    <col min="8" max="8" width="13" style="7" hidden="1" customWidth="1" outlineLevel="1"/>
    <col min="9" max="9" width="8.375" style="7" hidden="1" customWidth="1" outlineLevel="1"/>
    <col min="10" max="10" width="7.875" style="7" hidden="1" customWidth="1" outlineLevel="1"/>
    <col min="11" max="11" width="1.25" style="7" hidden="1" customWidth="1" outlineLevel="1"/>
    <col min="12" max="12" width="13" style="7" hidden="1" customWidth="1" outlineLevel="1"/>
    <col min="13" max="13" width="11.75" style="7" hidden="1" customWidth="1" outlineLevel="1"/>
    <col min="14" max="14" width="11.375" style="7" hidden="1" customWidth="1" outlineLevel="1"/>
    <col min="15" max="15" width="9.75" style="7" hidden="1" customWidth="1" outlineLevel="1"/>
    <col min="16" max="16" width="1.25" style="7" customWidth="1" collapsed="1"/>
    <col min="17" max="18" width="9.625" style="7" customWidth="1"/>
    <col min="19" max="19" width="10.375" style="7" bestFit="1" customWidth="1"/>
    <col min="20" max="20" width="16.5" style="7" bestFit="1" customWidth="1"/>
    <col min="21" max="21" width="11.25" style="7" bestFit="1" customWidth="1"/>
    <col min="22" max="22" width="14.5" style="7" bestFit="1" customWidth="1"/>
    <col min="23" max="23" width="14.5" style="7" customWidth="1"/>
    <col min="24" max="24" width="7.25" style="7" bestFit="1" customWidth="1"/>
    <col min="25" max="25" width="9" style="38"/>
    <col min="26" max="26" width="9.375" style="38" bestFit="1" customWidth="1"/>
    <col min="27" max="27" width="8.25" style="7" customWidth="1" outlineLevel="1"/>
    <col min="28" max="28" width="8.125" style="38" customWidth="1" outlineLevel="1"/>
    <col min="29" max="29" width="12.875" style="7" bestFit="1" customWidth="1"/>
    <col min="30" max="30" width="12.875" style="7" customWidth="1"/>
    <col min="31" max="31" width="5.625" style="7" bestFit="1" customWidth="1"/>
    <col min="32" max="32" width="9.625" style="7" customWidth="1"/>
    <col min="33" max="33" width="11.25" style="7" bestFit="1" customWidth="1"/>
    <col min="34" max="34" width="14.5" style="7" bestFit="1" customWidth="1"/>
    <col min="35" max="35" width="7.25" style="7" bestFit="1" customWidth="1"/>
    <col min="36" max="36" width="8.125" style="7" bestFit="1" customWidth="1"/>
    <col min="37" max="37" width="13.25" style="7" customWidth="1" outlineLevel="1"/>
    <col min="38" max="38" width="14.125" style="7" customWidth="1"/>
    <col min="39" max="39" width="14.375" style="7" customWidth="1"/>
    <col min="40" max="40" width="5.75" style="7" customWidth="1"/>
    <col min="41" max="41" width="1.375" style="7" customWidth="1"/>
    <col min="42" max="42" width="6.125" style="7" bestFit="1" customWidth="1"/>
    <col min="43" max="43" width="6" style="7" bestFit="1" customWidth="1"/>
    <col min="44" max="44" width="7.125" style="7" bestFit="1" customWidth="1"/>
    <col min="45" max="45" width="14.5" style="7" bestFit="1" customWidth="1"/>
    <col min="46" max="46" width="13.375" style="7" bestFit="1" customWidth="1"/>
    <col min="47" max="47" width="9" style="7" bestFit="1" customWidth="1"/>
    <col min="48" max="49" width="5.625" style="7" bestFit="1" customWidth="1"/>
    <col min="50" max="50" width="14.5" style="7" customWidth="1" collapsed="1"/>
    <col min="51" max="51" width="13.375" style="7" customWidth="1"/>
    <col min="52" max="53" width="9" style="7" customWidth="1"/>
    <col min="54" max="16384" width="9" style="7"/>
  </cols>
  <sheetData>
    <row r="1" spans="25:38" ht="18" customHeight="1" x14ac:dyDescent="0.3">
      <c r="Y1" s="7"/>
      <c r="Z1" s="7"/>
      <c r="AB1" s="7"/>
      <c r="AD1" s="424"/>
      <c r="AG1" s="7" t="s">
        <v>563</v>
      </c>
      <c r="AH1" s="470">
        <f ca="1">TODAY()</f>
        <v>46043</v>
      </c>
      <c r="AL1" s="225"/>
    </row>
    <row r="2" spans="25:38" ht="18" customHeight="1" x14ac:dyDescent="0.3">
      <c r="Y2" s="7"/>
      <c r="Z2" s="7"/>
      <c r="AB2" s="7"/>
    </row>
    <row r="3" spans="25:38" ht="18" customHeight="1" outlineLevel="1" x14ac:dyDescent="0.3">
      <c r="Y3" s="7"/>
      <c r="Z3" s="7"/>
      <c r="AB3" s="7"/>
    </row>
    <row r="4" spans="25:38" ht="18" customHeight="1" outlineLevel="1" x14ac:dyDescent="0.3">
      <c r="Y4" s="7"/>
      <c r="Z4" s="7"/>
      <c r="AB4" s="7"/>
    </row>
    <row r="5" spans="25:38" ht="18" customHeight="1" outlineLevel="1" x14ac:dyDescent="0.3">
      <c r="Y5" s="7"/>
      <c r="Z5" s="7"/>
      <c r="AB5" s="7"/>
    </row>
    <row r="6" spans="25:38" ht="18" customHeight="1" outlineLevel="1" x14ac:dyDescent="0.3">
      <c r="Y6" s="7"/>
      <c r="Z6" s="7"/>
      <c r="AB6" s="7"/>
    </row>
    <row r="7" spans="25:38" ht="18" customHeight="1" outlineLevel="1" x14ac:dyDescent="0.3">
      <c r="Y7" s="7"/>
      <c r="Z7" s="7"/>
      <c r="AB7" s="7"/>
    </row>
    <row r="8" spans="25:38" ht="18" customHeight="1" outlineLevel="1" x14ac:dyDescent="0.3">
      <c r="Y8" s="7"/>
      <c r="Z8" s="7"/>
      <c r="AB8" s="7"/>
    </row>
    <row r="9" spans="25:38" ht="18" customHeight="1" outlineLevel="1" x14ac:dyDescent="0.3">
      <c r="Y9" s="7"/>
      <c r="Z9" s="7"/>
      <c r="AB9" s="7"/>
    </row>
    <row r="10" spans="25:38" ht="18" customHeight="1" outlineLevel="1" x14ac:dyDescent="0.3">
      <c r="Y10" s="7"/>
      <c r="Z10" s="7"/>
      <c r="AB10" s="7"/>
    </row>
    <row r="11" spans="25:38" ht="18" customHeight="1" outlineLevel="1" x14ac:dyDescent="0.3">
      <c r="Y11" s="7"/>
      <c r="Z11" s="7"/>
      <c r="AB11" s="7"/>
    </row>
    <row r="12" spans="25:38" ht="18" customHeight="1" outlineLevel="1" x14ac:dyDescent="0.3">
      <c r="Y12" s="7"/>
      <c r="Z12" s="7"/>
      <c r="AB12" s="7"/>
    </row>
    <row r="13" spans="25:38" ht="18" customHeight="1" outlineLevel="1" x14ac:dyDescent="0.3">
      <c r="Y13" s="7"/>
      <c r="Z13" s="7"/>
      <c r="AB13" s="7"/>
    </row>
    <row r="14" spans="25:38" ht="18" customHeight="1" outlineLevel="1" x14ac:dyDescent="0.3">
      <c r="Y14" s="7"/>
      <c r="Z14" s="7"/>
    </row>
    <row r="15" spans="25:38" ht="18" customHeight="1" outlineLevel="1" x14ac:dyDescent="0.3">
      <c r="Y15" s="7"/>
      <c r="Z15" s="7"/>
      <c r="AB15" s="7"/>
    </row>
    <row r="16" spans="25:38" ht="18" customHeight="1" outlineLevel="1" x14ac:dyDescent="0.3">
      <c r="Y16" s="7"/>
      <c r="Z16" s="7"/>
      <c r="AB16" s="7"/>
    </row>
    <row r="17" spans="2:48" ht="18" customHeight="1" outlineLevel="1" x14ac:dyDescent="0.3">
      <c r="Y17" s="7"/>
      <c r="Z17" s="7"/>
      <c r="AB17" s="7"/>
    </row>
    <row r="18" spans="2:48" ht="18" customHeight="1" outlineLevel="1" x14ac:dyDescent="0.3">
      <c r="Y18" s="7"/>
      <c r="Z18" s="7"/>
      <c r="AB18" s="7"/>
    </row>
    <row r="19" spans="2:48" ht="16.5" outlineLevel="1" x14ac:dyDescent="0.3">
      <c r="E19" s="552" t="s">
        <v>47</v>
      </c>
      <c r="F19" s="38" t="s">
        <v>1160</v>
      </c>
      <c r="Y19" s="7"/>
      <c r="Z19" s="7"/>
      <c r="AB19" s="7"/>
    </row>
    <row r="20" spans="2:48" ht="18" customHeight="1" x14ac:dyDescent="0.3">
      <c r="Y20" s="7"/>
      <c r="Z20" s="7"/>
      <c r="AB20" s="7"/>
      <c r="AC20" s="424">
        <f>SUM(Table_HieuQuaSX_DinhMuc[Giá trị tiêu thụ])</f>
        <v>90680843.182834223</v>
      </c>
      <c r="AM20" s="424">
        <f ca="1">SUM(Table_HieuQuaSX_KHTieuThu[Giá trị cần đặt])</f>
        <v>69112329.666208744</v>
      </c>
      <c r="AU20" s="67">
        <f>IFERROR(1-(SUM(Table_HieuQuaSX[Giá vốn thực tế])/SUM(Table_HieuQuaSX[Giá vốn mục tiêu])),0)</f>
        <v>1.0565309886262364E-2</v>
      </c>
    </row>
    <row r="21" spans="2:48" ht="16.5" x14ac:dyDescent="0.3">
      <c r="B21" s="552" t="s">
        <v>23</v>
      </c>
      <c r="C21" s="38" t="s">
        <v>1198</v>
      </c>
      <c r="D21" s="38"/>
      <c r="E21" s="552" t="s">
        <v>23</v>
      </c>
      <c r="F21" s="38" t="s">
        <v>1198</v>
      </c>
      <c r="G21" s="38"/>
      <c r="H21" s="552" t="s">
        <v>23</v>
      </c>
      <c r="I21" s="38" t="s">
        <v>17</v>
      </c>
      <c r="J21" s="38" t="s">
        <v>1201</v>
      </c>
      <c r="L21" s="552" t="s">
        <v>23</v>
      </c>
      <c r="M21" s="38" t="s">
        <v>128</v>
      </c>
      <c r="N21" s="38" t="s">
        <v>1202</v>
      </c>
      <c r="O21" s="38" t="s">
        <v>1203</v>
      </c>
      <c r="R21" s="7" t="s">
        <v>47</v>
      </c>
      <c r="S21" s="7" t="s">
        <v>1030</v>
      </c>
      <c r="T21" s="7" t="s">
        <v>1031</v>
      </c>
      <c r="U21" s="7" t="s">
        <v>139</v>
      </c>
      <c r="V21" s="7" t="s">
        <v>572</v>
      </c>
      <c r="W21" s="7" t="s">
        <v>1195</v>
      </c>
      <c r="X21" s="7" t="s">
        <v>322</v>
      </c>
      <c r="Y21" s="7" t="s">
        <v>573</v>
      </c>
      <c r="Z21" s="7" t="s">
        <v>575</v>
      </c>
      <c r="AA21" s="7" t="s">
        <v>578</v>
      </c>
      <c r="AB21" s="7" t="s">
        <v>574</v>
      </c>
      <c r="AC21" s="7" t="s">
        <v>576</v>
      </c>
      <c r="AD21" s="7" t="s">
        <v>1197</v>
      </c>
      <c r="AE21" s="7" t="s">
        <v>883</v>
      </c>
      <c r="AG21" s="7" t="s">
        <v>139</v>
      </c>
      <c r="AH21" s="7" t="s">
        <v>572</v>
      </c>
      <c r="AI21" s="7" t="s">
        <v>322</v>
      </c>
      <c r="AJ21" s="7" t="s">
        <v>574</v>
      </c>
      <c r="AK21" s="7" t="s">
        <v>577</v>
      </c>
      <c r="AL21" s="7" t="s">
        <v>579</v>
      </c>
      <c r="AM21" s="7" t="s">
        <v>570</v>
      </c>
      <c r="AN21" s="7" t="s">
        <v>883</v>
      </c>
      <c r="AP21" s="340" t="s">
        <v>3</v>
      </c>
      <c r="AQ21" s="7" t="s">
        <v>2</v>
      </c>
      <c r="AR21" s="7" t="s">
        <v>1</v>
      </c>
      <c r="AS21" s="7" t="s">
        <v>580</v>
      </c>
      <c r="AT21" s="7" t="s">
        <v>581</v>
      </c>
      <c r="AU21" s="7" t="s">
        <v>68</v>
      </c>
      <c r="AV21" s="7" t="s">
        <v>883</v>
      </c>
    </row>
    <row r="22" spans="2:48" ht="16.5" x14ac:dyDescent="0.3">
      <c r="B22" s="467" t="s">
        <v>1160</v>
      </c>
      <c r="C22" s="555">
        <v>319894.73684210522</v>
      </c>
      <c r="D22" s="38"/>
      <c r="E22" s="467" t="s">
        <v>1163</v>
      </c>
      <c r="F22" s="555">
        <v>210526.31578947368</v>
      </c>
      <c r="G22" s="38"/>
      <c r="H22" s="467" t="s">
        <v>1163</v>
      </c>
      <c r="I22" s="555">
        <v>169</v>
      </c>
      <c r="J22" s="555">
        <v>746.89799240368961</v>
      </c>
      <c r="L22" s="556">
        <v>45717</v>
      </c>
      <c r="M22" s="555">
        <v>25000000</v>
      </c>
      <c r="N22" s="555">
        <v>27200000</v>
      </c>
      <c r="O22" s="557">
        <v>-8.8000000000000078E-2</v>
      </c>
      <c r="Q22" s="7" t="str" cm="1">
        <f t="array" ref="Q22:Q24">_xlfn._xlws.SORT(Table_SKU[Mã SKU])</f>
        <v>HH1</v>
      </c>
      <c r="R22" s="15" t="s">
        <v>1160</v>
      </c>
      <c r="S22" s="18">
        <f>IFERROR(VLOOKUP(Table_HieuQuaSX_DinhMuc[[#This Row],[SKU]],Table_SKU[[Mã SKU]:[Add]],COUNTA(Table_SKU[[#Headers],[Mã SKU]:[Đơn vị]]),0),0)</f>
        <v>0</v>
      </c>
      <c r="T22" s="15">
        <v>200</v>
      </c>
      <c r="U22" s="7" t="s">
        <v>1163</v>
      </c>
      <c r="W22"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2" s="28">
        <f>IFERROR(VLOOKUP(Table_HieuQuaSX_DinhMuc[[#This Row],[Nguyên liệu]],Table_NguyenLieu[[Mã Nguyên liệu]:[Đơn vị]],Sheet_NguyenLieu!$F$1,0),0)</f>
        <v>0</v>
      </c>
      <c r="Y22" s="471">
        <v>2</v>
      </c>
      <c r="Z22" s="68">
        <v>0.05</v>
      </c>
      <c r="AA22" s="18">
        <f>IFERROR(
Table_HieuQuaSX_DinhMuc[[#This Row],[Định mức]]*Table_HieuQuaSX_DinhMuc[[#This Row],[Sản lượng kế hoạch]]/(1-Table_HieuQuaSX_DinhMuc[[#This Row],[Hao hụt]]),0)</f>
        <v>421.0526315789474</v>
      </c>
      <c r="AB22"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2" s="18">
        <f>Table_HieuQuaSX_DinhMuc[[#This Row],[Đơn giá]]*Table_HieuQuaSX_DinhMuc[[#This Row],[Số lượng tiêu thụ]]</f>
        <v>26614315.789473686</v>
      </c>
      <c r="AD22" s="18">
        <f>Table_HieuQuaSX_DinhMuc[[#This Row],[Giá trị tiêu thụ]]/Table_HieuQuaSX_DinhMuc[[#This Row],[Sản lượng kế hoạch]]</f>
        <v>133071.57894736843</v>
      </c>
      <c r="AF22" s="7" t="str" cm="1">
        <f t="array" ref="AF22:AF23">_xlfn._xlws.SORT(Table_NguyenLieu[Mã Nguyên liệu])</f>
        <v>NL1</v>
      </c>
      <c r="AG22" s="7" t="s">
        <v>1163</v>
      </c>
      <c r="AI22" s="28">
        <f>IFERROR(VLOOKUP(Table_HieuQuaSX_KHTieuThu[[#This Row],[Nguyên liệu]],Table_NguyenLieu[[Mã Nguyên liệu]:[Đơn vị]],Sheet_NguyenLieu!$F$1,0),0)</f>
        <v>0</v>
      </c>
      <c r="AJ22" s="34" cm="1">
        <f t="array" ref="AJ22">IFERROR(
SUM(_xlfn._xlws.FILTER(Table_NguonHang[Giá trị],
(Table_NguonHang[Đối tượng] = Table_HieuQuaSX_KHTieuThu[[#This Row],[Nguyên liệu]])))
/SUM(_xlfn._xlws.FILTER(Table_NguonHang[Lượng đặt],
(Table_NguonHang[Đối tượng] = Table_HieuQuaSX_KHTieuThu[[#This Row],[Nguyên liệu]]))),
0)</f>
        <v>63209</v>
      </c>
      <c r="AK22"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169</v>
      </c>
      <c r="AL22" s="18" cm="1">
        <f t="array" aca="1" ref="AL22"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746.89799240368961</v>
      </c>
      <c r="AM22" s="18">
        <f ca="1">Table_HieuQuaSX_KHTieuThu[[#This Row],[Số lượng cần đặt]]*Table_HieuQuaSX_KHTieuThu[[#This Row],[Đơn giá]]</f>
        <v>47210675.201844819</v>
      </c>
      <c r="AP22" s="436">
        <f>IFERROR(DATE(Table_HieuQuaSX[[#This Row],[Năm]],Table_HieuQuaSX[[#This Row],[Tháng]],1),0)</f>
        <v>45717</v>
      </c>
      <c r="AQ22" s="7">
        <v>2025</v>
      </c>
      <c r="AR22" s="7">
        <v>3</v>
      </c>
      <c r="AS22" s="15">
        <v>25000000</v>
      </c>
      <c r="AT22" s="18" cm="1">
        <f t="array" ref="AT22">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27200000</v>
      </c>
      <c r="AU22" s="427">
        <f>1-(Table_HieuQuaSX[[#This Row],[Giá vốn thực tế]]/Table_HieuQuaSX[[#This Row],[Giá vốn mục tiêu]])</f>
        <v>-8.8000000000000078E-2</v>
      </c>
    </row>
    <row r="23" spans="2:48" ht="16.5" x14ac:dyDescent="0.3">
      <c r="B23" s="467" t="s">
        <v>1161</v>
      </c>
      <c r="C23" s="555">
        <v>339175.25773195876</v>
      </c>
      <c r="D23" s="38"/>
      <c r="E23" s="467" t="s">
        <v>1162</v>
      </c>
      <c r="F23" s="555">
        <v>105263.15789473684</v>
      </c>
      <c r="G23" s="38"/>
      <c r="H23" s="467" t="s">
        <v>1162</v>
      </c>
      <c r="I23" s="555">
        <v>88</v>
      </c>
      <c r="J23" s="555">
        <v>264.68583830710799</v>
      </c>
      <c r="L23" s="556">
        <v>45748</v>
      </c>
      <c r="M23" s="555">
        <v>20000000</v>
      </c>
      <c r="N23" s="555">
        <v>18730437.570594341</v>
      </c>
      <c r="O23" s="557">
        <v>6.3478121470282978E-2</v>
      </c>
      <c r="Q23" s="7" t="str">
        <v>TP1</v>
      </c>
      <c r="R23" s="15" t="s">
        <v>1160</v>
      </c>
      <c r="S23" s="18">
        <f>IFERROR(VLOOKUP(Table_HieuQuaSX_DinhMuc[[#This Row],[SKU]],Table_SKU[[Mã SKU]:[Add]],COUNTA(Table_SKU[[#Headers],[Mã SKU]:[Đơn vị]]),0),0)</f>
        <v>0</v>
      </c>
      <c r="T23" s="15">
        <v>200</v>
      </c>
      <c r="U23" s="7" t="s">
        <v>1162</v>
      </c>
      <c r="W23"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3" s="28">
        <f>IFERROR(VLOOKUP(Table_HieuQuaSX_DinhMuc[[#This Row],[Nguyên liệu]],Table_NguyenLieu[[Mã Nguyên liệu]:[Đơn vị]],Sheet_NguyenLieu!$F$1,0),0)</f>
        <v>0</v>
      </c>
      <c r="Y23" s="471">
        <v>0.5</v>
      </c>
      <c r="Z23" s="68">
        <v>0.05</v>
      </c>
      <c r="AA23" s="18">
        <f>IFERROR(
Table_HieuQuaSX_DinhMuc[[#This Row],[Định mức]]*Table_HieuQuaSX_DinhMuc[[#This Row],[Sản lượng kế hoạch]]/(1-Table_HieuQuaSX_DinhMuc[[#This Row],[Hao hụt]]),0)</f>
        <v>105.26315789473685</v>
      </c>
      <c r="AB23"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3" s="18">
        <f>Table_HieuQuaSX_DinhMuc[[#This Row],[Đơn giá]]*Table_HieuQuaSX_DinhMuc[[#This Row],[Số lượng tiêu thụ]]</f>
        <v>8710089.3904394321</v>
      </c>
      <c r="AD23" s="18">
        <f>Table_HieuQuaSX_DinhMuc[[#This Row],[Giá trị tiêu thụ]]/Table_HieuQuaSX_DinhMuc[[#This Row],[Sản lượng kế hoạch]]</f>
        <v>43550.446952197162</v>
      </c>
      <c r="AF23" s="7" t="str">
        <v>NL2</v>
      </c>
      <c r="AG23" s="7" t="s">
        <v>1162</v>
      </c>
      <c r="AI23" s="28">
        <f>IFERROR(VLOOKUP(Table_HieuQuaSX_KHTieuThu[[#This Row],[Nguyên liệu]],Table_NguyenLieu[[Mã Nguyên liệu]:[Đơn vị]],Sheet_NguyenLieu!$F$1,0),0)</f>
        <v>0</v>
      </c>
      <c r="AJ23" s="34" cm="1">
        <f t="array" ref="AJ23">IFERROR(
SUM(_xlfn._xlws.FILTER(Table_NguonHang[Giá trị],
(Table_NguonHang[Đối tượng] = Table_HieuQuaSX_KHTieuThu[[#This Row],[Nguyên liệu]])))
/SUM(_xlfn._xlws.FILTER(Table_NguonHang[Lượng đặt],
(Table_NguonHang[Đối tượng] = Table_HieuQuaSX_KHTieuThu[[#This Row],[Nguyên liệu]]))),
0)</f>
        <v>82745.849209174601</v>
      </c>
      <c r="AK23"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88</v>
      </c>
      <c r="AL23" s="18" cm="1">
        <f t="array" aca="1" ref="AL23"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264.68583830710799</v>
      </c>
      <c r="AM23" s="18">
        <f ca="1">Table_HieuQuaSX_KHTieuThu[[#This Row],[Số lượng cần đặt]]*Table_HieuQuaSX_KHTieuThu[[#This Row],[Đơn giá]]</f>
        <v>21901654.464363929</v>
      </c>
      <c r="AP23" s="436">
        <f>IFERROR(DATE(Table_HieuQuaSX[[#This Row],[Năm]],Table_HieuQuaSX[[#This Row],[Tháng]],1),0)</f>
        <v>45748</v>
      </c>
      <c r="AQ23" s="7">
        <v>2025</v>
      </c>
      <c r="AR23" s="7">
        <v>4</v>
      </c>
      <c r="AS23" s="15">
        <v>20000000</v>
      </c>
      <c r="AT23" s="18" cm="1">
        <f t="array" ref="AT23">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18730437.570594341</v>
      </c>
      <c r="AU23" s="427">
        <f>1-(Table_HieuQuaSX[[#This Row],[Giá vốn thực tế]]/Table_HieuQuaSX[[#This Row],[Giá vốn mục tiêu]])</f>
        <v>6.3478121470282978E-2</v>
      </c>
    </row>
    <row r="24" spans="2:48" ht="16.5" x14ac:dyDescent="0.3">
      <c r="B24" s="467" t="s">
        <v>1112</v>
      </c>
      <c r="C24" s="555">
        <v>659069.99457406392</v>
      </c>
      <c r="D24" s="38"/>
      <c r="E24" s="467" t="s">
        <v>1200</v>
      </c>
      <c r="F24" s="555">
        <v>4105.2631578947367</v>
      </c>
      <c r="G24" s="38"/>
      <c r="H24" s="467" t="s">
        <v>1112</v>
      </c>
      <c r="I24" s="555">
        <v>257</v>
      </c>
      <c r="J24" s="555">
        <v>1011.5838307107977</v>
      </c>
      <c r="L24" s="556">
        <v>45778</v>
      </c>
      <c r="M24" s="555">
        <v>10000000</v>
      </c>
      <c r="N24" s="555">
        <v>8488470.3856612295</v>
      </c>
      <c r="O24" s="557">
        <v>0.15115296143387702</v>
      </c>
      <c r="Q24" s="7" t="str">
        <v>TP2</v>
      </c>
      <c r="R24" s="15" t="s">
        <v>1160</v>
      </c>
      <c r="S24" s="18">
        <f>IFERROR(VLOOKUP(Table_HieuQuaSX_DinhMuc[[#This Row],[SKU]],Table_SKU[[Mã SKU]:[Add]],COUNTA(Table_SKU[[#Headers],[Mã SKU]:[Đơn vị]]),0),0)</f>
        <v>0</v>
      </c>
      <c r="T24" s="15">
        <v>200</v>
      </c>
      <c r="V24" s="7" t="s">
        <v>767</v>
      </c>
      <c r="W24"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Điện</v>
      </c>
      <c r="X24" s="28" t="s">
        <v>1196</v>
      </c>
      <c r="Y24" s="471">
        <v>1.3</v>
      </c>
      <c r="Z24" s="68">
        <v>0.05</v>
      </c>
      <c r="AA24" s="18">
        <f>IFERROR(
Table_HieuQuaSX_DinhMuc[[#This Row],[Định mức]]*Table_HieuQuaSX_DinhMuc[[#This Row],[Sản lượng kế hoạch]]/(1-Table_HieuQuaSX_DinhMuc[[#This Row],[Hao hụt]]),0)</f>
        <v>273.68421052631578</v>
      </c>
      <c r="AB24"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3000</v>
      </c>
      <c r="AC24" s="18">
        <f>Table_HieuQuaSX_DinhMuc[[#This Row],[Đơn giá]]*Table_HieuQuaSX_DinhMuc[[#This Row],[Số lượng tiêu thụ]]</f>
        <v>821052.6315789473</v>
      </c>
      <c r="AD24" s="18">
        <f>Table_HieuQuaSX_DinhMuc[[#This Row],[Giá trị tiêu thụ]]/Table_HieuQuaSX_DinhMuc[[#This Row],[Sản lượng kế hoạch]]</f>
        <v>4105.2631578947367</v>
      </c>
      <c r="AH24" s="7" t="s">
        <v>767</v>
      </c>
      <c r="AI24" s="28">
        <f>IFERROR(VLOOKUP(Table_HieuQuaSX_KHTieuThu[[#This Row],[Nguyên liệu]],Table_NguyenLieu[[Mã Nguyên liệu]:[Đơn vị]],Sheet_NguyenLieu!$F$1,0),0)</f>
        <v>0</v>
      </c>
      <c r="AJ24" s="34">
        <v>3000</v>
      </c>
      <c r="AK24"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4" s="18" cm="1">
        <f t="array" ref="AL24"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4" s="18">
        <f>Table_HieuQuaSX_KHTieuThu[[#This Row],[Số lượng cần đặt]]*Table_HieuQuaSX_KHTieuThu[[#This Row],[Đơn giá]]</f>
        <v>0</v>
      </c>
      <c r="AP24" s="436">
        <f>IFERROR(DATE(Table_HieuQuaSX[[#This Row],[Năm]],Table_HieuQuaSX[[#This Row],[Tháng]],1),0)</f>
        <v>45778</v>
      </c>
      <c r="AQ24" s="7">
        <v>2025</v>
      </c>
      <c r="AR24" s="7">
        <v>5</v>
      </c>
      <c r="AS24" s="15">
        <v>10000000</v>
      </c>
      <c r="AT24" s="18" cm="1">
        <f t="array" ref="AT24">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8488470.3856612295</v>
      </c>
      <c r="AU24" s="427">
        <f>1-(Table_HieuQuaSX[[#This Row],[Giá vốn thực tế]]/Table_HieuQuaSX[[#This Row],[Giá vốn mục tiêu]])</f>
        <v>0.15115296143387702</v>
      </c>
    </row>
    <row r="25" spans="2:48" ht="16.5" x14ac:dyDescent="0.3">
      <c r="B25" s="38"/>
      <c r="C25" s="38"/>
      <c r="D25" s="38"/>
      <c r="E25" s="467" t="s">
        <v>1112</v>
      </c>
      <c r="F25" s="555">
        <v>319894.73684210522</v>
      </c>
      <c r="G25" s="38"/>
      <c r="H25" s="38"/>
      <c r="I25" s="38"/>
      <c r="J25" s="38"/>
      <c r="L25" s="556" t="s">
        <v>1112</v>
      </c>
      <c r="M25" s="555">
        <v>55000000</v>
      </c>
      <c r="N25" s="555">
        <v>54418907.95625557</v>
      </c>
      <c r="O25" s="557">
        <v>0.12663108290415992</v>
      </c>
      <c r="R25" s="15" t="s">
        <v>1161</v>
      </c>
      <c r="S25" s="18">
        <f>IFERROR(VLOOKUP(Table_HieuQuaSX_DinhMuc[[#This Row],[SKU]],Table_SKU[[Mã SKU]:[Add]],COUNTA(Table_SKU[[#Headers],[Mã SKU]:[Đơn vị]]),0),0)</f>
        <v>0</v>
      </c>
      <c r="T25" s="15">
        <v>300</v>
      </c>
      <c r="U25" s="7" t="s">
        <v>1163</v>
      </c>
      <c r="W25"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5" s="28">
        <f>IFERROR(VLOOKUP(Table_HieuQuaSX_DinhMuc[[#This Row],[Nguyên liệu]],Table_NguyenLieu[[Mã Nguyên liệu]:[Đơn vị]],Sheet_NguyenLieu!$F$1,0),0)</f>
        <v>0</v>
      </c>
      <c r="Y25" s="471">
        <v>1.6</v>
      </c>
      <c r="Z25" s="68">
        <v>0.03</v>
      </c>
      <c r="AA25" s="18">
        <f>IFERROR(
Table_HieuQuaSX_DinhMuc[[#This Row],[Định mức]]*Table_HieuQuaSX_DinhMuc[[#This Row],[Sản lượng kế hoạch]]/(1-Table_HieuQuaSX_DinhMuc[[#This Row],[Hao hụt]]),0)</f>
        <v>494.84536082474227</v>
      </c>
      <c r="AB25"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5" s="18">
        <f>Table_HieuQuaSX_DinhMuc[[#This Row],[Đơn giá]]*Table_HieuQuaSX_DinhMuc[[#This Row],[Số lượng tiêu thụ]]</f>
        <v>31278680.412371133</v>
      </c>
      <c r="AD25" s="18">
        <f>Table_HieuQuaSX_DinhMuc[[#This Row],[Giá trị tiêu thụ]]/Table_HieuQuaSX_DinhMuc[[#This Row],[Sản lượng kế hoạch]]</f>
        <v>104262.26804123711</v>
      </c>
      <c r="AH25" s="7" t="s">
        <v>769</v>
      </c>
      <c r="AI25" s="28">
        <f>IFERROR(VLOOKUP(Table_HieuQuaSX_KHTieuThu[[#This Row],[Nguyên liệu]],Table_NguyenLieu[[Mã Nguyên liệu]:[Đơn vị]],Sheet_NguyenLieu!$F$1,0),0)</f>
        <v>0</v>
      </c>
      <c r="AJ25" s="34">
        <v>20000</v>
      </c>
      <c r="AK25"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5" s="18" cm="1">
        <f t="array" ref="AL25"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5" s="18">
        <f>Table_HieuQuaSX_KHTieuThu[[#This Row],[Số lượng cần đặt]]*Table_HieuQuaSX_KHTieuThu[[#This Row],[Đơn giá]]</f>
        <v>0</v>
      </c>
    </row>
    <row r="26" spans="2:48" ht="16.5" x14ac:dyDescent="0.3">
      <c r="B26" s="38"/>
      <c r="C26" s="38"/>
      <c r="D26" s="38"/>
      <c r="E26" s="38"/>
      <c r="F26" s="38"/>
      <c r="G26" s="38"/>
      <c r="H26" s="38"/>
      <c r="I26" s="38"/>
      <c r="J26" s="38"/>
      <c r="L26" s="38"/>
      <c r="M26" s="38"/>
      <c r="N26" s="38"/>
      <c r="O26" s="38"/>
      <c r="R26" s="15" t="s">
        <v>1161</v>
      </c>
      <c r="S26" s="18">
        <f>IFERROR(VLOOKUP(Table_HieuQuaSX_DinhMuc[[#This Row],[SKU]],Table_SKU[[Mã SKU]:[Add]],COUNTA(Table_SKU[[#Headers],[Mã SKU]:[Đơn vị]]),0),0)</f>
        <v>0</v>
      </c>
      <c r="T26" s="15">
        <v>300</v>
      </c>
      <c r="U26" s="7" t="s">
        <v>1162</v>
      </c>
      <c r="W26"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6" s="28">
        <f>IFERROR(VLOOKUP(Table_HieuQuaSX_DinhMuc[[#This Row],[Nguyên liệu]],Table_NguyenLieu[[Mã Nguyên liệu]:[Đơn vị]],Sheet_NguyenLieu!$F$1,0),0)</f>
        <v>0</v>
      </c>
      <c r="Y26" s="471">
        <v>0.8</v>
      </c>
      <c r="Z26" s="68">
        <v>0.03</v>
      </c>
      <c r="AA26" s="18">
        <f>IFERROR(
Table_HieuQuaSX_DinhMuc[[#This Row],[Định mức]]*Table_HieuQuaSX_DinhMuc[[#This Row],[Sản lượng kế hoạch]]/(1-Table_HieuQuaSX_DinhMuc[[#This Row],[Hao hụt]]),0)</f>
        <v>247.42268041237114</v>
      </c>
      <c r="AB26"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6" s="18">
        <f>Table_HieuQuaSX_DinhMuc[[#This Row],[Đơn giá]]*Table_HieuQuaSX_DinhMuc[[#This Row],[Số lượng tiêu thụ]]</f>
        <v>20473199.804331861</v>
      </c>
      <c r="AD26" s="18">
        <f>Table_HieuQuaSX_DinhMuc[[#This Row],[Giá trị tiêu thụ]]/Table_HieuQuaSX_DinhMuc[[#This Row],[Sản lượng kế hoạch]]</f>
        <v>68243.999347772871</v>
      </c>
    </row>
    <row r="27" spans="2:48" ht="16.5" x14ac:dyDescent="0.3">
      <c r="B27" s="38"/>
      <c r="C27" s="38"/>
      <c r="D27" s="38"/>
      <c r="E27" s="38"/>
      <c r="F27" s="38"/>
      <c r="G27" s="38"/>
      <c r="H27" s="38"/>
      <c r="I27" s="38"/>
      <c r="J27" s="38"/>
      <c r="L27" s="38"/>
      <c r="M27" s="38"/>
      <c r="N27" s="38"/>
      <c r="O27" s="38"/>
      <c r="R27" s="15" t="s">
        <v>1161</v>
      </c>
      <c r="S27" s="18">
        <f>IFERROR(VLOOKUP(Table_HieuQuaSX_DinhMuc[[#This Row],[SKU]],Table_SKU[[Mã SKU]:[Add]],COUNTA(Table_SKU[[#Headers],[Mã SKU]:[Đơn vị]]),0),0)</f>
        <v>0</v>
      </c>
      <c r="T27" s="15">
        <v>300</v>
      </c>
      <c r="V27" s="7" t="s">
        <v>769</v>
      </c>
      <c r="W27"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Nước</v>
      </c>
      <c r="X27" s="28" t="s">
        <v>1199</v>
      </c>
      <c r="Y27" s="471">
        <v>0.45</v>
      </c>
      <c r="Z27" s="68">
        <v>0.03</v>
      </c>
      <c r="AA27" s="18">
        <f>IFERROR(
Table_HieuQuaSX_DinhMuc[[#This Row],[Định mức]]*Table_HieuQuaSX_DinhMuc[[#This Row],[Sản lượng kế hoạch]]/(1-Table_HieuQuaSX_DinhMuc[[#This Row],[Hao hụt]]),0)</f>
        <v>139.17525773195877</v>
      </c>
      <c r="AB27"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20000</v>
      </c>
      <c r="AC27" s="18">
        <f>Table_HieuQuaSX_DinhMuc[[#This Row],[Đơn giá]]*Table_HieuQuaSX_DinhMuc[[#This Row],[Số lượng tiêu thụ]]</f>
        <v>2783505.1546391752</v>
      </c>
      <c r="AD27" s="18">
        <f>Table_HieuQuaSX_DinhMuc[[#This Row],[Giá trị tiêu thụ]]/Table_HieuQuaSX_DinhMuc[[#This Row],[Sản lượng kế hoạch]]</f>
        <v>9278.350515463917</v>
      </c>
    </row>
    <row r="28" spans="2:48" ht="16.5" x14ac:dyDescent="0.3">
      <c r="B28" s="38"/>
      <c r="C28" s="38"/>
      <c r="D28" s="38"/>
      <c r="E28" s="38"/>
      <c r="F28" s="38"/>
      <c r="G28" s="38"/>
      <c r="H28" s="38"/>
      <c r="I28" s="38"/>
      <c r="J28" s="38"/>
      <c r="L28" s="38"/>
      <c r="M28" s="38"/>
      <c r="N28" s="38"/>
      <c r="O28" s="38"/>
    </row>
    <row r="29" spans="2:48" ht="16.5" x14ac:dyDescent="0.3">
      <c r="B29" s="38"/>
      <c r="C29" s="38"/>
      <c r="D29" s="38"/>
      <c r="E29" s="38"/>
      <c r="F29" s="38"/>
      <c r="G29" s="38"/>
      <c r="H29" s="38"/>
      <c r="I29" s="38"/>
      <c r="J29" s="38"/>
      <c r="L29" s="38"/>
      <c r="M29" s="38"/>
      <c r="N29" s="38"/>
      <c r="O29" s="38"/>
    </row>
    <row r="30" spans="2:48" ht="16.5" x14ac:dyDescent="0.3">
      <c r="B30" s="38"/>
      <c r="C30" s="38"/>
      <c r="D30" s="38"/>
      <c r="E30" s="38"/>
      <c r="F30" s="38"/>
      <c r="G30" s="38"/>
      <c r="H30" s="38"/>
      <c r="I30" s="38"/>
      <c r="J30" s="38"/>
      <c r="L30" s="38"/>
      <c r="M30" s="38"/>
      <c r="N30" s="38"/>
      <c r="O30" s="38"/>
    </row>
    <row r="31" spans="2:48" ht="16.5" x14ac:dyDescent="0.3">
      <c r="B31" s="38"/>
      <c r="C31" s="38"/>
      <c r="D31" s="38"/>
      <c r="E31" s="38"/>
      <c r="F31" s="38"/>
      <c r="G31" s="38"/>
      <c r="H31" s="38"/>
      <c r="I31" s="38"/>
      <c r="J31" s="38"/>
      <c r="L31" s="38"/>
      <c r="M31" s="38"/>
      <c r="N31" s="38"/>
      <c r="O31" s="38"/>
    </row>
    <row r="32" spans="2:48" ht="16.5" x14ac:dyDescent="0.3">
      <c r="B32" s="38"/>
      <c r="C32" s="38"/>
      <c r="D32" s="38"/>
      <c r="E32" s="38"/>
      <c r="F32" s="38"/>
      <c r="G32" s="38"/>
      <c r="H32" s="38"/>
      <c r="I32" s="38"/>
      <c r="J32" s="38"/>
      <c r="L32" s="38"/>
      <c r="M32" s="38"/>
      <c r="N32" s="38"/>
      <c r="O32" s="38"/>
    </row>
    <row r="33" spans="2:15" ht="16.5" x14ac:dyDescent="0.3">
      <c r="B33" s="38"/>
      <c r="C33" s="38"/>
      <c r="D33" s="38"/>
      <c r="E33" s="38"/>
      <c r="F33" s="38"/>
      <c r="G33" s="38"/>
      <c r="H33" s="38"/>
      <c r="I33" s="38"/>
      <c r="J33" s="38"/>
      <c r="L33" s="38"/>
      <c r="M33" s="38"/>
      <c r="N33" s="38"/>
      <c r="O33" s="38"/>
    </row>
    <row r="34" spans="2:15" ht="16.5" x14ac:dyDescent="0.3">
      <c r="B34" s="38"/>
      <c r="C34" s="38"/>
      <c r="D34" s="38"/>
      <c r="E34" s="38"/>
      <c r="F34" s="38"/>
      <c r="G34" s="38"/>
      <c r="H34" s="38"/>
      <c r="I34" s="38"/>
      <c r="J34" s="38"/>
      <c r="L34" s="38"/>
      <c r="M34" s="38"/>
      <c r="N34" s="38"/>
      <c r="O34" s="38"/>
    </row>
    <row r="35" spans="2:15" ht="16.5" x14ac:dyDescent="0.3">
      <c r="B35" s="38"/>
      <c r="C35" s="38"/>
      <c r="D35" s="38"/>
      <c r="E35" s="38"/>
      <c r="F35" s="38"/>
      <c r="G35" s="38"/>
      <c r="H35" s="38"/>
      <c r="I35" s="38"/>
      <c r="J35" s="38"/>
      <c r="L35" s="38"/>
      <c r="M35" s="38"/>
      <c r="N35" s="38"/>
      <c r="O35" s="38"/>
    </row>
    <row r="36" spans="2:15" ht="16.5" x14ac:dyDescent="0.3">
      <c r="B36" s="38"/>
      <c r="C36" s="38"/>
      <c r="D36" s="38"/>
      <c r="E36" s="38"/>
      <c r="F36" s="38"/>
      <c r="G36" s="38"/>
      <c r="H36" s="38"/>
      <c r="I36" s="38"/>
      <c r="J36" s="38"/>
      <c r="L36" s="38"/>
      <c r="M36" s="38"/>
      <c r="N36" s="38"/>
      <c r="O36" s="38"/>
    </row>
    <row r="37" spans="2:15" ht="16.5" x14ac:dyDescent="0.3">
      <c r="B37" s="38"/>
      <c r="C37" s="38"/>
      <c r="D37" s="38"/>
      <c r="E37" s="38"/>
      <c r="F37" s="38"/>
      <c r="G37" s="38"/>
      <c r="H37" s="38"/>
      <c r="I37" s="38"/>
      <c r="J37" s="38"/>
      <c r="L37" s="38"/>
      <c r="M37" s="38"/>
      <c r="N37" s="38"/>
      <c r="O37" s="38"/>
    </row>
    <row r="38" spans="2:15" ht="16.5" x14ac:dyDescent="0.3">
      <c r="B38" s="38"/>
      <c r="C38" s="38"/>
      <c r="D38" s="38"/>
      <c r="E38" s="38"/>
      <c r="F38" s="38"/>
      <c r="G38" s="38"/>
      <c r="H38" s="38"/>
      <c r="I38" s="38"/>
      <c r="J38" s="38"/>
      <c r="L38" s="38"/>
      <c r="M38" s="38"/>
      <c r="N38" s="38"/>
      <c r="O38" s="38"/>
    </row>
  </sheetData>
  <sheetProtection algorithmName="SHA-512" hashValue="ZLNEvDnR7VY37gN1a+SniLRGBDlgy8lJW9tkIEEY9RzhHkPjAqazZbFX4nAmPNP7nYguAqroNnhow2TkzVjgEQ==" saltValue="Ks2miT5gQ+fVl8RWq2MdXw==" spinCount="100000" sheet="1" scenarios="1" formatCells="0" formatColumns="0" formatRows="0" insertColumns="0" insertRows="0" deleteColumns="0" deleteRows="0" sort="0" autoFilter="0" pivotTables="0"/>
  <dataValidations count="2">
    <dataValidation type="list" allowBlank="1" showInputMessage="1" showErrorMessage="1" sqref="R22:R27" xr:uid="{24AC66DE-2891-4292-9F19-C9E0DC056FBD}">
      <formula1>Ma_SKU</formula1>
    </dataValidation>
    <dataValidation type="list" errorStyle="warning" allowBlank="1" showInputMessage="1" sqref="AG22:AG25 U22:U27" xr:uid="{76F21AB3-EB28-4A49-8102-1C356DD8FAC9}">
      <formula1>MaNguyenLieu</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7360" r:id="rId7" name="Option Button 16">
              <controlPr defaultSize="0" autoFill="0" autoLine="0" autoPict="0" macro="[0]!DoiDonViHienThi">
                <anchor moveWithCells="1">
                  <from>
                    <xdr:col>19</xdr:col>
                    <xdr:colOff>685800</xdr:colOff>
                    <xdr:row>0</xdr:row>
                    <xdr:rowOff>85725</xdr:rowOff>
                  </from>
                  <to>
                    <xdr:col>20</xdr:col>
                    <xdr:colOff>142875</xdr:colOff>
                    <xdr:row>1</xdr:row>
                    <xdr:rowOff>133350</xdr:rowOff>
                  </to>
                </anchor>
              </controlPr>
            </control>
          </mc:Choice>
        </mc:AlternateContent>
        <mc:AlternateContent xmlns:mc="http://schemas.openxmlformats.org/markup-compatibility/2006">
          <mc:Choice Requires="x14">
            <control shapeId="57361" r:id="rId8" name="Option Button 17">
              <controlPr defaultSize="0" autoFill="0" autoLine="0" autoPict="0" macro="[0]!DoiDonViHienThi">
                <anchor moveWithCells="1">
                  <from>
                    <xdr:col>19</xdr:col>
                    <xdr:colOff>1247775</xdr:colOff>
                    <xdr:row>0</xdr:row>
                    <xdr:rowOff>85725</xdr:rowOff>
                  </from>
                  <to>
                    <xdr:col>20</xdr:col>
                    <xdr:colOff>704850</xdr:colOff>
                    <xdr:row>1</xdr:row>
                    <xdr:rowOff>133350</xdr:rowOff>
                  </to>
                </anchor>
              </controlPr>
            </control>
          </mc:Choice>
        </mc:AlternateContent>
        <mc:AlternateContent xmlns:mc="http://schemas.openxmlformats.org/markup-compatibility/2006">
          <mc:Choice Requires="x14">
            <control shapeId="57362" r:id="rId9" name="Option Button 18">
              <controlPr defaultSize="0" autoFill="0" autoLine="0" autoPict="0" macro="[0]!DoiDonViHienThi">
                <anchor moveWithCells="1">
                  <from>
                    <xdr:col>20</xdr:col>
                    <xdr:colOff>561975</xdr:colOff>
                    <xdr:row>0</xdr:row>
                    <xdr:rowOff>85725</xdr:rowOff>
                  </from>
                  <to>
                    <xdr:col>21</xdr:col>
                    <xdr:colOff>419100</xdr:colOff>
                    <xdr:row>1</xdr:row>
                    <xdr:rowOff>133350</xdr:rowOff>
                  </to>
                </anchor>
              </controlPr>
            </control>
          </mc:Choice>
        </mc:AlternateContent>
        <mc:AlternateContent xmlns:mc="http://schemas.openxmlformats.org/markup-compatibility/2006">
          <mc:Choice Requires="x14">
            <control shapeId="57363" r:id="rId10" name="Option Button 19">
              <controlPr defaultSize="0" autoFill="0" autoLine="0" autoPict="0" macro="[0]!DoiDonViHienThi">
                <anchor moveWithCells="1">
                  <from>
                    <xdr:col>21</xdr:col>
                    <xdr:colOff>266700</xdr:colOff>
                    <xdr:row>0</xdr:row>
                    <xdr:rowOff>85725</xdr:rowOff>
                  </from>
                  <to>
                    <xdr:col>21</xdr:col>
                    <xdr:colOff>704850</xdr:colOff>
                    <xdr:row>1</xdr:row>
                    <xdr:rowOff>133350</xdr:rowOff>
                  </to>
                </anchor>
              </controlPr>
            </control>
          </mc:Choice>
        </mc:AlternateContent>
        <mc:AlternateContent xmlns:mc="http://schemas.openxmlformats.org/markup-compatibility/2006">
          <mc:Choice Requires="x14">
            <control shapeId="57364" r:id="rId11" name="Group Box 20">
              <controlPr defaultSize="0" autoFill="0" autoPict="0">
                <anchor moveWithCells="1">
                  <from>
                    <xdr:col>19</xdr:col>
                    <xdr:colOff>552450</xdr:colOff>
                    <xdr:row>0</xdr:row>
                    <xdr:rowOff>38100</xdr:rowOff>
                  </from>
                  <to>
                    <xdr:col>21</xdr:col>
                    <xdr:colOff>838200</xdr:colOff>
                    <xdr:row>1</xdr:row>
                    <xdr:rowOff>171450</xdr:rowOff>
                  </to>
                </anchor>
              </controlPr>
            </control>
          </mc:Choice>
        </mc:AlternateContent>
        <mc:AlternateContent xmlns:mc="http://schemas.openxmlformats.org/markup-compatibility/2006">
          <mc:Choice Requires="x14">
            <control shapeId="57365" r:id="rId12" name="Group Box 21">
              <controlPr defaultSize="0" autoFill="0" autoPict="0">
                <anchor moveWithCells="1">
                  <from>
                    <xdr:col>17</xdr:col>
                    <xdr:colOff>19050</xdr:colOff>
                    <xdr:row>0</xdr:row>
                    <xdr:rowOff>38100</xdr:rowOff>
                  </from>
                  <to>
                    <xdr:col>19</xdr:col>
                    <xdr:colOff>495300</xdr:colOff>
                    <xdr:row>1</xdr:row>
                    <xdr:rowOff>171450</xdr:rowOff>
                  </to>
                </anchor>
              </controlPr>
            </control>
          </mc:Choice>
        </mc:AlternateContent>
        <mc:AlternateContent xmlns:mc="http://schemas.openxmlformats.org/markup-compatibility/2006">
          <mc:Choice Requires="x14">
            <control shapeId="57366" r:id="rId13" name="Button 22">
              <controlPr defaultSize="0" autoFill="0" autoPict="0" macro="[0]!NhanNghin">
                <anchor moveWithCells="1">
                  <from>
                    <xdr:col>17</xdr:col>
                    <xdr:colOff>114300</xdr:colOff>
                    <xdr:row>0</xdr:row>
                    <xdr:rowOff>133350</xdr:rowOff>
                  </from>
                  <to>
                    <xdr:col>17</xdr:col>
                    <xdr:colOff>685800</xdr:colOff>
                    <xdr:row>1</xdr:row>
                    <xdr:rowOff>76200</xdr:rowOff>
                  </to>
                </anchor>
              </controlPr>
            </control>
          </mc:Choice>
        </mc:AlternateContent>
        <mc:AlternateContent xmlns:mc="http://schemas.openxmlformats.org/markup-compatibility/2006">
          <mc:Choice Requires="x14">
            <control shapeId="57367" r:id="rId14" name="Button 23">
              <controlPr defaultSize="0" autoFill="0" autoPict="0" macro="[0]!NhanTrieu">
                <anchor moveWithCells="1">
                  <from>
                    <xdr:col>18</xdr:col>
                    <xdr:colOff>0</xdr:colOff>
                    <xdr:row>0</xdr:row>
                    <xdr:rowOff>133350</xdr:rowOff>
                  </from>
                  <to>
                    <xdr:col>18</xdr:col>
                    <xdr:colOff>571500</xdr:colOff>
                    <xdr:row>1</xdr:row>
                    <xdr:rowOff>76200</xdr:rowOff>
                  </to>
                </anchor>
              </controlPr>
            </control>
          </mc:Choice>
        </mc:AlternateContent>
        <mc:AlternateContent xmlns:mc="http://schemas.openxmlformats.org/markup-compatibility/2006">
          <mc:Choice Requires="x14">
            <control shapeId="57368" r:id="rId15" name="Button 24">
              <controlPr defaultSize="0" autoFill="0" autoPict="0" macro="[0]!NhanTy">
                <anchor moveWithCells="1">
                  <from>
                    <xdr:col>18</xdr:col>
                    <xdr:colOff>628650</xdr:colOff>
                    <xdr:row>0</xdr:row>
                    <xdr:rowOff>133350</xdr:rowOff>
                  </from>
                  <to>
                    <xdr:col>19</xdr:col>
                    <xdr:colOff>400050</xdr:colOff>
                    <xdr:row>1</xdr:row>
                    <xdr:rowOff>76200</xdr:rowOff>
                  </to>
                </anchor>
              </controlPr>
            </control>
          </mc:Choice>
        </mc:AlternateContent>
        <mc:AlternateContent xmlns:mc="http://schemas.openxmlformats.org/markup-compatibility/2006">
          <mc:Choice Requires="x14">
            <control shapeId="57377" r:id="rId16" name="Button 33">
              <controlPr defaultSize="0" print="0" autoFill="0" autoPict="0" macro="[0]!AddRow">
                <anchor moveWithCells="1">
                  <from>
                    <xdr:col>22</xdr:col>
                    <xdr:colOff>38100</xdr:colOff>
                    <xdr:row>0</xdr:row>
                    <xdr:rowOff>85725</xdr:rowOff>
                  </from>
                  <to>
                    <xdr:col>22</xdr:col>
                    <xdr:colOff>447675</xdr:colOff>
                    <xdr:row>1</xdr:row>
                    <xdr:rowOff>114300</xdr:rowOff>
                  </to>
                </anchor>
              </controlPr>
            </control>
          </mc:Choice>
        </mc:AlternateContent>
        <mc:AlternateContent xmlns:mc="http://schemas.openxmlformats.org/markup-compatibility/2006">
          <mc:Choice Requires="x14">
            <control shapeId="57378" r:id="rId17" name="Button 34">
              <controlPr defaultSize="0" print="0" autoFill="0" autoPict="0" macro="[0]!DeleteRow">
                <anchor moveWithCells="1">
                  <from>
                    <xdr:col>22</xdr:col>
                    <xdr:colOff>581025</xdr:colOff>
                    <xdr:row>0</xdr:row>
                    <xdr:rowOff>85725</xdr:rowOff>
                  </from>
                  <to>
                    <xdr:col>22</xdr:col>
                    <xdr:colOff>990600</xdr:colOff>
                    <xdr:row>1</xdr:row>
                    <xdr:rowOff>114300</xdr:rowOff>
                  </to>
                </anchor>
              </controlPr>
            </control>
          </mc:Choice>
        </mc:AlternateContent>
        <mc:AlternateContent xmlns:mc="http://schemas.openxmlformats.org/markup-compatibility/2006">
          <mc:Choice Requires="x14">
            <control shapeId="57381" r:id="rId18" name="Button 37">
              <controlPr defaultSize="0" print="0" autoFill="0" autoPict="0" macro="[0]!AddColumn">
                <anchor moveWithCells="1">
                  <from>
                    <xdr:col>30</xdr:col>
                    <xdr:colOff>76200</xdr:colOff>
                    <xdr:row>0</xdr:row>
                    <xdr:rowOff>76200</xdr:rowOff>
                  </from>
                  <to>
                    <xdr:col>31</xdr:col>
                    <xdr:colOff>57150</xdr:colOff>
                    <xdr:row>1</xdr:row>
                    <xdr:rowOff>104775</xdr:rowOff>
                  </to>
                </anchor>
              </controlPr>
            </control>
          </mc:Choice>
        </mc:AlternateContent>
        <mc:AlternateContent xmlns:mc="http://schemas.openxmlformats.org/markup-compatibility/2006">
          <mc:Choice Requires="x14">
            <control shapeId="57382" r:id="rId19" name="Button 38">
              <controlPr defaultSize="0" print="0" autoFill="0" autoPict="0" macro="[0]!DeleteColumn">
                <anchor moveWithCells="1">
                  <from>
                    <xdr:col>31</xdr:col>
                    <xdr:colOff>161925</xdr:colOff>
                    <xdr:row>0</xdr:row>
                    <xdr:rowOff>76200</xdr:rowOff>
                  </from>
                  <to>
                    <xdr:col>31</xdr:col>
                    <xdr:colOff>600075</xdr:colOff>
                    <xdr:row>1</xdr:row>
                    <xdr:rowOff>104775</xdr:rowOff>
                  </to>
                </anchor>
              </controlPr>
            </control>
          </mc:Choice>
        </mc:AlternateContent>
        <mc:AlternateContent xmlns:mc="http://schemas.openxmlformats.org/markup-compatibility/2006">
          <mc:Choice Requires="x14">
            <control shapeId="57387" r:id="rId20" name="Button 43">
              <controlPr defaultSize="0" print="0" autoFill="0" autoPict="0" macro="[0]!AddColumn">
                <anchor moveWithCells="1">
                  <from>
                    <xdr:col>37</xdr:col>
                    <xdr:colOff>47625</xdr:colOff>
                    <xdr:row>0</xdr:row>
                    <xdr:rowOff>38100</xdr:rowOff>
                  </from>
                  <to>
                    <xdr:col>37</xdr:col>
                    <xdr:colOff>466725</xdr:colOff>
                    <xdr:row>1</xdr:row>
                    <xdr:rowOff>66675</xdr:rowOff>
                  </to>
                </anchor>
              </controlPr>
            </control>
          </mc:Choice>
        </mc:AlternateContent>
        <mc:AlternateContent xmlns:mc="http://schemas.openxmlformats.org/markup-compatibility/2006">
          <mc:Choice Requires="x14">
            <control shapeId="57388" r:id="rId21" name="Button 44">
              <controlPr defaultSize="0" print="0" autoFill="0" autoPict="0" macro="[0]!DeleteColumn">
                <anchor moveWithCells="1">
                  <from>
                    <xdr:col>37</xdr:col>
                    <xdr:colOff>581025</xdr:colOff>
                    <xdr:row>0</xdr:row>
                    <xdr:rowOff>38100</xdr:rowOff>
                  </from>
                  <to>
                    <xdr:col>37</xdr:col>
                    <xdr:colOff>1028700</xdr:colOff>
                    <xdr:row>1</xdr:row>
                    <xdr:rowOff>66675</xdr:rowOff>
                  </to>
                </anchor>
              </controlPr>
            </control>
          </mc:Choice>
        </mc:AlternateContent>
        <mc:AlternateContent xmlns:mc="http://schemas.openxmlformats.org/markup-compatibility/2006">
          <mc:Choice Requires="x14">
            <control shapeId="57394" r:id="rId22" name="Button 50">
              <controlPr defaultSize="0" print="0" autoFill="0" autoPict="0" macro="[0]!AddRow">
                <anchor moveWithCells="1">
                  <from>
                    <xdr:col>34</xdr:col>
                    <xdr:colOff>142875</xdr:colOff>
                    <xdr:row>0</xdr:row>
                    <xdr:rowOff>38100</xdr:rowOff>
                  </from>
                  <to>
                    <xdr:col>35</xdr:col>
                    <xdr:colOff>0</xdr:colOff>
                    <xdr:row>1</xdr:row>
                    <xdr:rowOff>66675</xdr:rowOff>
                  </to>
                </anchor>
              </controlPr>
            </control>
          </mc:Choice>
        </mc:AlternateContent>
        <mc:AlternateContent xmlns:mc="http://schemas.openxmlformats.org/markup-compatibility/2006">
          <mc:Choice Requires="x14">
            <control shapeId="57395" r:id="rId23" name="Button 51">
              <controlPr defaultSize="0" print="0" autoFill="0" autoPict="0" macro="[0]!DeleteRow">
                <anchor moveWithCells="1">
                  <from>
                    <xdr:col>35</xdr:col>
                    <xdr:colOff>133350</xdr:colOff>
                    <xdr:row>0</xdr:row>
                    <xdr:rowOff>38100</xdr:rowOff>
                  </from>
                  <to>
                    <xdr:col>35</xdr:col>
                    <xdr:colOff>542925</xdr:colOff>
                    <xdr:row>1</xdr:row>
                    <xdr:rowOff>66675</xdr:rowOff>
                  </to>
                </anchor>
              </controlPr>
            </control>
          </mc:Choice>
        </mc:AlternateContent>
        <mc:AlternateContent xmlns:mc="http://schemas.openxmlformats.org/markup-compatibility/2006">
          <mc:Choice Requires="x14">
            <control shapeId="57400" r:id="rId24" name="Button 56">
              <controlPr defaultSize="0" print="0" autoFill="0" autoPict="0" macro="[0]!RefreshTables">
                <anchor moveWithCells="1">
                  <from>
                    <xdr:col>24</xdr:col>
                    <xdr:colOff>47625</xdr:colOff>
                    <xdr:row>0</xdr:row>
                    <xdr:rowOff>76200</xdr:rowOff>
                  </from>
                  <to>
                    <xdr:col>24</xdr:col>
                    <xdr:colOff>590550</xdr:colOff>
                    <xdr:row>1</xdr:row>
                    <xdr:rowOff>104775</xdr:rowOff>
                  </to>
                </anchor>
              </controlPr>
            </control>
          </mc:Choice>
        </mc:AlternateContent>
      </controls>
    </mc:Choice>
  </mc:AlternateContent>
  <tableParts count="3">
    <tablePart r:id="rId25"/>
    <tablePart r:id="rId26"/>
    <tablePart r:id="rId27"/>
  </tableParts>
  <extLst>
    <ext xmlns:x14="http://schemas.microsoft.com/office/spreadsheetml/2009/9/main" uri="{78C0D931-6437-407d-A8EE-F0AAD7539E65}">
      <x14:conditionalFormattings>
        <x14:conditionalFormatting xmlns:xm="http://schemas.microsoft.com/office/excel/2006/main">
          <x14:cfRule type="expression" priority="2" id="{2A41C575-6C7D-455D-B16C-EE51D253CAEC}">
            <xm:f>Security!$A$1="NO VBA"</xm:f>
            <x14:dxf>
              <font>
                <color theme="0"/>
              </font>
              <border>
                <vertical/>
                <horizontal/>
              </border>
            </x14:dxf>
          </x14:cfRule>
          <xm:sqref>AA23:AA1048576 AW1:XFD1 Q1:X21 Y1:Y20 AO1:AO1048576 R22:S22 AC23:AF1048576 Q28:X1048576 Q23:S27 U22:X27 AG22:AN1048576 Y21:AN21 AA22:AN22 Z1:AB1 AD1:AJ1 AL1 AP1:AT1 Z2:AN13 Z15:AN20 Z14:AA14 AC14:AN14 AP2:XFD1048576</xm:sqref>
        </x14:conditionalFormatting>
      </x14:conditionalFormattings>
    </ext>
    <ext xmlns:x14="http://schemas.microsoft.com/office/spreadsheetml/2009/9/main" uri="{CCE6A557-97BC-4b89-ADB6-D9C93CAAB3DF}">
      <x14:dataValidations xmlns:xm="http://schemas.microsoft.com/office/excel/2006/main" count="1">
        <x14:dataValidation type="list" errorStyle="warning" allowBlank="1" showInputMessage="1" showErrorMessage="1" xr:uid="{7024C3BC-175E-4C79-995E-5F224F12093F}">
          <x14:formula1>
            <xm:f>Sheet_ChiPhiKD!$G$14:$G$18</xm:f>
          </x14:formula1>
          <xm:sqref>AH22:AH25 V22:V27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2FDE4-703C-4534-801B-AA27ADA83C6A}">
  <sheetPr codeName="Sheet50">
    <tabColor theme="9"/>
  </sheetPr>
  <dimension ref="A1:AP57"/>
  <sheetViews>
    <sheetView showGridLines="0" topLeftCell="O1" workbookViewId="0">
      <selection activeCell="AI23" sqref="AI23"/>
    </sheetView>
  </sheetViews>
  <sheetFormatPr defaultRowHeight="16.5" outlineLevelCol="1" x14ac:dyDescent="0.3"/>
  <cols>
    <col min="1" max="1" width="1.25" style="7" hidden="1" customWidth="1" outlineLevel="1"/>
    <col min="2" max="2" width="13" style="7" hidden="1" customWidth="1" outlineLevel="1"/>
    <col min="3" max="3" width="16" style="7" hidden="1" customWidth="1" outlineLevel="1"/>
    <col min="4" max="4" width="1.25" style="7" hidden="1" customWidth="1" outlineLevel="1"/>
    <col min="5" max="5" width="13.125" style="7" hidden="1" customWidth="1" outlineLevel="1"/>
    <col min="6" max="6" width="16" style="7" hidden="1" customWidth="1" outlineLevel="1"/>
    <col min="7" max="7" width="1.25" style="7" hidden="1" customWidth="1" outlineLevel="1"/>
    <col min="8" max="8" width="13.125" style="7" hidden="1" customWidth="1" outlineLevel="1"/>
    <col min="9" max="9" width="16" style="7" hidden="1" customWidth="1" outlineLevel="1"/>
    <col min="10" max="11" width="1.25" style="7" hidden="1" customWidth="1" outlineLevel="1"/>
    <col min="12" max="12" width="13.125" style="7" hidden="1" customWidth="1" outlineLevel="1"/>
    <col min="13" max="13" width="12.375" style="7" hidden="1" customWidth="1" outlineLevel="1"/>
    <col min="14" max="14" width="11.875" style="7" hidden="1" customWidth="1" outlineLevel="1"/>
    <col min="15" max="15" width="1.25" style="7" customWidth="1" collapsed="1"/>
    <col min="16" max="16" width="1.25" style="7" customWidth="1"/>
    <col min="17" max="34" width="9" style="38"/>
    <col min="35" max="35" width="11.125" style="38" customWidth="1"/>
    <col min="36" max="36" width="9.5" style="38" customWidth="1"/>
    <col min="37" max="37" width="12.25" style="38" customWidth="1"/>
    <col min="38" max="38" width="12.625" style="38" customWidth="1"/>
    <col min="39" max="39" width="9" style="38"/>
    <col min="40" max="40" width="9.625" style="38" customWidth="1"/>
    <col min="41" max="41" width="9" style="38"/>
    <col min="42" max="42" width="5.625" style="38" bestFit="1" customWidth="1"/>
    <col min="43" max="16384" width="9" style="38"/>
  </cols>
  <sheetData>
    <row r="1" spans="1:42" x14ac:dyDescent="0.3">
      <c r="A1" s="21"/>
      <c r="B1" s="21"/>
      <c r="C1" s="21"/>
      <c r="D1" s="21"/>
      <c r="E1" s="21"/>
      <c r="F1" s="21"/>
      <c r="G1" s="21"/>
      <c r="H1" s="21"/>
      <c r="I1" s="21"/>
      <c r="J1" s="21"/>
      <c r="K1" s="21"/>
      <c r="L1" s="21"/>
      <c r="M1" s="21"/>
      <c r="N1" s="21"/>
      <c r="O1" s="21"/>
      <c r="P1" s="21"/>
    </row>
    <row r="2" spans="1:42" x14ac:dyDescent="0.3">
      <c r="A2" s="21"/>
      <c r="B2" s="552" t="s">
        <v>682</v>
      </c>
      <c r="C2" s="38" t="s">
        <v>1130</v>
      </c>
      <c r="D2" s="21"/>
      <c r="E2" s="38"/>
      <c r="F2" s="38"/>
      <c r="G2" s="21"/>
      <c r="H2" s="21"/>
      <c r="I2" s="21"/>
      <c r="J2" s="21"/>
      <c r="K2" s="21"/>
      <c r="L2" s="38"/>
      <c r="M2" s="38"/>
      <c r="N2" s="21"/>
      <c r="O2" s="21"/>
      <c r="P2" s="21"/>
    </row>
    <row r="3" spans="1:42" x14ac:dyDescent="0.3">
      <c r="A3" s="21"/>
      <c r="B3" s="552" t="s">
        <v>1246</v>
      </c>
      <c r="C3" s="38" t="s">
        <v>1130</v>
      </c>
      <c r="D3" s="21"/>
      <c r="E3" s="552" t="s">
        <v>680</v>
      </c>
      <c r="F3" s="38" t="s">
        <v>1126</v>
      </c>
      <c r="G3" s="21"/>
      <c r="H3" s="552" t="s">
        <v>680</v>
      </c>
      <c r="I3" s="38" t="s">
        <v>1126</v>
      </c>
      <c r="J3" s="21"/>
      <c r="K3" s="21"/>
      <c r="L3" s="552" t="s">
        <v>680</v>
      </c>
      <c r="M3" s="38" t="s">
        <v>1126</v>
      </c>
      <c r="N3" s="21"/>
      <c r="O3" s="21"/>
      <c r="P3" s="21"/>
    </row>
    <row r="4" spans="1:42" x14ac:dyDescent="0.3">
      <c r="A4" s="21"/>
      <c r="B4" s="552" t="s">
        <v>1247</v>
      </c>
      <c r="C4" s="38" t="s">
        <v>1130</v>
      </c>
      <c r="D4" s="21"/>
      <c r="E4" s="552" t="s">
        <v>1247</v>
      </c>
      <c r="F4" s="38" t="s">
        <v>1130</v>
      </c>
      <c r="G4" s="21"/>
      <c r="H4" s="552" t="s">
        <v>1246</v>
      </c>
      <c r="I4" s="38" t="s">
        <v>1130</v>
      </c>
      <c r="J4" s="21"/>
      <c r="K4" s="21"/>
      <c r="L4" s="552" t="s">
        <v>1246</v>
      </c>
      <c r="M4" s="38" t="s">
        <v>1159</v>
      </c>
      <c r="N4" s="21"/>
      <c r="O4" s="21"/>
      <c r="P4" s="21"/>
    </row>
    <row r="5" spans="1:42" x14ac:dyDescent="0.3">
      <c r="A5" s="21"/>
      <c r="B5" s="21"/>
      <c r="C5" s="21"/>
      <c r="D5" s="21"/>
      <c r="E5" s="21"/>
      <c r="F5" s="21"/>
      <c r="G5" s="21"/>
      <c r="H5" s="21"/>
      <c r="I5" s="21"/>
      <c r="J5" s="21"/>
      <c r="K5" s="21"/>
      <c r="L5" s="21"/>
      <c r="M5" s="21"/>
      <c r="N5" s="21"/>
      <c r="O5" s="21"/>
      <c r="P5" s="21"/>
    </row>
    <row r="6" spans="1:42" x14ac:dyDescent="0.3">
      <c r="B6" s="552" t="s">
        <v>23</v>
      </c>
      <c r="C6" s="38" t="s">
        <v>1248</v>
      </c>
      <c r="E6" s="552" t="s">
        <v>23</v>
      </c>
      <c r="F6" s="38" t="s">
        <v>1248</v>
      </c>
      <c r="G6" s="38"/>
      <c r="H6" s="552" t="s">
        <v>23</v>
      </c>
      <c r="I6" s="38" t="s">
        <v>1248</v>
      </c>
      <c r="J6" s="38"/>
      <c r="K6" s="38"/>
      <c r="L6" s="552" t="s">
        <v>23</v>
      </c>
      <c r="M6" s="38" t="s">
        <v>574</v>
      </c>
      <c r="N6" s="38" t="s">
        <v>1250</v>
      </c>
      <c r="AK6" s="27" t="s">
        <v>562</v>
      </c>
      <c r="AL6" s="428">
        <v>45717</v>
      </c>
      <c r="AM6" s="428">
        <v>45808</v>
      </c>
    </row>
    <row r="7" spans="1:42" x14ac:dyDescent="0.3">
      <c r="B7" s="467" t="s">
        <v>1155</v>
      </c>
      <c r="C7" s="553">
        <v>79228308</v>
      </c>
      <c r="E7" s="467" t="s">
        <v>1159</v>
      </c>
      <c r="F7" s="553">
        <v>23096559</v>
      </c>
      <c r="G7" s="38"/>
      <c r="H7" s="467" t="s">
        <v>1168</v>
      </c>
      <c r="I7" s="553">
        <v>54430146</v>
      </c>
      <c r="J7" s="38"/>
      <c r="K7" s="38"/>
      <c r="L7" s="467" t="s">
        <v>1168</v>
      </c>
      <c r="M7" s="38">
        <v>84882.25</v>
      </c>
      <c r="N7" s="38">
        <v>0.75</v>
      </c>
    </row>
    <row r="8" spans="1:42" x14ac:dyDescent="0.3">
      <c r="B8" s="467" t="s">
        <v>1117</v>
      </c>
      <c r="C8" s="553">
        <v>6935065</v>
      </c>
      <c r="E8" s="467" t="s">
        <v>1163</v>
      </c>
      <c r="F8" s="553">
        <v>39699855</v>
      </c>
      <c r="G8" s="38"/>
      <c r="H8" s="467" t="s">
        <v>1169</v>
      </c>
      <c r="I8" s="553">
        <v>48623099</v>
      </c>
      <c r="J8" s="38"/>
      <c r="K8" s="38"/>
      <c r="L8" s="467" t="s">
        <v>1170</v>
      </c>
      <c r="M8" s="38">
        <v>102040</v>
      </c>
      <c r="N8" s="38">
        <v>0</v>
      </c>
    </row>
    <row r="9" spans="1:42" x14ac:dyDescent="0.3">
      <c r="B9" s="467" t="s">
        <v>1118</v>
      </c>
      <c r="C9" s="553">
        <v>20636970</v>
      </c>
      <c r="E9" s="467" t="s">
        <v>1162</v>
      </c>
      <c r="F9" s="553">
        <v>44003929</v>
      </c>
      <c r="G9" s="38"/>
      <c r="H9" s="467" t="s">
        <v>1170</v>
      </c>
      <c r="I9" s="553">
        <v>3747098</v>
      </c>
      <c r="J9" s="38"/>
      <c r="K9" s="38"/>
      <c r="L9" s="467" t="s">
        <v>1169</v>
      </c>
      <c r="M9" s="38">
        <v>102194</v>
      </c>
      <c r="N9" s="38">
        <v>1</v>
      </c>
      <c r="AH9" s="44" t="s">
        <v>47</v>
      </c>
      <c r="AI9" s="44" t="s">
        <v>139</v>
      </c>
      <c r="AJ9" s="44" t="s">
        <v>886</v>
      </c>
      <c r="AK9" s="44" t="s">
        <v>1245</v>
      </c>
      <c r="AL9" s="44" t="s">
        <v>1251</v>
      </c>
      <c r="AM9" s="44" t="s">
        <v>1201</v>
      </c>
      <c r="AN9" s="44" t="s">
        <v>1252</v>
      </c>
      <c r="AO9" s="44" t="s">
        <v>21</v>
      </c>
      <c r="AP9" s="44" t="s">
        <v>883</v>
      </c>
    </row>
    <row r="10" spans="1:42" x14ac:dyDescent="0.3">
      <c r="B10" s="467" t="s">
        <v>1112</v>
      </c>
      <c r="C10" s="553">
        <v>106800343</v>
      </c>
      <c r="E10" s="467" t="s">
        <v>1112</v>
      </c>
      <c r="F10" s="553">
        <v>106800343</v>
      </c>
      <c r="G10" s="38"/>
      <c r="H10" s="467" t="s">
        <v>1112</v>
      </c>
      <c r="I10" s="553">
        <v>106800343</v>
      </c>
      <c r="J10" s="38"/>
      <c r="K10" s="38"/>
      <c r="L10" s="467" t="s">
        <v>1112</v>
      </c>
      <c r="M10" s="38">
        <v>90627.166666666672</v>
      </c>
      <c r="N10" s="38">
        <v>0.66666666666666663</v>
      </c>
      <c r="AH10" s="44"/>
      <c r="AI10" s="44" t="s">
        <v>1162</v>
      </c>
      <c r="AJ10" s="551" t="str">
        <f>IF(ISBLANK(Table_NguonHang[[#This Row],[SKU]]),Table_NguonHang[[#This Row],[Nguyên liệu]],Table_NguonHang[[#This Row],[SKU]])</f>
        <v>NL2</v>
      </c>
      <c r="AK10" s="44" t="s">
        <v>1170</v>
      </c>
      <c r="AL10" s="554" cm="1">
        <f t="array" ref="AL10">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69159.371428571423</v>
      </c>
      <c r="AM10"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0" s="114">
        <v>200</v>
      </c>
      <c r="AO10" s="554">
        <f>Table_NguonHang[[#This Row],[Lượng đặt]]*Table_NguonHang[[#This Row],[Giá trung bình]]</f>
        <v>13831874.285714285</v>
      </c>
      <c r="AP10" s="44"/>
    </row>
    <row r="11" spans="1:42" x14ac:dyDescent="0.3">
      <c r="B11" s="38"/>
      <c r="C11" s="38"/>
      <c r="E11" s="38"/>
      <c r="F11" s="38"/>
      <c r="G11" s="38"/>
      <c r="H11" s="38"/>
      <c r="I11" s="38"/>
      <c r="J11" s="38"/>
      <c r="K11" s="38"/>
      <c r="L11" s="38"/>
      <c r="M11" s="38"/>
      <c r="N11" s="38"/>
      <c r="AH11" s="44"/>
      <c r="AI11" s="44" t="s">
        <v>1162</v>
      </c>
      <c r="AJ11" s="551" t="str">
        <f>IF(ISBLANK(Table_NguonHang[[#This Row],[SKU]]),Table_NguonHang[[#This Row],[Nguyên liệu]],Table_NguonHang[[#This Row],[SKU]])</f>
        <v>NL2</v>
      </c>
      <c r="AK11" s="44" t="s">
        <v>1169</v>
      </c>
      <c r="AL11" s="554" cm="1">
        <f t="array" ref="AL1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124550.39622641509</v>
      </c>
      <c r="AM11"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1" s="114">
        <v>65</v>
      </c>
      <c r="AO11" s="554">
        <f>Table_NguonHang[[#This Row],[Lượng đặt]]*Table_NguonHang[[#This Row],[Giá trung bình]]</f>
        <v>8095775.7547169812</v>
      </c>
      <c r="AP11" s="44"/>
    </row>
    <row r="12" spans="1:42" x14ac:dyDescent="0.3">
      <c r="B12" s="38"/>
      <c r="C12" s="38"/>
      <c r="E12" s="38"/>
      <c r="F12" s="38"/>
      <c r="G12" s="38"/>
      <c r="H12" s="38"/>
      <c r="I12" s="38"/>
      <c r="J12" s="38"/>
      <c r="K12" s="38"/>
      <c r="L12" s="38"/>
      <c r="M12" s="38"/>
      <c r="N12" s="38"/>
      <c r="AH12" s="44"/>
      <c r="AI12" s="44" t="s">
        <v>1163</v>
      </c>
      <c r="AJ12" s="551" t="str">
        <f>IF(ISBLANK(Table_NguonHang[[#This Row],[SKU]]),Table_NguonHang[[#This Row],[Nguyên liệu]],Table_NguonHang[[#This Row],[SKU]])</f>
        <v>NL1</v>
      </c>
      <c r="AK12" s="44" t="s">
        <v>1168</v>
      </c>
      <c r="AL12" s="554" cm="1">
        <f t="array" ref="AL12">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63209</v>
      </c>
      <c r="AM12"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746.89799240368961</v>
      </c>
      <c r="AN12" s="114">
        <v>747</v>
      </c>
      <c r="AO12" s="554">
        <f>Table_NguonHang[[#This Row],[Lượng đặt]]*Table_NguonHang[[#This Row],[Giá trung bình]]</f>
        <v>47217123</v>
      </c>
      <c r="AP12" s="44"/>
    </row>
    <row r="13" spans="1:42" x14ac:dyDescent="0.3">
      <c r="B13" s="38"/>
      <c r="C13" s="38"/>
      <c r="E13" s="38"/>
      <c r="F13" s="38"/>
      <c r="G13" s="38"/>
      <c r="H13" s="38"/>
      <c r="I13" s="38"/>
      <c r="J13" s="38"/>
      <c r="K13" s="38"/>
      <c r="L13" s="38"/>
      <c r="M13" s="38"/>
      <c r="N13" s="38"/>
      <c r="AH13" s="44" t="s">
        <v>1159</v>
      </c>
      <c r="AI13" s="44"/>
      <c r="AJ13" s="551" t="str">
        <f>IF(ISBLANK(Table_NguonHang[[#This Row],[SKU]]),Table_NguonHang[[#This Row],[Nguyên liệu]],Table_NguonHang[[#This Row],[SKU]])</f>
        <v>HH1</v>
      </c>
      <c r="AK13" s="44" t="s">
        <v>1168</v>
      </c>
      <c r="AL13" s="554" cm="1">
        <f t="array" ref="AL13">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81857.659292035401</v>
      </c>
      <c r="AM13" s="554">
        <f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4.6108695652173912</v>
      </c>
      <c r="AN13" s="114">
        <v>5</v>
      </c>
      <c r="AO13" s="554">
        <f>Table_NguonHang[[#This Row],[Lượng đặt]]*Table_NguonHang[[#This Row],[Giá trung bình]]</f>
        <v>409288.29646017699</v>
      </c>
      <c r="AP13" s="44"/>
    </row>
    <row r="14" spans="1:42" x14ac:dyDescent="0.3">
      <c r="B14" s="38"/>
      <c r="C14" s="38"/>
      <c r="E14" s="38"/>
      <c r="F14" s="38"/>
      <c r="G14" s="38"/>
      <c r="H14" s="38"/>
      <c r="I14" s="38"/>
      <c r="J14" s="38"/>
      <c r="K14" s="38"/>
      <c r="L14" s="38"/>
      <c r="M14" s="38"/>
      <c r="N14" s="38"/>
    </row>
    <row r="15" spans="1:42" x14ac:dyDescent="0.3">
      <c r="B15" s="38"/>
      <c r="C15" s="38"/>
      <c r="E15" s="38"/>
      <c r="F15" s="38"/>
      <c r="G15" s="38"/>
      <c r="H15" s="38"/>
      <c r="I15" s="38"/>
      <c r="J15" s="38"/>
      <c r="K15" s="38"/>
      <c r="L15" s="38"/>
      <c r="M15" s="38"/>
      <c r="N15" s="38"/>
    </row>
    <row r="16" spans="1:42" x14ac:dyDescent="0.3">
      <c r="B16" s="38"/>
      <c r="C16" s="38"/>
      <c r="E16" s="38"/>
      <c r="F16" s="38"/>
      <c r="G16" s="38"/>
      <c r="H16" s="38"/>
      <c r="I16" s="38"/>
      <c r="J16" s="38"/>
      <c r="K16" s="38"/>
      <c r="L16" s="38"/>
      <c r="M16" s="38"/>
      <c r="N16" s="38"/>
    </row>
    <row r="17" spans="2:14" x14ac:dyDescent="0.3">
      <c r="B17" s="38"/>
      <c r="C17" s="38"/>
      <c r="E17" s="38"/>
      <c r="F17" s="38"/>
      <c r="G17" s="38"/>
      <c r="H17" s="38"/>
      <c r="I17" s="38"/>
      <c r="J17" s="38"/>
      <c r="K17" s="38"/>
      <c r="L17" s="38"/>
      <c r="M17" s="38"/>
      <c r="N17" s="38"/>
    </row>
    <row r="18" spans="2:14" x14ac:dyDescent="0.3">
      <c r="B18" s="38"/>
      <c r="C18" s="38"/>
      <c r="E18" s="38"/>
      <c r="F18" s="38"/>
      <c r="G18" s="38"/>
      <c r="H18" s="38"/>
      <c r="I18" s="38"/>
      <c r="J18" s="38"/>
      <c r="K18" s="38"/>
      <c r="L18" s="38"/>
      <c r="M18" s="38"/>
      <c r="N18" s="38"/>
    </row>
    <row r="19" spans="2:14" x14ac:dyDescent="0.3">
      <c r="B19" s="38"/>
      <c r="C19" s="38"/>
      <c r="E19" s="38"/>
      <c r="F19" s="38"/>
      <c r="G19" s="38"/>
      <c r="H19" s="38"/>
      <c r="I19" s="38"/>
      <c r="J19" s="38"/>
      <c r="K19" s="38"/>
      <c r="L19" s="38"/>
      <c r="M19" s="38"/>
      <c r="N19" s="38"/>
    </row>
    <row r="20" spans="2:14" x14ac:dyDescent="0.3">
      <c r="B20" s="38"/>
      <c r="C20" s="38"/>
      <c r="E20" s="38"/>
      <c r="F20" s="38"/>
      <c r="G20" s="38"/>
      <c r="H20" s="38"/>
      <c r="I20" s="38"/>
      <c r="J20" s="38"/>
      <c r="K20" s="38"/>
      <c r="L20" s="38"/>
      <c r="M20" s="38"/>
      <c r="N20" s="38"/>
    </row>
    <row r="21" spans="2:14" x14ac:dyDescent="0.3">
      <c r="B21" s="38"/>
      <c r="C21" s="38"/>
      <c r="E21" s="38"/>
      <c r="F21" s="38"/>
      <c r="G21" s="38"/>
      <c r="H21" s="38"/>
      <c r="I21" s="38"/>
      <c r="J21" s="38"/>
      <c r="K21" s="38"/>
      <c r="L21" s="38"/>
      <c r="M21" s="38"/>
      <c r="N21" s="38"/>
    </row>
    <row r="22" spans="2:14" x14ac:dyDescent="0.3">
      <c r="B22" s="38"/>
      <c r="C22" s="38"/>
      <c r="E22" s="38"/>
      <c r="F22" s="38"/>
      <c r="G22" s="38"/>
      <c r="H22" s="38"/>
      <c r="I22" s="38"/>
      <c r="J22" s="38"/>
      <c r="K22" s="38"/>
      <c r="L22" s="38"/>
      <c r="M22" s="38"/>
      <c r="N22" s="38"/>
    </row>
    <row r="23" spans="2:14" x14ac:dyDescent="0.3">
      <c r="B23" s="38"/>
      <c r="C23" s="38"/>
      <c r="E23" s="38"/>
      <c r="F23" s="38"/>
      <c r="G23" s="38"/>
      <c r="H23" s="38"/>
      <c r="I23" s="38"/>
      <c r="J23" s="38"/>
      <c r="K23" s="38"/>
      <c r="L23" s="38"/>
      <c r="M23" s="38"/>
      <c r="N23" s="38"/>
    </row>
    <row r="24" spans="2:14" x14ac:dyDescent="0.3">
      <c r="B24" s="38"/>
      <c r="C24" s="38"/>
    </row>
    <row r="25" spans="2:14" x14ac:dyDescent="0.3">
      <c r="B25" s="38"/>
      <c r="C25" s="38"/>
    </row>
    <row r="26" spans="2:14" x14ac:dyDescent="0.3">
      <c r="B26" s="38"/>
      <c r="C26" s="38"/>
    </row>
    <row r="27" spans="2:14" x14ac:dyDescent="0.3">
      <c r="B27" s="38"/>
      <c r="C27" s="38"/>
    </row>
    <row r="28" spans="2:14" x14ac:dyDescent="0.3">
      <c r="B28" s="38"/>
      <c r="C28" s="38"/>
    </row>
    <row r="29" spans="2:14" x14ac:dyDescent="0.3">
      <c r="B29" s="38"/>
      <c r="C29" s="38"/>
    </row>
    <row r="30" spans="2:14" x14ac:dyDescent="0.3">
      <c r="B30" s="38"/>
      <c r="C30" s="38"/>
    </row>
    <row r="31" spans="2:14" x14ac:dyDescent="0.3">
      <c r="B31" s="38"/>
      <c r="C31" s="38"/>
    </row>
    <row r="32" spans="2:14" x14ac:dyDescent="0.3">
      <c r="B32" s="38"/>
      <c r="C32" s="38"/>
    </row>
    <row r="33" spans="2:3" x14ac:dyDescent="0.3">
      <c r="B33" s="38"/>
      <c r="C33" s="38"/>
    </row>
    <row r="34" spans="2:3" x14ac:dyDescent="0.3">
      <c r="B34" s="38"/>
      <c r="C34" s="38"/>
    </row>
    <row r="35" spans="2:3" x14ac:dyDescent="0.3">
      <c r="B35" s="38"/>
      <c r="C35" s="38"/>
    </row>
    <row r="36" spans="2:3" x14ac:dyDescent="0.3">
      <c r="B36" s="38"/>
      <c r="C36" s="38"/>
    </row>
    <row r="37" spans="2:3" x14ac:dyDescent="0.3">
      <c r="B37" s="38"/>
      <c r="C37" s="38"/>
    </row>
    <row r="38" spans="2:3" x14ac:dyDescent="0.3">
      <c r="B38" s="38"/>
      <c r="C38" s="38"/>
    </row>
    <row r="39" spans="2:3" x14ac:dyDescent="0.3">
      <c r="B39" s="38"/>
      <c r="C39" s="38"/>
    </row>
    <row r="40" spans="2:3" x14ac:dyDescent="0.3">
      <c r="B40" s="38"/>
      <c r="C40" s="38"/>
    </row>
    <row r="41" spans="2:3" x14ac:dyDescent="0.3">
      <c r="B41" s="38"/>
      <c r="C41" s="38"/>
    </row>
    <row r="42" spans="2:3" x14ac:dyDescent="0.3">
      <c r="B42" s="38"/>
      <c r="C42" s="38"/>
    </row>
    <row r="43" spans="2:3" x14ac:dyDescent="0.3">
      <c r="B43" s="38"/>
      <c r="C43" s="38"/>
    </row>
    <row r="44" spans="2:3" x14ac:dyDescent="0.3">
      <c r="B44" s="38"/>
      <c r="C44" s="38"/>
    </row>
    <row r="45" spans="2:3" x14ac:dyDescent="0.3">
      <c r="B45" s="38"/>
      <c r="C45" s="38"/>
    </row>
    <row r="46" spans="2:3" x14ac:dyDescent="0.3">
      <c r="B46" s="38"/>
      <c r="C46" s="38"/>
    </row>
    <row r="47" spans="2:3" x14ac:dyDescent="0.3">
      <c r="B47" s="38"/>
      <c r="C47" s="38"/>
    </row>
    <row r="48" spans="2:3" x14ac:dyDescent="0.3">
      <c r="B48" s="38"/>
      <c r="C48" s="38"/>
    </row>
    <row r="49" spans="2:3" x14ac:dyDescent="0.3">
      <c r="B49" s="38"/>
      <c r="C49" s="38"/>
    </row>
    <row r="50" spans="2:3" x14ac:dyDescent="0.3">
      <c r="B50" s="38"/>
      <c r="C50" s="38"/>
    </row>
    <row r="51" spans="2:3" x14ac:dyDescent="0.3">
      <c r="B51" s="38"/>
      <c r="C51" s="38"/>
    </row>
    <row r="52" spans="2:3" x14ac:dyDescent="0.3">
      <c r="B52" s="38"/>
      <c r="C52" s="38"/>
    </row>
    <row r="53" spans="2:3" x14ac:dyDescent="0.3">
      <c r="B53" s="38"/>
      <c r="C53" s="38"/>
    </row>
    <row r="54" spans="2:3" x14ac:dyDescent="0.3">
      <c r="B54" s="38"/>
      <c r="C54" s="38"/>
    </row>
    <row r="55" spans="2:3" x14ac:dyDescent="0.3">
      <c r="B55" s="38"/>
      <c r="C55" s="38"/>
    </row>
    <row r="56" spans="2:3" x14ac:dyDescent="0.3">
      <c r="B56" s="38"/>
      <c r="C56" s="38"/>
    </row>
    <row r="57" spans="2:3" x14ac:dyDescent="0.3">
      <c r="B57" s="38"/>
      <c r="C57" s="38"/>
    </row>
  </sheetData>
  <sheetProtection algorithmName="SHA-512" hashValue="3K/QJVwYwl+VpV0iLHXImjQG5I1YkH9PZMAkkdoscF1b/Xtumt7ZTIEdAv7wXDz4tQghT9Q8Zmny2YjdysP5fQ==" saltValue="HW85si8fK3/LcAViu5YZxQ==" spinCount="100000" sheet="1" scenarios="1" formatCells="0" formatColumns="0" formatRows="0" insertColumns="0" insertRows="0" deleteColumns="0" deleteRows="0" sort="0" autoFilter="0" pivotTables="0"/>
  <dataValidations count="3">
    <dataValidation type="list" allowBlank="1" showInputMessage="1" showErrorMessage="1" sqref="AH10:AH13" xr:uid="{5CED1BF1-912C-437A-824B-3041B9E56B35}">
      <formula1>Ma_SKU</formula1>
    </dataValidation>
    <dataValidation type="list" allowBlank="1" showInputMessage="1" showErrorMessage="1" sqref="AI10:AI13" xr:uid="{1FD2805A-227C-47E3-9830-8C1F77B2A692}">
      <formula1>MaNguyenLieu</formula1>
    </dataValidation>
    <dataValidation type="list" allowBlank="1" showInputMessage="1" showErrorMessage="1" sqref="AK10:AK13" xr:uid="{B295EDF3-807A-459F-B327-3A6B5430E759}">
      <formula1>MaNhaCungCap</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32099" r:id="rId7" name="Button 3">
              <controlPr defaultSize="0" print="0" autoFill="0" autoPict="0" macro="[0]!AddRow">
                <anchor moveWithCells="1">
                  <from>
                    <xdr:col>33</xdr:col>
                    <xdr:colOff>28575</xdr:colOff>
                    <xdr:row>6</xdr:row>
                    <xdr:rowOff>95250</xdr:rowOff>
                  </from>
                  <to>
                    <xdr:col>33</xdr:col>
                    <xdr:colOff>504825</xdr:colOff>
                    <xdr:row>7</xdr:row>
                    <xdr:rowOff>142875</xdr:rowOff>
                  </to>
                </anchor>
              </controlPr>
            </control>
          </mc:Choice>
        </mc:AlternateContent>
        <mc:AlternateContent xmlns:mc="http://schemas.openxmlformats.org/markup-compatibility/2006">
          <mc:Choice Requires="x14">
            <control shapeId="132100" r:id="rId8" name="Button 4">
              <controlPr defaultSize="0" print="0" autoFill="0" autoPict="0" macro="[0]!DeleteRow">
                <anchor moveWithCells="1">
                  <from>
                    <xdr:col>33</xdr:col>
                    <xdr:colOff>542925</xdr:colOff>
                    <xdr:row>6</xdr:row>
                    <xdr:rowOff>95250</xdr:rowOff>
                  </from>
                  <to>
                    <xdr:col>34</xdr:col>
                    <xdr:colOff>333375</xdr:colOff>
                    <xdr:row>7</xdr:row>
                    <xdr:rowOff>142875</xdr:rowOff>
                  </to>
                </anchor>
              </controlPr>
            </control>
          </mc:Choice>
        </mc:AlternateContent>
        <mc:AlternateContent xmlns:mc="http://schemas.openxmlformats.org/markup-compatibility/2006">
          <mc:Choice Requires="x14">
            <control shapeId="132101" r:id="rId9" name="Button 5">
              <controlPr defaultSize="0" print="0" autoFill="0" autoPict="0" macro="[0]!AddColumn">
                <anchor moveWithCells="1">
                  <from>
                    <xdr:col>40</xdr:col>
                    <xdr:colOff>666750</xdr:colOff>
                    <xdr:row>6</xdr:row>
                    <xdr:rowOff>66675</xdr:rowOff>
                  </from>
                  <to>
                    <xdr:col>42</xdr:col>
                    <xdr:colOff>66675</xdr:colOff>
                    <xdr:row>7</xdr:row>
                    <xdr:rowOff>114300</xdr:rowOff>
                  </to>
                </anchor>
              </controlPr>
            </control>
          </mc:Choice>
        </mc:AlternateContent>
        <mc:AlternateContent xmlns:mc="http://schemas.openxmlformats.org/markup-compatibility/2006">
          <mc:Choice Requires="x14">
            <control shapeId="132102" r:id="rId10" name="Button 6">
              <controlPr defaultSize="0" print="0" autoFill="0" autoPict="0" macro="[0]!DeleteColumn">
                <anchor moveWithCells="1">
                  <from>
                    <xdr:col>42</xdr:col>
                    <xdr:colOff>104775</xdr:colOff>
                    <xdr:row>6</xdr:row>
                    <xdr:rowOff>66675</xdr:rowOff>
                  </from>
                  <to>
                    <xdr:col>42</xdr:col>
                    <xdr:colOff>647700</xdr:colOff>
                    <xdr:row>7</xdr:row>
                    <xdr:rowOff>114300</xdr:rowOff>
                  </to>
                </anchor>
              </controlPr>
            </control>
          </mc:Choice>
        </mc:AlternateContent>
        <mc:AlternateContent xmlns:mc="http://schemas.openxmlformats.org/markup-compatibility/2006">
          <mc:Choice Requires="x14">
            <control shapeId="132103" r:id="rId11" name="Button 7">
              <controlPr defaultSize="0" print="0" autoFill="0" autoPict="0" macro="[0]!RefreshTables">
                <anchor moveWithCells="1">
                  <from>
                    <xdr:col>31</xdr:col>
                    <xdr:colOff>495300</xdr:colOff>
                    <xdr:row>0</xdr:row>
                    <xdr:rowOff>180975</xdr:rowOff>
                  </from>
                  <to>
                    <xdr:col>32</xdr:col>
                    <xdr:colOff>352425</xdr:colOff>
                    <xdr:row>2</xdr:row>
                    <xdr:rowOff>19050</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7" id="{97EA1C2C-0C26-4FF9-81F7-33DCEDBEF5A2}">
            <xm:f>Security!$A$1="NO VBA"</xm:f>
            <x14:dxf>
              <font>
                <color theme="0"/>
              </font>
              <border>
                <vertical/>
                <horizontal/>
              </border>
            </x14:dxf>
          </x14:cfRule>
          <xm:sqref>B58:C1048576 D9:D1048576 B24:B57 E24:N1048576</xm:sqref>
        </x14:conditionalFormatting>
        <x14:conditionalFormatting xmlns:xm="http://schemas.microsoft.com/office/excel/2006/main">
          <x14:cfRule type="expression" priority="4" id="{C643B3F0-4C89-4F41-A6CC-B7EEB7DD07C5}">
            <xm:f>Security!$A$1="NO VBA"</xm:f>
            <x14:dxf>
              <font>
                <color theme="0"/>
              </font>
              <border>
                <vertical/>
                <horizontal/>
              </border>
            </x14:dxf>
          </x14:cfRule>
          <xm:sqref>A9:A1048576</xm:sqref>
        </x14:conditionalFormatting>
        <x14:conditionalFormatting xmlns:xm="http://schemas.microsoft.com/office/excel/2006/main">
          <x14:cfRule type="expression" priority="3" id="{AB8319A1-40C2-4FCB-BC32-424D1695753E}">
            <xm:f>Security!$A$1="NO VBA"</xm:f>
            <x14:dxf>
              <font>
                <color theme="0"/>
              </font>
              <border>
                <vertical/>
                <horizontal/>
              </border>
            </x14:dxf>
          </x14:cfRule>
          <xm:sqref>P9:P1048576</xm:sqref>
        </x14:conditionalFormatting>
        <x14:conditionalFormatting xmlns:xm="http://schemas.microsoft.com/office/excel/2006/main">
          <x14:cfRule type="expression" priority="2" id="{11CA7503-4E07-49BA-955E-9DAE7D9BEDAF}">
            <xm:f>Security!$A$1="NO VBA"</xm:f>
            <x14:dxf>
              <font>
                <color theme="0"/>
              </font>
              <border>
                <vertical/>
                <horizontal/>
              </border>
            </x14:dxf>
          </x14:cfRule>
          <xm:sqref>O9:O1048576</xm:sqref>
        </x14:conditionalFormatting>
        <x14:conditionalFormatting xmlns:xm="http://schemas.microsoft.com/office/excel/2006/main">
          <x14:cfRule type="expression" priority="1" id="{0C5C772C-25B6-4778-A6BD-C473D1B3509E}">
            <xm:f>Security!$A$1="NO VBA"</xm:f>
            <x14:dxf>
              <font>
                <color theme="0"/>
              </font>
              <border>
                <vertical/>
                <horizontal/>
              </border>
            </x14:dxf>
          </x14:cfRule>
          <xm:sqref>AK6:AM6</xm:sqref>
        </x14:conditionalFormatting>
      </x14:conditionalFormattings>
    </ext>
    <ext xmlns:x15="http://schemas.microsoft.com/office/spreadsheetml/2010/11/main" uri="{7E03D99C-DC04-49d9-9315-930204A7B6E9}">
      <x15:timelineRefs>
        <x15:timelineRef r:id="rId13"/>
      </x15:timelineRef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sheetPr>
  <dimension ref="B1:Y101"/>
  <sheetViews>
    <sheetView showGridLines="0" topLeftCell="R16" workbookViewId="0">
      <selection activeCell="V22" sqref="V22"/>
    </sheetView>
  </sheetViews>
  <sheetFormatPr defaultRowHeight="18" customHeight="1" outlineLevelRow="1" outlineLevelCol="2" x14ac:dyDescent="0.3"/>
  <cols>
    <col min="1" max="1" width="1.25" style="7" customWidth="1"/>
    <col min="2" max="2" width="17.5" style="7" hidden="1" customWidth="1" outlineLevel="1"/>
    <col min="3" max="3" width="16.25" style="7" hidden="1" customWidth="1" outlineLevel="1"/>
    <col min="4" max="4" width="11.625" style="7" hidden="1" customWidth="1" outlineLevel="1"/>
    <col min="5" max="5" width="11.25" style="7" hidden="1" customWidth="1" outlineLevel="1"/>
    <col min="6" max="10" width="1.25" style="7" hidden="1" customWidth="1" outlineLevel="1"/>
    <col min="11" max="11" width="1.25" style="7" customWidth="1" collapsed="1"/>
    <col min="12" max="12" width="9.625" style="7" customWidth="1"/>
    <col min="13" max="13" width="10" style="7" bestFit="1" customWidth="1"/>
    <col min="14" max="14" width="10" style="54" customWidth="1" collapsed="1"/>
    <col min="15" max="15" width="9.875" style="54" customWidth="1"/>
    <col min="16" max="16" width="18.125" style="7" customWidth="1"/>
    <col min="17" max="17" width="6.75" style="7" bestFit="1" customWidth="1"/>
    <col min="18" max="18" width="2.125" style="7" customWidth="1"/>
    <col min="19" max="19" width="16.5" style="7" customWidth="1"/>
    <col min="20" max="20" width="12.75" style="7" customWidth="1"/>
    <col min="21" max="21" width="16.625" style="7" customWidth="1" collapsed="1"/>
    <col min="22" max="22" width="16.25" style="7" customWidth="1" outlineLevel="2"/>
    <col min="23" max="23" width="14.125" style="7" customWidth="1" outlineLevel="2"/>
    <col min="24" max="24" width="6.75" style="7" customWidth="1"/>
    <col min="25" max="25" width="9" style="38"/>
    <col min="26" max="16384" width="9" style="7"/>
  </cols>
  <sheetData>
    <row r="1" spans="13:22" ht="18" customHeight="1" x14ac:dyDescent="0.3">
      <c r="M1" s="54" t="s">
        <v>582</v>
      </c>
      <c r="N1" s="426"/>
      <c r="O1" s="7"/>
      <c r="P1" s="424">
        <f>SUM(Table_TonKho_DuPhong[[#All],[Giá trị dự phòng]])</f>
        <v>0</v>
      </c>
      <c r="Q1" s="424"/>
      <c r="R1" s="15"/>
      <c r="S1" s="15"/>
      <c r="T1" s="15"/>
      <c r="U1" s="15"/>
      <c r="V1" s="425" cm="1">
        <f t="array" ref="V1" xml:space="preserve">
IF(ISBLANK(TonKho_Kho),
IFERROR(
SUM(_xlfn._xlws.FILTER(Table_Main[Giá trị hàng nhập],
(Table_Main[Mã SKU] = TonKho_MaHang) *
(NOT(ISBLANK(Table_Main[Mã SKU]))) *
(Table_Main[Mã SKU] &lt;&gt; "") *
(Table_Main[Loại] = "Xuất") *
(Table_Main[Ngày xuất nhập] &lt; TonKho_NgayTheoDoi)
)),0)
+IFERROR(
SUM(_xlfn._xlws.FILTER(Table_Main[Giá trị hàng nhập],
(Table_Main[Mã Nguyên liệu] = TonKho_MaHang) *
(NOT(ISBLANK(Table_Main[Mã Nguyên liệu]))) *
(Table_Main[Mã Nguyên liệu] &lt;&gt; "") *
(Table_Main[Loại] = "Xuất") *
(Table_Main[Ngày xuất nhập] &lt; TonKho_NgayTheoDoi)
)),0),
IFERROR(
SUM(_xlfn._xlws.FILTER(Table_Main[Giá trị hàng nhập],
(Table_Main[Mã SKU] = TonKho_MaHang) *
(NOT(ISBLANK(Table_Main[Mã SKU]))) *
(Table_Main[Mã SKU] &lt;&gt; "") *
(Table_Main[Loại] = "Xuất") *
(Table_Main[Kho] = TonKho_Kho) *
(Table_Main[Ngày xuất nhập] &lt; TonKho_NgayTheoDoi)
)),0)
+IFERROR(
SUM(_xlfn._xlws.FILTER(Table_Main[Giá trị hàng nhập],
(Table_Main[Mã Nguyên liệu] = TonKho_MaHang) *
(NOT(ISBLANK(Table_Main[Mã Nguyên liệu]))) *
(Table_Main[Mã Nguyên liệu] &lt;&gt; "") *
(Table_Main[Loại] = "Xuất") *
(Table_Main[Kho] = TonKho_Kho) *
(Table_Main[Ngày xuất nhập] &lt; TonKho_NgayTheoDoi)
)),0))</f>
        <v>0</v>
      </c>
    </row>
    <row r="2" spans="13:22" ht="18" customHeight="1" x14ac:dyDescent="0.3">
      <c r="M2" s="54" t="s">
        <v>564</v>
      </c>
      <c r="N2" s="220"/>
      <c r="O2" s="220"/>
      <c r="Q2" s="15"/>
      <c r="R2" s="15"/>
      <c r="S2" s="15"/>
      <c r="T2" s="15"/>
      <c r="U2" s="15"/>
      <c r="V2" s="425" cm="1">
        <f t="array" ref="V2">IFERROR(
IF(
OR(
VLOOKUP(TonKho_MaHang,Table_NguyenLieu[[Mã Nguyên liệu]:[Chức năng]],Sheet_NguyenLieu!$E$1,0) = "Sản xuất",
VLOOKUP(TonKho_MaHang,Table_NguyenLieu[[Mã Nguyên liệu]:[Chức năng]],Sheet_NguyenLieu!$E$1,0) = "Nguyên liệu"),
TonKho_GTXuat*
SUM(_xlfn._xlws.FILTER(Table_TonKho[SL xuất],
(NOT(ISBLANK(Table_TonKho[Sản xuất])))
)) /
SUM(Table_TonKho[Sản xuất]),
TonKho_GTXuat),
TonKho_GTXuat)</f>
        <v>0</v>
      </c>
    </row>
    <row r="3" spans="13:22" ht="18" customHeight="1" x14ac:dyDescent="0.3">
      <c r="M3" s="54" t="s">
        <v>583</v>
      </c>
      <c r="N3" s="220"/>
      <c r="O3" s="15" t="str" cm="1">
        <f t="array" ref="O3">IF(N2="SKU",
TRANSPOSE(Ma_SKU),
IF(N2="Nguyên liệu",
TRANSPOSE(MaNguyenLieu),""))</f>
        <v/>
      </c>
    </row>
    <row r="4" spans="13:22" ht="18" customHeight="1" x14ac:dyDescent="0.3">
      <c r="M4" s="54"/>
      <c r="O4" s="229"/>
    </row>
    <row r="5" spans="13:22" ht="18" customHeight="1" outlineLevel="1" x14ac:dyDescent="0.3">
      <c r="M5" s="54"/>
      <c r="O5" s="229"/>
    </row>
    <row r="6" spans="13:22" ht="18" customHeight="1" outlineLevel="1" x14ac:dyDescent="0.3">
      <c r="M6" s="54"/>
      <c r="O6" s="229"/>
    </row>
    <row r="7" spans="13:22" ht="18" customHeight="1" outlineLevel="1" x14ac:dyDescent="0.3">
      <c r="M7" s="54"/>
      <c r="O7" s="229"/>
    </row>
    <row r="8" spans="13:22" ht="18" customHeight="1" outlineLevel="1" x14ac:dyDescent="0.3">
      <c r="M8" s="54"/>
      <c r="O8" s="229"/>
    </row>
    <row r="9" spans="13:22" ht="18" customHeight="1" outlineLevel="1" x14ac:dyDescent="0.3">
      <c r="M9" s="54"/>
      <c r="O9" s="229"/>
    </row>
    <row r="10" spans="13:22" ht="18" customHeight="1" outlineLevel="1" x14ac:dyDescent="0.3">
      <c r="M10" s="54"/>
      <c r="O10" s="229"/>
    </row>
    <row r="11" spans="13:22" ht="18" customHeight="1" outlineLevel="1" x14ac:dyDescent="0.3">
      <c r="M11" s="54"/>
      <c r="O11" s="229"/>
    </row>
    <row r="12" spans="13:22" ht="18" customHeight="1" outlineLevel="1" x14ac:dyDescent="0.3">
      <c r="M12" s="54"/>
      <c r="O12" s="229"/>
    </row>
    <row r="13" spans="13:22" ht="18" customHeight="1" outlineLevel="1" x14ac:dyDescent="0.3">
      <c r="M13" s="54"/>
      <c r="O13" s="229"/>
    </row>
    <row r="14" spans="13:22" ht="18" customHeight="1" outlineLevel="1" x14ac:dyDescent="0.3">
      <c r="M14" s="54"/>
      <c r="O14" s="229"/>
    </row>
    <row r="15" spans="13:22" ht="18" customHeight="1" outlineLevel="1" x14ac:dyDescent="0.3">
      <c r="M15" s="54"/>
      <c r="O15" s="229"/>
    </row>
    <row r="16" spans="13:22" ht="18" customHeight="1" outlineLevel="1" x14ac:dyDescent="0.3">
      <c r="M16" s="54"/>
      <c r="O16" s="229"/>
    </row>
    <row r="17" spans="2:24" ht="18" customHeight="1" outlineLevel="1" x14ac:dyDescent="0.3">
      <c r="M17" s="54"/>
      <c r="O17" s="229"/>
    </row>
    <row r="18" spans="2:24" ht="18" customHeight="1" outlineLevel="1" x14ac:dyDescent="0.3">
      <c r="M18" s="54"/>
      <c r="O18" s="229"/>
    </row>
    <row r="19" spans="2:24" ht="18" customHeight="1" outlineLevel="1" x14ac:dyDescent="0.3">
      <c r="M19" s="54"/>
      <c r="O19" s="229"/>
    </row>
    <row r="20" spans="2:24" ht="18" customHeight="1" outlineLevel="1" x14ac:dyDescent="0.3">
      <c r="M20" s="54"/>
      <c r="O20" s="229"/>
    </row>
    <row r="21" spans="2:24" ht="16.5" x14ac:dyDescent="0.3">
      <c r="B21" s="97" t="s">
        <v>1204</v>
      </c>
      <c r="C21" s="97" t="s">
        <v>1166</v>
      </c>
      <c r="D21"/>
      <c r="E21"/>
      <c r="M21" s="7" t="s">
        <v>584</v>
      </c>
      <c r="N21" s="7" t="s">
        <v>585</v>
      </c>
      <c r="O21" s="7" t="s">
        <v>547</v>
      </c>
      <c r="P21" s="7" t="s">
        <v>1254</v>
      </c>
      <c r="Q21" s="7" t="s">
        <v>883</v>
      </c>
      <c r="U21" s="7" t="s">
        <v>586</v>
      </c>
      <c r="V21" s="7" t="s">
        <v>1255</v>
      </c>
      <c r="W21" s="7" t="s">
        <v>587</v>
      </c>
      <c r="X21" s="7" t="s">
        <v>883</v>
      </c>
    </row>
    <row r="22" spans="2:24" ht="16.5" x14ac:dyDescent="0.3">
      <c r="B22" s="97" t="s">
        <v>23</v>
      </c>
      <c r="C22" s="511" t="s">
        <v>1159</v>
      </c>
      <c r="D22" s="511" t="s">
        <v>1163</v>
      </c>
      <c r="E22" s="511" t="s">
        <v>1162</v>
      </c>
      <c r="M22" s="15"/>
      <c r="N22" s="15"/>
      <c r="O22" s="31"/>
      <c r="P22" s="18" cm="1">
        <f t="array" ref="P22"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f>
        <v>0</v>
      </c>
      <c r="S22" s="7" t="str" cm="1">
        <f t="array" ref="S22:S24">_xlfn.SORTBY(Table_SKU[Mã SKU], Table_SKU[Tồn kho],-1)</f>
        <v>HH1</v>
      </c>
      <c r="T22" s="7" t="e" cm="1" vm="1">
        <f t="array" ref="T22">_xlfn.UNIQUE(
IF( ISBLANK(TonKho_Kho),
IFERROR(
_xlfn._xlws.FILTER(Table_Main[Ngày xuất nhập],
(Table_Main[Mã SKU] = TonKho_MaHang) *
(Table_Main[Loại] = "Nhập") *
(Table_Main[Ngày xuất nhập] &lt; TonKho_NgayTheoDoi)
),
_xlfn._xlws.FILTER(Table_Main[Ngày xuất nhập],
(Table_Main[Mã Nguyên liệu] = TonKho_MaHang) *
(Table_Main[Loại] = "Nhập") *
(Table_Main[Ngày xuất nhập] &lt; TonKho_NgayTheoDoi)
)),
IFERROR(
_xlfn._xlws.FILTER(Table_Main[Ngày xuất nhập],
(Table_Main[Mã SKU] = TonKho_MaHang) *
(Table_Main[Loại] = "Nhập") *
(Table_Main[Kho] = TonKho_Kho) *
(Table_Main[Ngày xuất nhập] &lt; TonKho_NgayTheoDoi)
),
_xlfn._xlws.FILTER(Table_Main[Ngày xuất nhập],
(Table_Main[Mã Nguyên liệu] = TonKho_MaHang) *
(Table_Main[Loại] = "Nhập") *
(Table_Main[Kho] = TonKho_Kho) *
(Table_Main[Ngày xuất nhập] &lt; TonKho_NgayTheoDoi)
))))</f>
        <v>#VALUE!</v>
      </c>
      <c r="U22" s="340"/>
      <c r="V22" s="18" cm="1">
        <f t="array" ref="V22"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f>
        <v>0</v>
      </c>
      <c r="W22" s="18">
        <f>IF(Table_TonKho_TuoiKho[[#This Row],[Giá trị tồn]] = 0,0,
TonKho_NgayTheoDoi -Table_TonKho_TuoiKho[[#This Row],[Ngày nhập]])</f>
        <v>0</v>
      </c>
      <c r="X22" s="212"/>
    </row>
    <row r="23" spans="2:24" ht="16.5" x14ac:dyDescent="0.3">
      <c r="B23" s="526">
        <v>45717</v>
      </c>
      <c r="C23" s="511">
        <v>71284.637313432802</v>
      </c>
      <c r="D23" s="511">
        <v>5461230.0948885884</v>
      </c>
      <c r="E23" s="511">
        <v>719490.96854972269</v>
      </c>
      <c r="N23" s="7"/>
      <c r="O23" s="7"/>
      <c r="S23" s="7" t="str">
        <v>TP1</v>
      </c>
    </row>
    <row r="24" spans="2:24" ht="16.5" x14ac:dyDescent="0.3">
      <c r="B24" s="526">
        <v>45748</v>
      </c>
      <c r="C24" s="511"/>
      <c r="D24" s="511">
        <v>3878156.8210526318</v>
      </c>
      <c r="E24" s="511">
        <v>994140.11321242829</v>
      </c>
      <c r="N24" s="7"/>
      <c r="O24" s="7"/>
      <c r="S24" s="7" t="str">
        <v>TP2</v>
      </c>
    </row>
    <row r="25" spans="2:24" ht="16.5" x14ac:dyDescent="0.3">
      <c r="B25" s="526">
        <v>45778</v>
      </c>
      <c r="C25" s="511">
        <v>304294.31268656714</v>
      </c>
      <c r="D25" s="511">
        <v>1585928.3</v>
      </c>
      <c r="E25" s="511">
        <v>1830850.8074074076</v>
      </c>
    </row>
    <row r="26" spans="2:24" ht="16.5" x14ac:dyDescent="0.3">
      <c r="B26" s="526" t="s">
        <v>1112</v>
      </c>
      <c r="C26" s="511">
        <v>375578.94999999995</v>
      </c>
      <c r="D26" s="511">
        <v>10925315.215941221</v>
      </c>
      <c r="E26" s="511">
        <v>3544481.8891695584</v>
      </c>
      <c r="P26" s="44"/>
      <c r="Q26" s="44"/>
    </row>
    <row r="27" spans="2:24" ht="16.5" x14ac:dyDescent="0.3">
      <c r="B27"/>
      <c r="C27"/>
      <c r="D27"/>
      <c r="P27" s="44"/>
      <c r="Q27" s="44"/>
    </row>
    <row r="28" spans="2:24" ht="16.5" x14ac:dyDescent="0.3">
      <c r="B28"/>
      <c r="C28"/>
      <c r="D28"/>
      <c r="N28" s="7"/>
      <c r="O28" s="7"/>
      <c r="R28" s="44"/>
      <c r="S28" s="44"/>
      <c r="T28" s="44"/>
      <c r="U28" s="54"/>
    </row>
    <row r="29" spans="2:24" ht="16.5" x14ac:dyDescent="0.3">
      <c r="B29"/>
      <c r="C29"/>
      <c r="D29"/>
      <c r="N29" s="7"/>
      <c r="O29" s="7"/>
      <c r="U29" s="54"/>
    </row>
    <row r="30" spans="2:24" ht="16.5" x14ac:dyDescent="0.3">
      <c r="B30"/>
      <c r="C30"/>
      <c r="D30"/>
      <c r="N30" s="7"/>
      <c r="O30" s="7"/>
      <c r="U30" s="44"/>
    </row>
    <row r="31" spans="2:24" ht="16.5" x14ac:dyDescent="0.3">
      <c r="B31"/>
      <c r="C31"/>
      <c r="D31"/>
      <c r="N31" s="7"/>
      <c r="O31" s="7"/>
      <c r="P31" s="54"/>
      <c r="Q31" s="54"/>
      <c r="U31" s="44"/>
    </row>
    <row r="32" spans="2:24" ht="16.5" x14ac:dyDescent="0.3">
      <c r="B32"/>
      <c r="C32"/>
      <c r="D32"/>
      <c r="N32" s="7"/>
      <c r="O32" s="7"/>
      <c r="P32" s="54"/>
      <c r="Q32" s="54"/>
      <c r="R32" s="44"/>
      <c r="S32" s="44"/>
      <c r="T32" s="44"/>
      <c r="U32" s="44"/>
    </row>
    <row r="33" spans="2:22" ht="16.5" x14ac:dyDescent="0.3">
      <c r="B33"/>
      <c r="C33"/>
      <c r="D33"/>
      <c r="N33" s="7"/>
      <c r="O33" s="7"/>
      <c r="P33" s="54"/>
      <c r="Q33" s="54"/>
      <c r="R33" s="44"/>
      <c r="S33" s="44"/>
      <c r="T33" s="44"/>
      <c r="U33" s="44"/>
    </row>
    <row r="34" spans="2:22" ht="16.5" x14ac:dyDescent="0.3">
      <c r="B34"/>
      <c r="C34"/>
      <c r="D34"/>
      <c r="N34" s="7"/>
      <c r="O34" s="7"/>
      <c r="P34" s="54"/>
      <c r="Q34" s="54"/>
      <c r="R34" s="44"/>
      <c r="S34" s="44"/>
      <c r="T34" s="44"/>
      <c r="U34" s="44"/>
    </row>
    <row r="35" spans="2:22" ht="16.5" x14ac:dyDescent="0.3">
      <c r="B35"/>
      <c r="C35"/>
      <c r="D35"/>
      <c r="N35" s="7"/>
      <c r="O35" s="7"/>
      <c r="P35" s="54"/>
      <c r="Q35" s="54"/>
      <c r="R35" s="44"/>
      <c r="S35" s="44"/>
      <c r="T35" s="44"/>
      <c r="U35" s="44"/>
    </row>
    <row r="36" spans="2:22" ht="16.5" x14ac:dyDescent="0.3">
      <c r="B36"/>
      <c r="C36"/>
      <c r="D36"/>
      <c r="P36" s="44"/>
      <c r="Q36" s="44"/>
      <c r="R36" s="44"/>
      <c r="S36" s="44"/>
      <c r="T36" s="44"/>
      <c r="U36" s="44"/>
    </row>
    <row r="37" spans="2:22" ht="16.5" x14ac:dyDescent="0.3">
      <c r="B37"/>
      <c r="C37"/>
      <c r="D37"/>
      <c r="P37" s="44"/>
      <c r="Q37" s="44"/>
      <c r="R37" s="44"/>
      <c r="S37" s="44"/>
      <c r="T37" s="44"/>
      <c r="U37" s="44"/>
      <c r="V37" s="44"/>
    </row>
    <row r="38" spans="2:22" ht="16.5" x14ac:dyDescent="0.3">
      <c r="B38"/>
      <c r="C38"/>
      <c r="D38"/>
      <c r="P38" s="44"/>
      <c r="Q38" s="44"/>
      <c r="R38" s="44"/>
      <c r="S38" s="44"/>
      <c r="T38" s="44"/>
      <c r="U38" s="44"/>
      <c r="V38" s="44"/>
    </row>
    <row r="39" spans="2:22" ht="18" customHeight="1" x14ac:dyDescent="0.3">
      <c r="P39" s="44"/>
      <c r="Q39" s="44"/>
      <c r="R39" s="44"/>
      <c r="S39" s="44"/>
      <c r="T39" s="44"/>
      <c r="U39" s="44"/>
      <c r="V39" s="44"/>
    </row>
    <row r="40" spans="2:22" ht="18" customHeight="1" x14ac:dyDescent="0.3">
      <c r="P40" s="44"/>
      <c r="Q40" s="44"/>
      <c r="R40" s="44"/>
      <c r="S40" s="44"/>
      <c r="T40" s="44"/>
      <c r="U40" s="44"/>
      <c r="V40" s="44"/>
    </row>
    <row r="41" spans="2:22" ht="18" customHeight="1" x14ac:dyDescent="0.3">
      <c r="P41" s="44"/>
      <c r="Q41" s="44"/>
      <c r="R41" s="44"/>
      <c r="S41" s="44"/>
      <c r="T41" s="44"/>
      <c r="U41" s="44"/>
      <c r="V41" s="44"/>
    </row>
    <row r="42" spans="2:22" ht="18" customHeight="1" x14ac:dyDescent="0.3">
      <c r="P42" s="44"/>
      <c r="Q42" s="44"/>
      <c r="R42" s="44"/>
      <c r="S42" s="44"/>
      <c r="T42" s="44"/>
      <c r="U42" s="44"/>
    </row>
    <row r="43" spans="2:22" ht="18" customHeight="1" x14ac:dyDescent="0.3">
      <c r="P43" s="44"/>
      <c r="Q43" s="44"/>
      <c r="R43" s="44"/>
      <c r="S43" s="44"/>
      <c r="T43" s="44"/>
      <c r="U43" s="44"/>
    </row>
    <row r="44" spans="2:22" ht="18" customHeight="1" x14ac:dyDescent="0.3">
      <c r="P44" s="44"/>
      <c r="Q44" s="44"/>
      <c r="R44" s="44"/>
      <c r="S44" s="44"/>
      <c r="T44" s="44"/>
      <c r="U44" s="44"/>
    </row>
    <row r="45" spans="2:22" ht="18" customHeight="1" x14ac:dyDescent="0.3">
      <c r="P45" s="44"/>
      <c r="Q45" s="44"/>
      <c r="R45" s="44"/>
      <c r="S45" s="44"/>
      <c r="T45" s="44"/>
      <c r="U45" s="44"/>
    </row>
    <row r="46" spans="2:22" ht="18" customHeight="1" x14ac:dyDescent="0.3">
      <c r="P46" s="44"/>
      <c r="Q46" s="44"/>
      <c r="R46" s="44"/>
      <c r="S46" s="44"/>
      <c r="T46" s="44"/>
      <c r="U46" s="44"/>
    </row>
    <row r="47" spans="2:22" ht="18" customHeight="1" x14ac:dyDescent="0.3">
      <c r="P47" s="44"/>
      <c r="Q47" s="44"/>
      <c r="R47" s="44"/>
      <c r="S47" s="44"/>
      <c r="T47" s="44"/>
      <c r="U47" s="44"/>
    </row>
    <row r="48" spans="2:22" ht="18" customHeight="1" x14ac:dyDescent="0.3">
      <c r="P48" s="44"/>
      <c r="Q48" s="44"/>
      <c r="R48" s="44"/>
      <c r="S48" s="44"/>
      <c r="T48" s="44"/>
      <c r="U48" s="44"/>
    </row>
    <row r="49" spans="16:21" ht="18" customHeight="1" x14ac:dyDescent="0.3">
      <c r="P49" s="44"/>
      <c r="Q49" s="44"/>
      <c r="R49" s="44"/>
      <c r="S49" s="44"/>
      <c r="T49" s="44"/>
      <c r="U49" s="44"/>
    </row>
    <row r="50" spans="16:21" ht="18" customHeight="1" x14ac:dyDescent="0.3">
      <c r="P50" s="44"/>
      <c r="Q50" s="44"/>
      <c r="R50" s="44"/>
      <c r="S50" s="44"/>
      <c r="T50" s="44"/>
      <c r="U50" s="44"/>
    </row>
    <row r="51" spans="16:21" ht="18" customHeight="1" x14ac:dyDescent="0.3">
      <c r="P51" s="44"/>
      <c r="Q51" s="44"/>
      <c r="R51" s="44"/>
      <c r="S51" s="44"/>
      <c r="T51" s="44"/>
      <c r="U51" s="44"/>
    </row>
    <row r="52" spans="16:21" ht="18" customHeight="1" x14ac:dyDescent="0.3">
      <c r="P52" s="44"/>
      <c r="Q52" s="44"/>
      <c r="R52" s="44"/>
      <c r="S52" s="44"/>
      <c r="T52" s="44"/>
      <c r="U52" s="44"/>
    </row>
    <row r="53" spans="16:21" ht="18" customHeight="1" x14ac:dyDescent="0.3">
      <c r="P53" s="44"/>
      <c r="Q53" s="44"/>
      <c r="R53" s="44"/>
      <c r="S53" s="44"/>
      <c r="T53" s="44"/>
      <c r="U53" s="44"/>
    </row>
    <row r="54" spans="16:21" ht="18" customHeight="1" x14ac:dyDescent="0.3">
      <c r="P54" s="44"/>
      <c r="Q54" s="44"/>
      <c r="R54" s="44"/>
      <c r="S54" s="44"/>
      <c r="T54" s="44"/>
      <c r="U54" s="44"/>
    </row>
    <row r="55" spans="16:21" ht="18" customHeight="1" x14ac:dyDescent="0.3">
      <c r="P55" s="44"/>
      <c r="Q55" s="44"/>
      <c r="R55" s="44"/>
      <c r="S55" s="44"/>
      <c r="T55" s="44"/>
      <c r="U55" s="44"/>
    </row>
    <row r="56" spans="16:21" ht="18" customHeight="1" x14ac:dyDescent="0.3">
      <c r="P56" s="44"/>
      <c r="Q56" s="44"/>
      <c r="R56" s="44"/>
      <c r="S56" s="44"/>
      <c r="T56" s="44"/>
      <c r="U56" s="44"/>
    </row>
    <row r="57" spans="16:21" ht="18" customHeight="1" x14ac:dyDescent="0.3">
      <c r="P57" s="44"/>
      <c r="Q57" s="44"/>
      <c r="R57" s="44"/>
      <c r="S57" s="44"/>
      <c r="T57" s="44"/>
      <c r="U57" s="44"/>
    </row>
    <row r="58" spans="16:21" ht="18" customHeight="1" x14ac:dyDescent="0.3">
      <c r="P58" s="44"/>
      <c r="Q58" s="44"/>
      <c r="R58" s="44"/>
      <c r="S58" s="44"/>
      <c r="T58" s="44"/>
      <c r="U58" s="44"/>
    </row>
    <row r="59" spans="16:21" ht="18" customHeight="1" x14ac:dyDescent="0.3">
      <c r="P59" s="44"/>
      <c r="Q59" s="44"/>
      <c r="R59" s="44"/>
      <c r="S59" s="44"/>
      <c r="T59" s="44"/>
      <c r="U59" s="44"/>
    </row>
    <row r="60" spans="16:21" ht="18" customHeight="1" x14ac:dyDescent="0.3">
      <c r="P60" s="44"/>
      <c r="Q60" s="44"/>
      <c r="R60" s="44"/>
      <c r="S60" s="44"/>
      <c r="T60" s="44"/>
      <c r="U60" s="44"/>
    </row>
    <row r="61" spans="16:21" ht="18" customHeight="1" x14ac:dyDescent="0.3">
      <c r="P61" s="44"/>
      <c r="Q61" s="44"/>
      <c r="R61" s="44"/>
      <c r="S61" s="44"/>
      <c r="T61" s="44"/>
      <c r="U61" s="44"/>
    </row>
    <row r="62" spans="16:21" ht="18" customHeight="1" x14ac:dyDescent="0.3">
      <c r="P62" s="44"/>
      <c r="Q62" s="44"/>
      <c r="R62" s="44"/>
      <c r="S62" s="44"/>
      <c r="T62" s="44"/>
    </row>
    <row r="63" spans="16:21" ht="18" customHeight="1" x14ac:dyDescent="0.3">
      <c r="P63" s="44"/>
      <c r="Q63" s="44"/>
      <c r="R63" s="44"/>
      <c r="S63" s="44"/>
      <c r="T63" s="44"/>
    </row>
    <row r="64" spans="16:21" ht="18" customHeight="1" x14ac:dyDescent="0.3">
      <c r="P64" s="44"/>
      <c r="Q64" s="44"/>
      <c r="R64" s="44"/>
      <c r="S64" s="44"/>
      <c r="T64" s="44"/>
    </row>
    <row r="65" spans="16:20" ht="18" customHeight="1" x14ac:dyDescent="0.3">
      <c r="P65" s="44"/>
      <c r="Q65" s="44"/>
      <c r="R65" s="44"/>
      <c r="S65" s="44"/>
      <c r="T65" s="44"/>
    </row>
    <row r="66" spans="16:20" ht="18" customHeight="1" x14ac:dyDescent="0.3">
      <c r="P66" s="44"/>
      <c r="Q66" s="44"/>
      <c r="R66" s="44"/>
      <c r="S66" s="44"/>
      <c r="T66" s="44"/>
    </row>
    <row r="67" spans="16:20" ht="18" customHeight="1" x14ac:dyDescent="0.3">
      <c r="P67" s="44"/>
      <c r="Q67" s="44"/>
    </row>
    <row r="68" spans="16:20" ht="18" customHeight="1" x14ac:dyDescent="0.3">
      <c r="P68" s="44"/>
      <c r="Q68" s="44"/>
    </row>
    <row r="69" spans="16:20" ht="18" customHeight="1" x14ac:dyDescent="0.3">
      <c r="P69" s="44"/>
      <c r="Q69" s="44"/>
    </row>
    <row r="70" spans="16:20" ht="18" customHeight="1" x14ac:dyDescent="0.3">
      <c r="P70" s="44"/>
      <c r="Q70" s="44"/>
    </row>
    <row r="71" spans="16:20" ht="18" customHeight="1" x14ac:dyDescent="0.3">
      <c r="P71" s="44"/>
      <c r="Q71" s="44"/>
    </row>
    <row r="72" spans="16:20" ht="18" customHeight="1" x14ac:dyDescent="0.3">
      <c r="P72" s="44"/>
      <c r="Q72" s="44"/>
    </row>
    <row r="73" spans="16:20" ht="18" customHeight="1" x14ac:dyDescent="0.3">
      <c r="P73" s="44"/>
      <c r="Q73" s="44"/>
    </row>
    <row r="74" spans="16:20" ht="18" customHeight="1" x14ac:dyDescent="0.3">
      <c r="P74" s="44"/>
      <c r="Q74" s="44"/>
    </row>
    <row r="75" spans="16:20" ht="18" customHeight="1" x14ac:dyDescent="0.3">
      <c r="P75" s="44"/>
      <c r="Q75" s="44"/>
    </row>
    <row r="76" spans="16:20" ht="18" customHeight="1" x14ac:dyDescent="0.3">
      <c r="P76" s="44"/>
      <c r="Q76" s="44"/>
    </row>
    <row r="77" spans="16:20" ht="18" customHeight="1" x14ac:dyDescent="0.3">
      <c r="P77" s="44"/>
      <c r="Q77" s="44"/>
    </row>
    <row r="78" spans="16:20" ht="18" customHeight="1" x14ac:dyDescent="0.3">
      <c r="P78" s="44"/>
      <c r="Q78" s="44"/>
    </row>
    <row r="79" spans="16:20" ht="18" customHeight="1" x14ac:dyDescent="0.3">
      <c r="P79" s="44"/>
      <c r="Q79" s="44"/>
    </row>
    <row r="80" spans="16:20" ht="18" customHeight="1" x14ac:dyDescent="0.3">
      <c r="P80" s="44"/>
      <c r="Q80" s="44"/>
    </row>
    <row r="81" spans="16:17" ht="18" customHeight="1" x14ac:dyDescent="0.3">
      <c r="P81" s="44"/>
      <c r="Q81" s="44"/>
    </row>
    <row r="82" spans="16:17" ht="18" customHeight="1" x14ac:dyDescent="0.3">
      <c r="P82" s="44"/>
      <c r="Q82" s="44"/>
    </row>
    <row r="83" spans="16:17" ht="18" customHeight="1" x14ac:dyDescent="0.3">
      <c r="P83" s="44"/>
      <c r="Q83" s="44"/>
    </row>
    <row r="84" spans="16:17" ht="18" customHeight="1" x14ac:dyDescent="0.3">
      <c r="P84" s="44"/>
      <c r="Q84" s="44"/>
    </row>
    <row r="85" spans="16:17" ht="18" customHeight="1" x14ac:dyDescent="0.3">
      <c r="P85" s="44"/>
      <c r="Q85" s="44"/>
    </row>
    <row r="86" spans="16:17" ht="18" customHeight="1" x14ac:dyDescent="0.3">
      <c r="P86" s="44"/>
      <c r="Q86" s="44"/>
    </row>
    <row r="87" spans="16:17" ht="18" customHeight="1" x14ac:dyDescent="0.3">
      <c r="P87" s="44"/>
      <c r="Q87" s="44"/>
    </row>
    <row r="88" spans="16:17" ht="18" customHeight="1" x14ac:dyDescent="0.3">
      <c r="P88" s="44"/>
      <c r="Q88" s="44"/>
    </row>
    <row r="89" spans="16:17" ht="18" customHeight="1" x14ac:dyDescent="0.3">
      <c r="P89" s="44"/>
      <c r="Q89" s="44"/>
    </row>
    <row r="90" spans="16:17" ht="18" customHeight="1" x14ac:dyDescent="0.3">
      <c r="P90" s="44"/>
      <c r="Q90" s="44"/>
    </row>
    <row r="91" spans="16:17" ht="18" customHeight="1" x14ac:dyDescent="0.3">
      <c r="P91" s="44"/>
      <c r="Q91" s="44"/>
    </row>
    <row r="92" spans="16:17" ht="18" customHeight="1" x14ac:dyDescent="0.3">
      <c r="P92" s="44"/>
      <c r="Q92" s="44"/>
    </row>
    <row r="93" spans="16:17" ht="18" customHeight="1" x14ac:dyDescent="0.3">
      <c r="P93" s="44"/>
      <c r="Q93" s="44"/>
    </row>
    <row r="94" spans="16:17" ht="18" customHeight="1" x14ac:dyDescent="0.3">
      <c r="P94" s="44"/>
      <c r="Q94" s="44"/>
    </row>
    <row r="95" spans="16:17" ht="18" customHeight="1" x14ac:dyDescent="0.3">
      <c r="P95" s="44"/>
      <c r="Q95" s="44"/>
    </row>
    <row r="96" spans="16:17" ht="18" customHeight="1" x14ac:dyDescent="0.3">
      <c r="P96" s="44"/>
      <c r="Q96" s="44"/>
    </row>
    <row r="97" spans="16:17" ht="18" customHeight="1" x14ac:dyDescent="0.3">
      <c r="P97" s="44"/>
      <c r="Q97" s="44"/>
    </row>
    <row r="98" spans="16:17" ht="18" customHeight="1" x14ac:dyDescent="0.3">
      <c r="P98" s="44"/>
      <c r="Q98" s="44"/>
    </row>
    <row r="99" spans="16:17" ht="18" customHeight="1" x14ac:dyDescent="0.3">
      <c r="P99" s="44"/>
      <c r="Q99" s="44"/>
    </row>
    <row r="100" spans="16:17" ht="18" customHeight="1" x14ac:dyDescent="0.3">
      <c r="P100" s="44"/>
      <c r="Q100" s="44"/>
    </row>
    <row r="101" spans="16:17" ht="18" customHeight="1" x14ac:dyDescent="0.3">
      <c r="P101" s="44"/>
      <c r="Q101" s="44"/>
    </row>
  </sheetData>
  <sheetProtection algorithmName="SHA-512" hashValue="hO6NIjRZIdC62eFG1QwmQHqC22AehRAP74OZIOaKCwABKZqj/UPDDjhs0w/N+He27Ojlh7LUK+pA3rTBK+febQ==" saltValue="171Ll3VHfOjNVocv03gySw==" spinCount="100000" sheet="1" scenarios="1" formatCells="0" formatColumns="0" formatRows="0" insertColumns="0" insertRows="0" deleteColumns="0" deleteRows="0" sort="0" autoFilter="0" pivotTables="0"/>
  <dataValidations disablePrompts="1" count="3">
    <dataValidation type="list" allowBlank="1" showInputMessage="1" showErrorMessage="1" sqref="N3" xr:uid="{C78C6767-E610-450E-AACB-1A4B3FB931A0}">
      <formula1>MaKho</formula1>
    </dataValidation>
    <dataValidation type="list" allowBlank="1" showInputMessage="1" showErrorMessage="1" sqref="N2" xr:uid="{2E413D79-4567-4C1C-BEA5-956B7BC4FE14}">
      <formula1>"SKU, Nguyên liệu"</formula1>
    </dataValidation>
    <dataValidation type="list" allowBlank="1" showInputMessage="1" showErrorMessage="1" sqref="O2" xr:uid="{7FD35AA0-A873-4491-92E1-9B75EA7413A3}">
      <formula1>_xlfn.ANCHORARRAY($O$3)</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
                <anchor moveWithCells="1">
                  <from>
                    <xdr:col>18</xdr:col>
                    <xdr:colOff>333375</xdr:colOff>
                    <xdr:row>2</xdr:row>
                    <xdr:rowOff>104775</xdr:rowOff>
                  </from>
                  <to>
                    <xdr:col>18</xdr:col>
                    <xdr:colOff>809625</xdr:colOff>
                    <xdr:row>3</xdr:row>
                    <xdr:rowOff>133350</xdr:rowOff>
                  </to>
                </anchor>
              </controlPr>
            </control>
          </mc:Choice>
        </mc:AlternateContent>
        <mc:AlternateContent xmlns:mc="http://schemas.openxmlformats.org/markup-compatibility/2006">
          <mc:Choice Requires="x14">
            <control shapeId="58370" r:id="rId5" name="Button 2">
              <controlPr defaultSize="0" print="0" autoFill="0" autoPict="0" macro="[0]!DeleteRow">
                <anchor moveWithCells="1">
                  <from>
                    <xdr:col>18</xdr:col>
                    <xdr:colOff>962025</xdr:colOff>
                    <xdr:row>2</xdr:row>
                    <xdr:rowOff>104775</xdr:rowOff>
                  </from>
                  <to>
                    <xdr:col>19</xdr:col>
                    <xdr:colOff>180975</xdr:colOff>
                    <xdr:row>3</xdr:row>
                    <xdr:rowOff>133350</xdr:rowOff>
                  </to>
                </anchor>
              </controlPr>
            </control>
          </mc:Choice>
        </mc:AlternateContent>
        <mc:AlternateContent xmlns:mc="http://schemas.openxmlformats.org/markup-compatibility/2006">
          <mc:Choice Requires="x14">
            <control shapeId="58371" r:id="rId6" name="Button 3">
              <controlPr defaultSize="0" print="0" autoFill="0" autoPict="0" macro="[0]!AddColumn">
                <anchor moveWithCells="1">
                  <from>
                    <xdr:col>19</xdr:col>
                    <xdr:colOff>628650</xdr:colOff>
                    <xdr:row>2</xdr:row>
                    <xdr:rowOff>104775</xdr:rowOff>
                  </from>
                  <to>
                    <xdr:col>20</xdr:col>
                    <xdr:colOff>171450</xdr:colOff>
                    <xdr:row>3</xdr:row>
                    <xdr:rowOff>133350</xdr:rowOff>
                  </to>
                </anchor>
              </controlPr>
            </control>
          </mc:Choice>
        </mc:AlternateContent>
        <mc:AlternateContent xmlns:mc="http://schemas.openxmlformats.org/markup-compatibility/2006">
          <mc:Choice Requires="x14">
            <control shapeId="58372" r:id="rId7" name="Button 4">
              <controlPr defaultSize="0" print="0" autoFill="0" autoPict="0" macro="[0]!DeleteColumn">
                <anchor moveWithCells="1">
                  <from>
                    <xdr:col>20</xdr:col>
                    <xdr:colOff>304800</xdr:colOff>
                    <xdr:row>2</xdr:row>
                    <xdr:rowOff>104775</xdr:rowOff>
                  </from>
                  <to>
                    <xdr:col>20</xdr:col>
                    <xdr:colOff>847725</xdr:colOff>
                    <xdr:row>3</xdr:row>
                    <xdr:rowOff>133350</xdr:rowOff>
                  </to>
                </anchor>
              </controlPr>
            </control>
          </mc:Choice>
        </mc:AlternateContent>
        <mc:AlternateContent xmlns:mc="http://schemas.openxmlformats.org/markup-compatibility/2006">
          <mc:Choice Requires="x14">
            <control shapeId="58378" r:id="rId8" name="Option Button 10">
              <controlPr defaultSize="0" autoFill="0" autoLine="0" autoPict="0" macro="[0]!DoiDonViHienThi">
                <anchor moveWithCells="1">
                  <from>
                    <xdr:col>19</xdr:col>
                    <xdr:colOff>371475</xdr:colOff>
                    <xdr:row>0</xdr:row>
                    <xdr:rowOff>171450</xdr:rowOff>
                  </from>
                  <to>
                    <xdr:col>19</xdr:col>
                    <xdr:colOff>952500</xdr:colOff>
                    <xdr:row>1</xdr:row>
                    <xdr:rowOff>219075</xdr:rowOff>
                  </to>
                </anchor>
              </controlPr>
            </control>
          </mc:Choice>
        </mc:AlternateContent>
        <mc:AlternateContent xmlns:mc="http://schemas.openxmlformats.org/markup-compatibility/2006">
          <mc:Choice Requires="x14">
            <control shapeId="58379" r:id="rId9" name="Option Button 11">
              <controlPr defaultSize="0" autoFill="0" autoLine="0" autoPict="0" macro="[0]!DoiDonViHienThi">
                <anchor moveWithCells="1">
                  <from>
                    <xdr:col>19</xdr:col>
                    <xdr:colOff>838200</xdr:colOff>
                    <xdr:row>0</xdr:row>
                    <xdr:rowOff>171450</xdr:rowOff>
                  </from>
                  <to>
                    <xdr:col>20</xdr:col>
                    <xdr:colOff>447675</xdr:colOff>
                    <xdr:row>1</xdr:row>
                    <xdr:rowOff>219075</xdr:rowOff>
                  </to>
                </anchor>
              </controlPr>
            </control>
          </mc:Choice>
        </mc:AlternateContent>
        <mc:AlternateContent xmlns:mc="http://schemas.openxmlformats.org/markup-compatibility/2006">
          <mc:Choice Requires="x14">
            <control shapeId="58380" r:id="rId10" name="Option Button 12">
              <controlPr defaultSize="0" autoFill="0" autoLine="0" autoPict="0" macro="[0]!DoiDonViHienThi">
                <anchor moveWithCells="1">
                  <from>
                    <xdr:col>20</xdr:col>
                    <xdr:colOff>333375</xdr:colOff>
                    <xdr:row>0</xdr:row>
                    <xdr:rowOff>171450</xdr:rowOff>
                  </from>
                  <to>
                    <xdr:col>20</xdr:col>
                    <xdr:colOff>914400</xdr:colOff>
                    <xdr:row>1</xdr:row>
                    <xdr:rowOff>219075</xdr:rowOff>
                  </to>
                </anchor>
              </controlPr>
            </control>
          </mc:Choice>
        </mc:AlternateContent>
        <mc:AlternateContent xmlns:mc="http://schemas.openxmlformats.org/markup-compatibility/2006">
          <mc:Choice Requires="x14">
            <control shapeId="58381" r:id="rId11" name="Option Button 13">
              <controlPr defaultSize="0" autoFill="0" autoLine="0" autoPict="0" macro="[0]!DoiDonViHienThi">
                <anchor moveWithCells="1">
                  <from>
                    <xdr:col>20</xdr:col>
                    <xdr:colOff>800100</xdr:colOff>
                    <xdr:row>0</xdr:row>
                    <xdr:rowOff>171450</xdr:rowOff>
                  </from>
                  <to>
                    <xdr:col>20</xdr:col>
                    <xdr:colOff>1152525</xdr:colOff>
                    <xdr:row>1</xdr:row>
                    <xdr:rowOff>219075</xdr:rowOff>
                  </to>
                </anchor>
              </controlPr>
            </control>
          </mc:Choice>
        </mc:AlternateContent>
        <mc:AlternateContent xmlns:mc="http://schemas.openxmlformats.org/markup-compatibility/2006">
          <mc:Choice Requires="x14">
            <control shapeId="58382" r:id="rId12" name="Group Box 14">
              <controlPr defaultSize="0" autoFill="0" autoPict="0">
                <anchor moveWithCells="1">
                  <from>
                    <xdr:col>19</xdr:col>
                    <xdr:colOff>257175</xdr:colOff>
                    <xdr:row>0</xdr:row>
                    <xdr:rowOff>123825</xdr:rowOff>
                  </from>
                  <to>
                    <xdr:col>21</xdr:col>
                    <xdr:colOff>0</xdr:colOff>
                    <xdr:row>2</xdr:row>
                    <xdr:rowOff>28575</xdr:rowOff>
                  </to>
                </anchor>
              </controlPr>
            </control>
          </mc:Choice>
        </mc:AlternateContent>
        <mc:AlternateContent xmlns:mc="http://schemas.openxmlformats.org/markup-compatibility/2006">
          <mc:Choice Requires="x14">
            <control shapeId="58383" r:id="rId13" name="Group Box 15">
              <controlPr defaultSize="0" autoFill="0" autoPict="0">
                <anchor moveWithCells="1">
                  <from>
                    <xdr:col>16</xdr:col>
                    <xdr:colOff>495300</xdr:colOff>
                    <xdr:row>0</xdr:row>
                    <xdr:rowOff>123825</xdr:rowOff>
                  </from>
                  <to>
                    <xdr:col>19</xdr:col>
                    <xdr:colOff>209550</xdr:colOff>
                    <xdr:row>2</xdr:row>
                    <xdr:rowOff>28575</xdr:rowOff>
                  </to>
                </anchor>
              </controlPr>
            </control>
          </mc:Choice>
        </mc:AlternateContent>
        <mc:AlternateContent xmlns:mc="http://schemas.openxmlformats.org/markup-compatibility/2006">
          <mc:Choice Requires="x14">
            <control shapeId="58384" r:id="rId14" name="Button 16">
              <controlPr defaultSize="0" autoFill="0" autoPict="0" macro="[0]!NhanNghin">
                <anchor moveWithCells="1">
                  <from>
                    <xdr:col>17</xdr:col>
                    <xdr:colOff>57150</xdr:colOff>
                    <xdr:row>0</xdr:row>
                    <xdr:rowOff>219075</xdr:rowOff>
                  </from>
                  <to>
                    <xdr:col>18</xdr:col>
                    <xdr:colOff>361950</xdr:colOff>
                    <xdr:row>1</xdr:row>
                    <xdr:rowOff>161925</xdr:rowOff>
                  </to>
                </anchor>
              </controlPr>
            </control>
          </mc:Choice>
        </mc:AlternateContent>
        <mc:AlternateContent xmlns:mc="http://schemas.openxmlformats.org/markup-compatibility/2006">
          <mc:Choice Requires="x14">
            <control shapeId="58385" r:id="rId15" name="Button 17">
              <controlPr defaultSize="0" autoFill="0" autoPict="0" macro="[0]!NhanTrieu">
                <anchor moveWithCells="1">
                  <from>
                    <xdr:col>18</xdr:col>
                    <xdr:colOff>409575</xdr:colOff>
                    <xdr:row>0</xdr:row>
                    <xdr:rowOff>219075</xdr:rowOff>
                  </from>
                  <to>
                    <xdr:col>18</xdr:col>
                    <xdr:colOff>876300</xdr:colOff>
                    <xdr:row>1</xdr:row>
                    <xdr:rowOff>161925</xdr:rowOff>
                  </to>
                </anchor>
              </controlPr>
            </control>
          </mc:Choice>
        </mc:AlternateContent>
        <mc:AlternateContent xmlns:mc="http://schemas.openxmlformats.org/markup-compatibility/2006">
          <mc:Choice Requires="x14">
            <control shapeId="58386" r:id="rId16" name="Button 18">
              <controlPr defaultSize="0" autoFill="0" autoPict="0" macro="[0]!NhanTy">
                <anchor moveWithCells="1">
                  <from>
                    <xdr:col>18</xdr:col>
                    <xdr:colOff>923925</xdr:colOff>
                    <xdr:row>0</xdr:row>
                    <xdr:rowOff>219075</xdr:rowOff>
                  </from>
                  <to>
                    <xdr:col>19</xdr:col>
                    <xdr:colOff>133350</xdr:colOff>
                    <xdr:row>1</xdr:row>
                    <xdr:rowOff>161925</xdr:rowOff>
                  </to>
                </anchor>
              </controlPr>
            </control>
          </mc:Choice>
        </mc:AlternateContent>
        <mc:AlternateContent xmlns:mc="http://schemas.openxmlformats.org/markup-compatibility/2006">
          <mc:Choice Requires="x14">
            <control shapeId="58387" r:id="rId17" name="Button 19">
              <controlPr defaultSize="0" print="0" autoFill="0" autoPict="0" macro="[0]!RefreshTables">
                <anchor moveWithCells="1">
                  <from>
                    <xdr:col>12</xdr:col>
                    <xdr:colOff>57150</xdr:colOff>
                    <xdr:row>5</xdr:row>
                    <xdr:rowOff>152400</xdr:rowOff>
                  </from>
                  <to>
                    <xdr:col>12</xdr:col>
                    <xdr:colOff>600075</xdr:colOff>
                    <xdr:row>6</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037794BD-7E4B-429D-98DD-46CDA5D2A8FB}">
            <xm:f>Security!$A$1="NO VBA"</xm:f>
            <x14:dxf>
              <font>
                <color theme="0"/>
              </font>
              <border>
                <vertical/>
                <horizontal/>
              </border>
            </x14:dxf>
          </x14:cfRule>
          <xm:sqref>L2:O2 Q2:XFD2 A22:A38 A1:XFD1 A3:XFD21 A39:XFD1048576 E22:XFD22 E27:XFD38 F23:XFD26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outlinePr summaryBelow="0" summaryRight="0"/>
  </sheetPr>
  <dimension ref="A1:CO38"/>
  <sheetViews>
    <sheetView showGridLines="0" topLeftCell="AT1" workbookViewId="0">
      <selection activeCell="AY39" sqref="AY39"/>
    </sheetView>
  </sheetViews>
  <sheetFormatPr defaultRowHeight="18" customHeight="1" outlineLevelRow="1" outlineLevelCol="1" x14ac:dyDescent="0.3"/>
  <cols>
    <col min="1" max="1" width="1.25" style="7" customWidth="1" collapsed="1"/>
    <col min="2" max="2" width="23.5" style="7" hidden="1" customWidth="1" outlineLevel="1"/>
    <col min="3" max="3" width="10.625" style="7" hidden="1" customWidth="1" outlineLevel="1"/>
    <col min="4" max="4" width="1.25" style="7" hidden="1" customWidth="1" outlineLevel="1"/>
    <col min="5" max="5" width="13" style="7" hidden="1" customWidth="1" outlineLevel="1"/>
    <col min="6" max="6" width="16.25" style="7" hidden="1" customWidth="1" outlineLevel="1"/>
    <col min="7" max="12" width="1.25" style="7" hidden="1" customWidth="1" outlineLevel="1"/>
    <col min="13" max="13" width="1.25" style="7" customWidth="1"/>
    <col min="14" max="14" width="1.375" style="7" customWidth="1" outlineLevel="1"/>
    <col min="15" max="15" width="1.25" style="7" customWidth="1" outlineLevel="1"/>
    <col min="16" max="16" width="13" style="7" customWidth="1" outlineLevel="1"/>
    <col min="17" max="17" width="16.25" style="7" customWidth="1" outlineLevel="1"/>
    <col min="18" max="18" width="5.375" style="7" customWidth="1" outlineLevel="1"/>
    <col min="19" max="19" width="14.25" style="7" customWidth="1" outlineLevel="1"/>
    <col min="20" max="20" width="5.375" style="7" customWidth="1" outlineLevel="1"/>
    <col min="21" max="21" width="11.75" style="7" customWidth="1" outlineLevel="1"/>
    <col min="22" max="32" width="1.25" style="7" customWidth="1" outlineLevel="1"/>
    <col min="33" max="33" width="16.875" style="7" customWidth="1" outlineLevel="1"/>
    <col min="34" max="34" width="16.25" style="7" customWidth="1" outlineLevel="1"/>
    <col min="35" max="35" width="11.875" style="7" customWidth="1" outlineLevel="1"/>
    <col min="36" max="36" width="12.125" style="7" customWidth="1" outlineLevel="1"/>
    <col min="37" max="45" width="1.25" style="7" customWidth="1" outlineLevel="1"/>
    <col min="46" max="46" width="13.375" style="38" customWidth="1"/>
    <col min="47" max="47" width="8.75" style="7" customWidth="1"/>
    <col min="48" max="48" width="6.625" style="7" customWidth="1"/>
    <col min="49" max="49" width="8.75" style="7" customWidth="1"/>
    <col min="50" max="50" width="9" style="44"/>
    <col min="51" max="51" width="11.25" style="7" bestFit="1" customWidth="1" collapsed="1"/>
    <col min="52" max="53" width="10.25" style="7" hidden="1" customWidth="1" outlineLevel="1"/>
    <col min="54" max="54" width="7.75" style="7" customWidth="1" collapsed="1"/>
    <col min="55" max="55" width="10" style="7" hidden="1" customWidth="1" outlineLevel="1"/>
    <col min="56" max="56" width="8.25" style="44" hidden="1" customWidth="1" outlineLevel="1"/>
    <col min="57" max="57" width="7.75" style="44" hidden="1" customWidth="1" outlineLevel="1"/>
    <col min="58" max="58" width="10" style="7" hidden="1" customWidth="1" outlineLevel="1"/>
    <col min="59" max="59" width="11.25" style="7" customWidth="1"/>
    <col min="60" max="60" width="9" style="7" customWidth="1" outlineLevel="1" collapsed="1"/>
    <col min="61" max="61" width="9" style="7"/>
    <col min="62" max="62" width="9" style="7" customWidth="1" outlineLevel="1"/>
    <col min="63" max="63" width="14.25" style="7" customWidth="1" outlineLevel="1"/>
    <col min="64" max="66" width="14.125" style="7" customWidth="1" outlineLevel="1"/>
    <col min="67" max="69" width="12.375" style="7" customWidth="1" outlineLevel="1"/>
    <col min="70" max="70" width="17.375" style="7" customWidth="1"/>
    <col min="71" max="71" width="6.75" style="7" bestFit="1" customWidth="1" collapsed="1"/>
    <col min="72" max="93" width="9" style="38"/>
    <col min="94" max="16384" width="9" style="7"/>
  </cols>
  <sheetData>
    <row r="1" spans="50:70" ht="18" customHeight="1" x14ac:dyDescent="0.3">
      <c r="AX1" s="7"/>
      <c r="BD1" s="7"/>
      <c r="BE1" s="7"/>
    </row>
    <row r="2" spans="50:70" ht="18" customHeight="1" x14ac:dyDescent="0.3">
      <c r="AX2" s="7"/>
      <c r="BD2" s="7"/>
      <c r="BE2" s="7"/>
    </row>
    <row r="3" spans="50:70" ht="18" customHeight="1" outlineLevel="1" x14ac:dyDescent="0.3">
      <c r="AX3" s="7"/>
      <c r="BD3" s="7"/>
      <c r="BE3" s="7"/>
    </row>
    <row r="4" spans="50:70" ht="18" customHeight="1" outlineLevel="1" x14ac:dyDescent="0.3">
      <c r="AX4" s="7"/>
      <c r="BD4" s="7"/>
      <c r="BE4" s="7"/>
      <c r="BR4" s="11"/>
    </row>
    <row r="5" spans="50:70" ht="18" customHeight="1" outlineLevel="1" x14ac:dyDescent="0.3">
      <c r="AX5" s="7"/>
      <c r="BD5" s="7"/>
      <c r="BE5" s="7"/>
      <c r="BR5" s="11"/>
    </row>
    <row r="6" spans="50:70" ht="18" customHeight="1" outlineLevel="1" x14ac:dyDescent="0.3">
      <c r="AX6" s="7"/>
      <c r="BD6" s="7"/>
      <c r="BE6" s="7"/>
      <c r="BR6" s="11"/>
    </row>
    <row r="7" spans="50:70" ht="18" customHeight="1" outlineLevel="1" x14ac:dyDescent="0.3">
      <c r="AX7" s="7"/>
      <c r="BD7" s="7"/>
      <c r="BE7" s="7"/>
      <c r="BR7" s="11"/>
    </row>
    <row r="8" spans="50:70" ht="18" customHeight="1" outlineLevel="1" x14ac:dyDescent="0.3">
      <c r="AX8" s="7"/>
      <c r="BD8" s="7"/>
      <c r="BE8" s="7"/>
      <c r="BR8" s="11"/>
    </row>
    <row r="9" spans="50:70" ht="18" customHeight="1" outlineLevel="1" x14ac:dyDescent="0.3">
      <c r="AX9" s="7"/>
      <c r="BD9" s="7"/>
      <c r="BE9" s="7"/>
      <c r="BR9" s="11"/>
    </row>
    <row r="10" spans="50:70" ht="18" customHeight="1" outlineLevel="1" x14ac:dyDescent="0.3">
      <c r="AX10" s="7"/>
      <c r="BD10" s="7"/>
      <c r="BE10" s="7"/>
      <c r="BR10" s="11"/>
    </row>
    <row r="11" spans="50:70" ht="18" customHeight="1" outlineLevel="1" x14ac:dyDescent="0.3">
      <c r="AX11" s="7"/>
      <c r="BD11" s="7"/>
      <c r="BE11" s="7"/>
      <c r="BR11" s="11"/>
    </row>
    <row r="12" spans="50:70" ht="18" customHeight="1" outlineLevel="1" x14ac:dyDescent="0.3">
      <c r="AX12" s="7"/>
      <c r="BD12" s="7"/>
      <c r="BE12" s="7"/>
      <c r="BR12" s="11"/>
    </row>
    <row r="13" spans="50:70" ht="18" customHeight="1" outlineLevel="1" x14ac:dyDescent="0.3">
      <c r="AX13" s="7"/>
      <c r="BD13" s="7"/>
      <c r="BE13" s="7"/>
      <c r="BR13" s="11"/>
    </row>
    <row r="14" spans="50:70" ht="18" customHeight="1" outlineLevel="1" x14ac:dyDescent="0.3">
      <c r="AX14" s="7"/>
      <c r="BD14" s="7"/>
      <c r="BE14" s="7"/>
      <c r="BR14" s="11"/>
    </row>
    <row r="15" spans="50:70" ht="18" customHeight="1" outlineLevel="1" x14ac:dyDescent="0.3">
      <c r="AX15" s="7"/>
      <c r="BD15" s="7"/>
      <c r="BE15" s="7"/>
      <c r="BR15" s="11"/>
    </row>
    <row r="16" spans="50:70" ht="18" customHeight="1" outlineLevel="1" x14ac:dyDescent="0.3">
      <c r="AX16" s="7"/>
      <c r="BD16" s="7"/>
      <c r="BE16" s="7"/>
      <c r="BR16" s="11"/>
    </row>
    <row r="17" spans="2:71" ht="18" customHeight="1" outlineLevel="1" x14ac:dyDescent="0.3">
      <c r="AX17" s="7"/>
      <c r="BD17" s="7"/>
      <c r="BE17" s="7"/>
      <c r="BR17" s="11"/>
    </row>
    <row r="18" spans="2:71" ht="16.5" outlineLevel="1" x14ac:dyDescent="0.3">
      <c r="B18" s="97" t="s">
        <v>3</v>
      </c>
      <c r="C18" s="526">
        <v>45778</v>
      </c>
      <c r="AX18" s="7"/>
      <c r="BD18" s="7"/>
      <c r="BE18" s="7"/>
      <c r="BR18" s="11"/>
    </row>
    <row r="19" spans="2:71" ht="16.5" outlineLevel="1" x14ac:dyDescent="0.3">
      <c r="B19" s="97" t="s">
        <v>564</v>
      </c>
      <c r="C19" t="s">
        <v>1126</v>
      </c>
      <c r="E19" s="97" t="s">
        <v>886</v>
      </c>
      <c r="F19" t="s">
        <v>1126</v>
      </c>
      <c r="P19" s="97" t="s">
        <v>583</v>
      </c>
      <c r="Q19" t="s">
        <v>1126</v>
      </c>
      <c r="AX19" s="7"/>
      <c r="BD19" s="7"/>
      <c r="BE19" s="7"/>
      <c r="BR19" s="11"/>
    </row>
    <row r="20" spans="2:71" ht="18" customHeight="1" x14ac:dyDescent="0.3">
      <c r="AX20" s="7"/>
      <c r="BD20" s="7"/>
      <c r="BE20" s="7"/>
      <c r="BR20" s="11" cm="1">
        <f t="array" ref="BR20" xml:space="preserve">
IF(MONTH(TonKho_NgayTheoDoi) = 1,
IFERROR(
SUM(_xlfn._xlws.FILTER(Table_TonKho[Dự phòng lũy kế],
(Table_TonKho[Kỳ] = DATE(YEAR(TonKho_NgayTheoDoi)-1, 12, 1))
)),0),
IFERROR(
SUM(_xlfn._xlws.FILTER(Table_TonKho[Dự phòng lũy kế],
(Table_TonKho[Kỳ] = DATE(YEAR(TonKho_NgayTheoDoi), MONTH(TonKho_NgayTheoDoi) -1, 1))
)),0))
-
IF(MONTH(TonKho_NgayTheoDoi) = 2,
IFERROR(
SUM(_xlfn._xlws.FILTER(Table_TonKho[Dự phòng lũy kế],
(Table_TonKho[Kỳ] = DATE(YEAR(TonKho_NgayTheoDoi)-1, 12, 1))
)),0),
IF(MONTH(TonKho_NgayTheoDoi) = 1,
IFERROR(
SUM(_xlfn._xlws.FILTER(Table_TonKho[Dự phòng lũy kế],
(Table_TonKho[Kỳ] = DATE(YEAR(TonKho_NgayTheoDoi)-1, 11, 1))
)),0),
IFERROR(
SUM(_xlfn._xlws.FILTER(Table_TonKho[Dự phòng lũy kế],
(Table_TonKho[Kỳ] = DATE(YEAR(TonKho_NgayTheoDoi), MONTH(TonKho_NgayTheoDoi) -2, 1))
)),0)))</f>
        <v>0</v>
      </c>
    </row>
    <row r="21" spans="2:71" ht="16.5" x14ac:dyDescent="0.3">
      <c r="B21" s="97" t="s">
        <v>1192</v>
      </c>
      <c r="C21"/>
      <c r="E21" s="97" t="s">
        <v>1167</v>
      </c>
      <c r="F21" s="97" t="s">
        <v>1166</v>
      </c>
      <c r="G21"/>
      <c r="H21"/>
      <c r="I21"/>
      <c r="J21"/>
      <c r="K21"/>
      <c r="L21"/>
      <c r="M21"/>
      <c r="N21"/>
      <c r="O21"/>
      <c r="P21" s="97" t="s">
        <v>1167</v>
      </c>
      <c r="Q21" s="97" t="s">
        <v>1166</v>
      </c>
      <c r="R21"/>
      <c r="S21"/>
      <c r="T21"/>
      <c r="U21"/>
      <c r="V21"/>
      <c r="W21"/>
      <c r="X21"/>
      <c r="Y21"/>
      <c r="Z21"/>
      <c r="AA21"/>
      <c r="AB21"/>
      <c r="AC21"/>
      <c r="AD21"/>
      <c r="AE21"/>
      <c r="AF21"/>
      <c r="AG21" s="97" t="s">
        <v>368</v>
      </c>
      <c r="AH21" s="97" t="s">
        <v>1166</v>
      </c>
      <c r="AI21"/>
      <c r="AJ21"/>
      <c r="AK21"/>
      <c r="AL21"/>
      <c r="AM21"/>
      <c r="AN21"/>
      <c r="AO21"/>
      <c r="AP21"/>
      <c r="AQ21"/>
      <c r="AR21"/>
      <c r="AS21"/>
      <c r="AU21" s="46" t="s">
        <v>3</v>
      </c>
      <c r="AV21" s="46" t="s">
        <v>2</v>
      </c>
      <c r="AW21" s="46" t="s">
        <v>1</v>
      </c>
      <c r="AX21" s="46" t="s">
        <v>47</v>
      </c>
      <c r="AY21" s="46" t="s">
        <v>139</v>
      </c>
      <c r="AZ21" s="46" t="s">
        <v>588</v>
      </c>
      <c r="BA21" s="46" t="s">
        <v>886</v>
      </c>
      <c r="BB21" s="46" t="s">
        <v>583</v>
      </c>
      <c r="BC21" s="46" t="s">
        <v>589</v>
      </c>
      <c r="BD21" s="46" t="s">
        <v>590</v>
      </c>
      <c r="BE21" s="46" t="s">
        <v>591</v>
      </c>
      <c r="BF21" s="46" t="s">
        <v>592</v>
      </c>
      <c r="BG21" s="46" t="s">
        <v>593</v>
      </c>
      <c r="BH21" s="46" t="s">
        <v>594</v>
      </c>
      <c r="BI21" s="46" t="s">
        <v>595</v>
      </c>
      <c r="BJ21" s="46" t="s">
        <v>596</v>
      </c>
      <c r="BK21" s="46" t="s">
        <v>597</v>
      </c>
      <c r="BL21" s="488" t="s">
        <v>598</v>
      </c>
      <c r="BM21" s="46" t="s">
        <v>1190</v>
      </c>
      <c r="BN21" s="46" t="s">
        <v>1191</v>
      </c>
      <c r="BO21" s="46" t="s">
        <v>599</v>
      </c>
      <c r="BP21" s="46" t="s">
        <v>904</v>
      </c>
      <c r="BQ21" s="46" t="s">
        <v>686</v>
      </c>
      <c r="BR21" s="488" t="s">
        <v>552</v>
      </c>
      <c r="BS21" s="46" t="s">
        <v>883</v>
      </c>
    </row>
    <row r="22" spans="2:71" ht="16.5" x14ac:dyDescent="0.3">
      <c r="B22" s="98" t="s">
        <v>1193</v>
      </c>
      <c r="C22" s="511">
        <v>35332325.538446799</v>
      </c>
      <c r="E22" s="97" t="s">
        <v>23</v>
      </c>
      <c r="F22" t="s">
        <v>1165</v>
      </c>
      <c r="G22"/>
      <c r="H22"/>
      <c r="I22"/>
      <c r="J22"/>
      <c r="K22"/>
      <c r="L22"/>
      <c r="M22"/>
      <c r="N22"/>
      <c r="O22"/>
      <c r="P22"/>
      <c r="Q22" t="s">
        <v>139</v>
      </c>
      <c r="R22"/>
      <c r="S22" t="s">
        <v>844</v>
      </c>
      <c r="T22"/>
      <c r="U22" t="s">
        <v>843</v>
      </c>
      <c r="V22"/>
      <c r="W22"/>
      <c r="X22"/>
      <c r="Y22"/>
      <c r="Z22"/>
      <c r="AA22"/>
      <c r="AB22"/>
      <c r="AC22"/>
      <c r="AD22"/>
      <c r="AE22"/>
      <c r="AF22"/>
      <c r="AG22" s="97" t="s">
        <v>23</v>
      </c>
      <c r="AH22" t="s">
        <v>1159</v>
      </c>
      <c r="AI22" t="s">
        <v>1163</v>
      </c>
      <c r="AJ22" t="s">
        <v>1162</v>
      </c>
      <c r="AK22"/>
      <c r="AL22"/>
      <c r="AM22"/>
      <c r="AN22"/>
      <c r="AO22"/>
      <c r="AP22"/>
      <c r="AQ22"/>
      <c r="AR22"/>
      <c r="AS22"/>
      <c r="AU22" s="49">
        <f>IFERROR(
IF(ISBLANK(AW22),
DATE(AV22,12,1),
DATE(AV22,AW22,1)),0)</f>
        <v>45778</v>
      </c>
      <c r="AV22" s="230">
        <v>2025</v>
      </c>
      <c r="AW22" s="230">
        <v>5</v>
      </c>
      <c r="AX22" s="230" t="s">
        <v>1161</v>
      </c>
      <c r="AY22" s="230"/>
      <c r="AZ2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2" s="51" t="str">
        <f>IF(ISBLANK(Table_TonKho[[#This Row],[SKU]]),Table_TonKho[[#This Row],[Nguyên liệu]],Table_TonKho[[#This Row],[SKU]])</f>
        <v>TP2</v>
      </c>
      <c r="BB22" s="231" t="s">
        <v>1165</v>
      </c>
      <c r="BC22" s="120" cm="1">
        <f t="array" ref="BC2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20</v>
      </c>
      <c r="BD22" s="120" cm="1">
        <f t="array" ref="BD2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67</v>
      </c>
      <c r="BE22" s="120" cm="1">
        <f t="array" ref="BE2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42</v>
      </c>
      <c r="BF22" s="120" cm="1">
        <f t="array" ref="BF2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45</v>
      </c>
      <c r="BG22" s="394"/>
      <c r="BH22" s="120">
        <f>Table_TonKho[[#This Row],[KQ kiểm kê]]-Table_TonKho[[#This Row],[SL Cuối kỳ]]</f>
        <v>-45</v>
      </c>
      <c r="BI22" s="120" cm="1">
        <f t="array" ref="BI2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67</v>
      </c>
      <c r="BJ22" s="120" cm="1">
        <f t="array" ref="BJ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42</v>
      </c>
      <c r="BK22" s="120" cm="1">
        <f t="array" ref="BK2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2" s="120" cm="1">
        <f t="array" ref="BL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2" s="120" cm="1">
        <f t="array" ref="BM2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2" s="120">
        <f>Table_TonKho[[#This Row],[Giá trị cuối kỳ]]-Table_TonKho[[#This Row],[Tồn kho cuối kỳ]]</f>
        <v>0</v>
      </c>
      <c r="BO22" s="120" cm="1">
        <f t="array" ref="BO2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2" s="120" cm="1">
        <f t="array" ref="BP2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2" s="120" cm="1">
        <f t="array" ref="BQ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2" s="393"/>
      <c r="BS22" s="232"/>
    </row>
    <row r="23" spans="2:71" ht="16.5" x14ac:dyDescent="0.3">
      <c r="B23" s="98" t="s">
        <v>1194</v>
      </c>
      <c r="C23" s="511">
        <v>12841853.32237763</v>
      </c>
      <c r="E23" s="526">
        <v>45717</v>
      </c>
      <c r="F23" s="511">
        <v>553</v>
      </c>
      <c r="G23"/>
      <c r="H23"/>
      <c r="I23"/>
      <c r="J23"/>
      <c r="K23"/>
      <c r="L23"/>
      <c r="M23"/>
      <c r="N23"/>
      <c r="O23"/>
      <c r="P23" s="97" t="s">
        <v>23</v>
      </c>
      <c r="Q23" t="s">
        <v>1163</v>
      </c>
      <c r="R23" t="s">
        <v>1162</v>
      </c>
      <c r="S23" t="s">
        <v>1160</v>
      </c>
      <c r="T23" t="s">
        <v>1161</v>
      </c>
      <c r="U23" t="s">
        <v>1159</v>
      </c>
      <c r="V23"/>
      <c r="W23"/>
      <c r="X23"/>
      <c r="Y23"/>
      <c r="Z23"/>
      <c r="AA23"/>
      <c r="AB23"/>
      <c r="AC23"/>
      <c r="AD23"/>
      <c r="AE23"/>
      <c r="AF23"/>
      <c r="AG23" s="526">
        <v>45717</v>
      </c>
      <c r="AH23" s="511">
        <v>5914113.746268657</v>
      </c>
      <c r="AI23" s="511">
        <v>5921794.871794872</v>
      </c>
      <c r="AJ23" s="511">
        <v>4812804.8167141499</v>
      </c>
      <c r="AK23"/>
      <c r="AL23"/>
      <c r="AM23"/>
      <c r="AN23"/>
      <c r="AO23"/>
      <c r="AP23"/>
      <c r="AQ23"/>
      <c r="AR23"/>
      <c r="AS23"/>
      <c r="AU23" s="49">
        <f t="shared" ref="AU23:AU36" si="0">IFERROR(
IF(ISBLANK(AW23),
DATE(AV23,12,1),
DATE(AV23,AW23,1)),0)</f>
        <v>45778</v>
      </c>
      <c r="AV23" s="230">
        <v>2025</v>
      </c>
      <c r="AW23" s="230">
        <v>5</v>
      </c>
      <c r="AX23" s="230" t="s">
        <v>1160</v>
      </c>
      <c r="AY23" s="230"/>
      <c r="AZ2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3" s="51" t="str">
        <f>IF(ISBLANK(Table_TonKho[[#This Row],[SKU]]),Table_TonKho[[#This Row],[Nguyên liệu]],Table_TonKho[[#This Row],[SKU]])</f>
        <v>TP1</v>
      </c>
      <c r="BB23" s="231" t="s">
        <v>1165</v>
      </c>
      <c r="BC23" s="120" cm="1">
        <f t="array" ref="BC2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146</v>
      </c>
      <c r="BD23" s="120" cm="1">
        <f t="array" ref="BD2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v>
      </c>
      <c r="BE23" s="120" cm="1">
        <f t="array" ref="BE2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91</v>
      </c>
      <c r="BF23" s="120" cm="1">
        <f t="array" ref="BF2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66</v>
      </c>
      <c r="BG23" s="394"/>
      <c r="BH23" s="120">
        <f>Table_TonKho[[#This Row],[KQ kiểm kê]]-Table_TonKho[[#This Row],[SL Cuối kỳ]]</f>
        <v>-66</v>
      </c>
      <c r="BI23" s="120" cm="1">
        <f t="array" ref="BI2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v>
      </c>
      <c r="BJ23" s="120" cm="1">
        <f t="array" ref="BJ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91</v>
      </c>
      <c r="BK23" s="120" cm="1">
        <f t="array" ref="BK2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3" s="120" cm="1">
        <f t="array" ref="BL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3" s="120" cm="1">
        <f t="array" ref="BM2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3" s="120">
        <f>Table_TonKho[[#This Row],[Giá trị cuối kỳ]]-Table_TonKho[[#This Row],[Tồn kho cuối kỳ]]</f>
        <v>0</v>
      </c>
      <c r="BO23" s="120" cm="1">
        <f t="array" ref="BO2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3" s="120" cm="1">
        <f t="array" ref="BP2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3" s="120" cm="1">
        <f t="array" ref="BQ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3" s="393"/>
      <c r="BS23" s="232"/>
    </row>
    <row r="24" spans="2:71" ht="16.5" x14ac:dyDescent="0.3">
      <c r="B24"/>
      <c r="C24"/>
      <c r="E24" s="526">
        <v>45748</v>
      </c>
      <c r="F24" s="511">
        <v>401</v>
      </c>
      <c r="G24"/>
      <c r="H24"/>
      <c r="I24"/>
      <c r="J24"/>
      <c r="K24"/>
      <c r="L24"/>
      <c r="M24"/>
      <c r="N24"/>
      <c r="O24"/>
      <c r="P24" s="526">
        <v>45717</v>
      </c>
      <c r="Q24" s="511">
        <v>171</v>
      </c>
      <c r="R24" s="511">
        <v>138</v>
      </c>
      <c r="S24" s="511">
        <v>106</v>
      </c>
      <c r="T24" s="511">
        <v>35</v>
      </c>
      <c r="U24" s="511">
        <v>103</v>
      </c>
      <c r="V24"/>
      <c r="W24"/>
      <c r="X24"/>
      <c r="Y24"/>
      <c r="Z24"/>
      <c r="AA24"/>
      <c r="AB24"/>
      <c r="AC24"/>
      <c r="AD24"/>
      <c r="AE24"/>
      <c r="AF24"/>
      <c r="AG24" s="526">
        <v>45748</v>
      </c>
      <c r="AH24" s="511">
        <v>9734331.7611940298</v>
      </c>
      <c r="AI24" s="511">
        <v>3007450.3741418766</v>
      </c>
      <c r="AJ24" s="511">
        <v>13305460.205299949</v>
      </c>
      <c r="AK24"/>
      <c r="AL24"/>
      <c r="AM24"/>
      <c r="AN24"/>
      <c r="AO24"/>
      <c r="AP24"/>
      <c r="AQ24"/>
      <c r="AR24"/>
      <c r="AS24"/>
      <c r="AU24" s="49">
        <f t="shared" si="0"/>
        <v>45778</v>
      </c>
      <c r="AV24" s="230">
        <v>2025</v>
      </c>
      <c r="AW24" s="230">
        <v>5</v>
      </c>
      <c r="AX24" s="230" t="s">
        <v>1159</v>
      </c>
      <c r="AY24" s="230"/>
      <c r="AZ2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4" s="51" t="str">
        <f>IF(ISBLANK(Table_TonKho[[#This Row],[SKU]]),Table_TonKho[[#This Row],[Nguyên liệu]],Table_TonKho[[#This Row],[SKU]])</f>
        <v>HH1</v>
      </c>
      <c r="BB24" s="231" t="s">
        <v>1165</v>
      </c>
      <c r="BC24" s="120" cm="1">
        <f t="array" ref="BC2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8</v>
      </c>
      <c r="BD24" s="120" cm="1">
        <f t="array" ref="BD2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85</v>
      </c>
      <c r="BE24" s="120" cm="1">
        <f t="array" ref="BE2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24</v>
      </c>
      <c r="BF24" s="120" cm="1">
        <f t="array" ref="BF2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69</v>
      </c>
      <c r="BG24" s="394"/>
      <c r="BH24" s="120">
        <f>Table_TonKho[[#This Row],[KQ kiểm kê]]-Table_TonKho[[#This Row],[SL Cuối kỳ]]</f>
        <v>-69</v>
      </c>
      <c r="BI24" s="120" cm="1">
        <f t="array" ref="BI2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4" s="120" cm="1">
        <f t="array" ref="BJ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24</v>
      </c>
      <c r="BK24" s="120" cm="1">
        <f t="array" ref="BK2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1425692.7462686568</v>
      </c>
      <c r="BL24" s="120" cm="1">
        <f t="array" ref="BL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1425692.7462686568</v>
      </c>
      <c r="BM24" s="120" cm="1">
        <f t="array" ref="BM2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6022420.7462686561</v>
      </c>
      <c r="BN24" s="120">
        <f>Table_TonKho[[#This Row],[Giá trị cuối kỳ]]-Table_TonKho[[#This Row],[Tồn kho cuối kỳ]]</f>
        <v>0</v>
      </c>
      <c r="BO24" s="120" cm="1">
        <f t="array" ref="BO2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6022420.7462686561</v>
      </c>
      <c r="BP24" s="120" cm="1">
        <f t="array" ref="BP2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4" s="120" cm="1">
        <f t="array" ref="BQ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4" s="393">
        <v>304294.31268656714</v>
      </c>
      <c r="BS24" s="232"/>
    </row>
    <row r="25" spans="2:71" ht="16.5" x14ac:dyDescent="0.3">
      <c r="B25"/>
      <c r="C25"/>
      <c r="E25" s="526">
        <v>45778</v>
      </c>
      <c r="F25" s="511">
        <v>437</v>
      </c>
      <c r="G25"/>
      <c r="H25"/>
      <c r="I25"/>
      <c r="J25"/>
      <c r="K25"/>
      <c r="L25"/>
      <c r="M25"/>
      <c r="N25"/>
      <c r="O25"/>
      <c r="P25" s="526">
        <v>45748</v>
      </c>
      <c r="Q25" s="511">
        <v>152</v>
      </c>
      <c r="R25" s="511">
        <v>75</v>
      </c>
      <c r="S25" s="511">
        <v>146</v>
      </c>
      <c r="T25" s="511">
        <v>20</v>
      </c>
      <c r="U25" s="511">
        <v>8</v>
      </c>
      <c r="V25"/>
      <c r="W25"/>
      <c r="X25"/>
      <c r="Y25"/>
      <c r="Z25"/>
      <c r="AA25"/>
      <c r="AB25"/>
      <c r="AC25"/>
      <c r="AD25"/>
      <c r="AE25"/>
      <c r="AF25"/>
      <c r="AG25" s="526">
        <v>45778</v>
      </c>
      <c r="AH25" s="511">
        <v>1425692.7462686568</v>
      </c>
      <c r="AI25" s="511">
        <v>5745298.7928473447</v>
      </c>
      <c r="AJ25" s="511">
        <v>8759216.8246460371</v>
      </c>
      <c r="AK25"/>
      <c r="AL25"/>
      <c r="AM25"/>
      <c r="AN25"/>
      <c r="AO25"/>
      <c r="AP25"/>
      <c r="AQ25"/>
      <c r="AR25"/>
      <c r="AS25"/>
      <c r="AU25" s="49">
        <f t="shared" si="0"/>
        <v>45778</v>
      </c>
      <c r="AV25" s="230">
        <v>2025</v>
      </c>
      <c r="AW25" s="230">
        <v>5</v>
      </c>
      <c r="AX25" s="230"/>
      <c r="AY25" s="230" t="s">
        <v>1163</v>
      </c>
      <c r="AZ2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5" s="51" t="str">
        <f>IF(ISBLANK(Table_TonKho[[#This Row],[SKU]]),Table_TonKho[[#This Row],[Nguyên liệu]],Table_TonKho[[#This Row],[SKU]])</f>
        <v>NL1</v>
      </c>
      <c r="BB25" s="231" t="s">
        <v>1165</v>
      </c>
      <c r="BC25" s="120" cm="1">
        <f t="array" ref="BC2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152</v>
      </c>
      <c r="BD25" s="120" cm="1">
        <f t="array" ref="BD2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51</v>
      </c>
      <c r="BE25" s="120" cm="1">
        <f t="array" ref="BE2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25" s="120" cm="1">
        <f t="array" ref="BF2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169</v>
      </c>
      <c r="BG25" s="394"/>
      <c r="BH25" s="120">
        <f>Table_TonKho[[#This Row],[KQ kiểm kê]]-Table_TonKho[[#This Row],[SL Cuối kỳ]]</f>
        <v>-169</v>
      </c>
      <c r="BI25" s="120" cm="1">
        <f t="array" ref="BI2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5" s="120" cm="1">
        <f t="array" ref="BJ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57.974358974358971</v>
      </c>
      <c r="BK25" s="120" cm="1">
        <f t="array" ref="BK2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3369423.3521961868</v>
      </c>
      <c r="BL25" s="120" cm="1">
        <f t="array" ref="BL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5745298.7928473447</v>
      </c>
      <c r="BM25" s="120" cm="1">
        <f t="array" ref="BM2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17950111.717979252</v>
      </c>
      <c r="BN25" s="120">
        <f>Table_TonKho[[#This Row],[Giá trị cuối kỳ]]-Table_TonKho[[#This Row],[Tồn kho cuối kỳ]]</f>
        <v>7075199.2432366535</v>
      </c>
      <c r="BO25" s="120" cm="1">
        <f t="array" ref="BO2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25025310.961215906</v>
      </c>
      <c r="BP25" s="120" cm="1">
        <f t="array" ref="BP2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5" s="120" cm="1">
        <f t="array" ref="BQ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5" s="393">
        <v>1585928.3</v>
      </c>
      <c r="BS25" s="232"/>
    </row>
    <row r="26" spans="2:71" ht="16.5" x14ac:dyDescent="0.3">
      <c r="B26"/>
      <c r="C26"/>
      <c r="E26" s="526" t="s">
        <v>1112</v>
      </c>
      <c r="F26" s="511">
        <v>1391</v>
      </c>
      <c r="G26"/>
      <c r="H26"/>
      <c r="I26"/>
      <c r="J26"/>
      <c r="K26"/>
      <c r="L26"/>
      <c r="M26"/>
      <c r="N26"/>
      <c r="O26"/>
      <c r="P26" s="526">
        <v>45778</v>
      </c>
      <c r="Q26" s="511">
        <v>169</v>
      </c>
      <c r="R26" s="511">
        <v>88</v>
      </c>
      <c r="S26" s="511">
        <v>66</v>
      </c>
      <c r="T26" s="511">
        <v>45</v>
      </c>
      <c r="U26" s="511">
        <v>69</v>
      </c>
      <c r="V26"/>
      <c r="W26"/>
      <c r="X26"/>
      <c r="Y26"/>
      <c r="Z26"/>
      <c r="AA26"/>
      <c r="AB26"/>
      <c r="AC26"/>
      <c r="AD26"/>
      <c r="AE26"/>
      <c r="AF26"/>
      <c r="AG26" s="526" t="s">
        <v>1112</v>
      </c>
      <c r="AH26" s="511">
        <v>17074138.253731344</v>
      </c>
      <c r="AI26" s="511">
        <v>14674544.038784092</v>
      </c>
      <c r="AJ26" s="511">
        <v>26877481.846660137</v>
      </c>
      <c r="AK26"/>
      <c r="AL26"/>
      <c r="AM26"/>
      <c r="AN26"/>
      <c r="AO26"/>
      <c r="AP26"/>
      <c r="AQ26"/>
      <c r="AR26"/>
      <c r="AS26"/>
      <c r="AU26" s="49">
        <f t="shared" si="0"/>
        <v>45778</v>
      </c>
      <c r="AV26" s="230">
        <v>2025</v>
      </c>
      <c r="AW26" s="230">
        <v>5</v>
      </c>
      <c r="AX26" s="230"/>
      <c r="AY26" s="230" t="s">
        <v>1162</v>
      </c>
      <c r="AZ2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6" s="51" t="str">
        <f>IF(ISBLANK(Table_TonKho[[#This Row],[SKU]]),Table_TonKho[[#This Row],[Nguyên liệu]],Table_TonKho[[#This Row],[SKU]])</f>
        <v>NL2</v>
      </c>
      <c r="BB26" s="231" t="s">
        <v>1165</v>
      </c>
      <c r="BC26" s="120" cm="1">
        <f t="array" ref="BC2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75</v>
      </c>
      <c r="BD26" s="120" cm="1">
        <f t="array" ref="BD2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56</v>
      </c>
      <c r="BE26" s="120" cm="1">
        <f t="array" ref="BE2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43</v>
      </c>
      <c r="BF26" s="120" cm="1">
        <f t="array" ref="BF2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88</v>
      </c>
      <c r="BG26" s="394"/>
      <c r="BH26" s="120">
        <f>Table_TonKho[[#This Row],[KQ kiểm kê]]-Table_TonKho[[#This Row],[SL Cuối kỳ]]</f>
        <v>-88</v>
      </c>
      <c r="BI26" s="120" cm="1">
        <f t="array" ref="BI2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6" s="120" cm="1">
        <f t="array" ref="BJ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73.320512820512818</v>
      </c>
      <c r="BK26" s="120" cm="1">
        <f t="array" ref="BK2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5119047.0334650427</v>
      </c>
      <c r="BL26" s="120" cm="1">
        <f t="array" ref="BL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8728631.4801391121</v>
      </c>
      <c r="BM26" s="120" cm="1">
        <f t="array" ref="BM2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11334764.325765178</v>
      </c>
      <c r="BN26" s="120">
        <f>Table_TonKho[[#This Row],[Giá trị cuối kỳ]]-Table_TonKho[[#This Row],[Tồn kho cuối kỳ]]</f>
        <v>5873980.8682298511</v>
      </c>
      <c r="BO26" s="120" cm="1">
        <f t="array" ref="BO2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17208745.193995029</v>
      </c>
      <c r="BP26" s="120" cm="1">
        <f t="array" ref="BP2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6" s="120" cm="1">
        <f t="array" ref="BQ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6" s="393">
        <v>1830850.8074074076</v>
      </c>
      <c r="BS26" s="232"/>
    </row>
    <row r="27" spans="2:71" ht="16.5" x14ac:dyDescent="0.3">
      <c r="B27"/>
      <c r="C27"/>
      <c r="E27"/>
      <c r="F27"/>
      <c r="G27"/>
      <c r="H27"/>
      <c r="I27"/>
      <c r="J27"/>
      <c r="K27"/>
      <c r="L27"/>
      <c r="M27"/>
      <c r="N27"/>
      <c r="O27"/>
      <c r="P27" s="526" t="s">
        <v>1112</v>
      </c>
      <c r="Q27" s="511">
        <v>492</v>
      </c>
      <c r="R27" s="511">
        <v>301</v>
      </c>
      <c r="S27" s="511">
        <v>318</v>
      </c>
      <c r="T27" s="511">
        <v>100</v>
      </c>
      <c r="U27" s="511">
        <v>180</v>
      </c>
      <c r="V27"/>
      <c r="W27"/>
      <c r="X27"/>
      <c r="Y27"/>
      <c r="Z27"/>
      <c r="AA27"/>
      <c r="AB27"/>
      <c r="AC27"/>
      <c r="AD27"/>
      <c r="AE27"/>
      <c r="AF27"/>
      <c r="AG27"/>
      <c r="AH27"/>
      <c r="AI27"/>
      <c r="AJ27"/>
      <c r="AK27"/>
      <c r="AL27"/>
      <c r="AM27"/>
      <c r="AN27"/>
      <c r="AO27"/>
      <c r="AP27"/>
      <c r="AQ27"/>
      <c r="AR27"/>
      <c r="AS27"/>
      <c r="AU27" s="49">
        <f t="shared" si="0"/>
        <v>45748</v>
      </c>
      <c r="AV27" s="230">
        <v>2025</v>
      </c>
      <c r="AW27" s="230">
        <v>4</v>
      </c>
      <c r="AX27" s="230" t="s">
        <v>1161</v>
      </c>
      <c r="AY27" s="230"/>
      <c r="AZ27"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7" s="51" t="str">
        <f>IF(ISBLANK(Table_TonKho[[#This Row],[SKU]]),Table_TonKho[[#This Row],[Nguyên liệu]],Table_TonKho[[#This Row],[SKU]])</f>
        <v>TP2</v>
      </c>
      <c r="BB27" s="231" t="s">
        <v>1165</v>
      </c>
      <c r="BC27" s="120" cm="1">
        <f t="array" ref="BC27">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35</v>
      </c>
      <c r="BD27" s="120" cm="1">
        <f t="array" ref="BD27">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45</v>
      </c>
      <c r="BE27" s="120" cm="1">
        <f t="array" ref="BE27">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60</v>
      </c>
      <c r="BF27" s="120" cm="1">
        <f t="array" ref="BF27">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20</v>
      </c>
      <c r="BG27" s="394"/>
      <c r="BH27" s="120">
        <f>Table_TonKho[[#This Row],[KQ kiểm kê]]-Table_TonKho[[#This Row],[SL Cuối kỳ]]</f>
        <v>-20</v>
      </c>
      <c r="BI27" s="120" cm="1">
        <f t="array" ref="BI27">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45</v>
      </c>
      <c r="BJ27" s="120" cm="1">
        <f t="array" ref="BJ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60</v>
      </c>
      <c r="BK27" s="120" cm="1">
        <f t="array" ref="BK27">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7" s="120" cm="1">
        <f t="array" ref="BL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7" s="120" cm="1">
        <f t="array" ref="BM27"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7" s="120">
        <f>Table_TonKho[[#This Row],[Giá trị cuối kỳ]]-Table_TonKho[[#This Row],[Tồn kho cuối kỳ]]</f>
        <v>0</v>
      </c>
      <c r="BO27" s="120" cm="1">
        <f t="array" ref="BO27"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7" s="120" cm="1">
        <f t="array" ref="BP27">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7" s="120" cm="1">
        <f t="array" ref="BQ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7" s="393"/>
      <c r="BS27" s="232"/>
    </row>
    <row r="28" spans="2:71" ht="16.5" x14ac:dyDescent="0.3">
      <c r="B28"/>
      <c r="C28"/>
      <c r="E28"/>
      <c r="F28"/>
      <c r="P28"/>
      <c r="Q28"/>
      <c r="R28"/>
      <c r="AG28"/>
      <c r="AH28"/>
      <c r="AI28"/>
      <c r="AU28" s="49">
        <f t="shared" si="0"/>
        <v>45748</v>
      </c>
      <c r="AV28" s="230">
        <v>2025</v>
      </c>
      <c r="AW28" s="230">
        <v>4</v>
      </c>
      <c r="AX28" s="230" t="s">
        <v>1160</v>
      </c>
      <c r="AY28" s="230"/>
      <c r="AZ28"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8" s="51" t="str">
        <f>IF(ISBLANK(Table_TonKho[[#This Row],[SKU]]),Table_TonKho[[#This Row],[Nguyên liệu]],Table_TonKho[[#This Row],[SKU]])</f>
        <v>TP1</v>
      </c>
      <c r="BB28" s="231" t="s">
        <v>1165</v>
      </c>
      <c r="BC28" s="120" cm="1">
        <f t="array" ref="BC28">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106</v>
      </c>
      <c r="BD28" s="120" cm="1">
        <f t="array" ref="BD28">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139</v>
      </c>
      <c r="BE28" s="120" cm="1">
        <f t="array" ref="BE28">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99</v>
      </c>
      <c r="BF28" s="120" cm="1">
        <f t="array" ref="BF28">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146</v>
      </c>
      <c r="BG28" s="394"/>
      <c r="BH28" s="120">
        <f>Table_TonKho[[#This Row],[KQ kiểm kê]]-Table_TonKho[[#This Row],[SL Cuối kỳ]]</f>
        <v>-146</v>
      </c>
      <c r="BI28" s="120" cm="1">
        <f t="array" ref="BI28">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139</v>
      </c>
      <c r="BJ28" s="120" cm="1">
        <f t="array" ref="BJ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99</v>
      </c>
      <c r="BK28" s="120" cm="1">
        <f t="array" ref="BK28">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8" s="120" cm="1">
        <f t="array" ref="BL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8" s="120" cm="1">
        <f t="array" ref="BM28"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8" s="120">
        <f>Table_TonKho[[#This Row],[Giá trị cuối kỳ]]-Table_TonKho[[#This Row],[Tồn kho cuối kỳ]]</f>
        <v>0</v>
      </c>
      <c r="BO28" s="120" cm="1">
        <f t="array" ref="BO28"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8" s="120" cm="1">
        <f t="array" ref="BP28">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8" s="120" cm="1">
        <f t="array" ref="BQ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8" s="393"/>
      <c r="BS28" s="232"/>
    </row>
    <row r="29" spans="2:71" ht="16.5" x14ac:dyDescent="0.3">
      <c r="B29"/>
      <c r="C29"/>
      <c r="E29"/>
      <c r="F29"/>
      <c r="P29"/>
      <c r="Q29"/>
      <c r="R29"/>
      <c r="AG29"/>
      <c r="AH29"/>
      <c r="AI29"/>
      <c r="AU29" s="49">
        <f t="shared" si="0"/>
        <v>45748</v>
      </c>
      <c r="AV29" s="230">
        <v>2025</v>
      </c>
      <c r="AW29" s="230">
        <v>4</v>
      </c>
      <c r="AX29" s="230" t="s">
        <v>1159</v>
      </c>
      <c r="AY29" s="230"/>
      <c r="AZ29"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9" s="51" t="str">
        <f>IF(ISBLANK(Table_TonKho[[#This Row],[SKU]]),Table_TonKho[[#This Row],[Nguyên liệu]],Table_TonKho[[#This Row],[SKU]])</f>
        <v>HH1</v>
      </c>
      <c r="BB29" s="231" t="s">
        <v>1165</v>
      </c>
      <c r="BC29" s="120" cm="1">
        <f t="array" ref="BC29">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103</v>
      </c>
      <c r="BD29" s="120" cm="1">
        <f t="array" ref="BD29">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v>
      </c>
      <c r="BE29" s="120" cm="1">
        <f t="array" ref="BE29">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108</v>
      </c>
      <c r="BF29" s="120" cm="1">
        <f t="array" ref="BF29">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v>
      </c>
      <c r="BG29" s="394"/>
      <c r="BH29" s="120">
        <f>Table_TonKho[[#This Row],[KQ kiểm kê]]-Table_TonKho[[#This Row],[SL Cuối kỳ]]</f>
        <v>-8</v>
      </c>
      <c r="BI29" s="120" cm="1">
        <f t="array" ref="BI29">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9" s="120" cm="1">
        <f t="array" ref="BJ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108</v>
      </c>
      <c r="BK29" s="120" cm="1">
        <f t="array" ref="BK29">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9734331.7611940298</v>
      </c>
      <c r="BL29" s="120" cm="1">
        <f t="array" ref="BL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9734331.7611940298</v>
      </c>
      <c r="BM29" s="120" cm="1">
        <f t="array" ref="BM29"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280105.49253731407</v>
      </c>
      <c r="BN29" s="120">
        <f>Table_TonKho[[#This Row],[Giá trị cuối kỳ]]-Table_TonKho[[#This Row],[Tồn kho cuối kỳ]]</f>
        <v>0</v>
      </c>
      <c r="BO29" s="120" cm="1">
        <f t="array" ref="BO29"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280105.49253731407</v>
      </c>
      <c r="BP29" s="120" cm="1">
        <f t="array" ref="BP29">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9" s="120" cm="1">
        <f t="array" ref="BQ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9" s="393"/>
      <c r="BS29" s="232"/>
    </row>
    <row r="30" spans="2:71" ht="16.5" x14ac:dyDescent="0.3">
      <c r="B30"/>
      <c r="C30"/>
      <c r="E30"/>
      <c r="F30"/>
      <c r="P30"/>
      <c r="Q30"/>
      <c r="R30"/>
      <c r="AG30"/>
      <c r="AH30"/>
      <c r="AI30"/>
      <c r="AU30" s="49">
        <f t="shared" si="0"/>
        <v>45748</v>
      </c>
      <c r="AV30" s="230">
        <v>2025</v>
      </c>
      <c r="AW30" s="230">
        <v>4</v>
      </c>
      <c r="AX30" s="230"/>
      <c r="AY30" s="230" t="s">
        <v>1163</v>
      </c>
      <c r="AZ30"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0" s="51" t="str">
        <f>IF(ISBLANK(Table_TonKho[[#This Row],[SKU]]),Table_TonKho[[#This Row],[Nguyên liệu]],Table_TonKho[[#This Row],[SKU]])</f>
        <v>NL1</v>
      </c>
      <c r="BB30" s="231" t="s">
        <v>1165</v>
      </c>
      <c r="BC30" s="120" cm="1">
        <f t="array" ref="BC30">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171</v>
      </c>
      <c r="BD30" s="120" cm="1">
        <f t="array" ref="BD30">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15</v>
      </c>
      <c r="BE30" s="120" cm="1">
        <f t="array" ref="BE30">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30" s="120" cm="1">
        <f t="array" ref="BF30">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152</v>
      </c>
      <c r="BG30" s="394"/>
      <c r="BH30" s="120">
        <f>Table_TonKho[[#This Row],[KQ kiểm kê]]-Table_TonKho[[#This Row],[SL Cuối kỳ]]</f>
        <v>-152</v>
      </c>
      <c r="BI30" s="120" cm="1">
        <f t="array" ref="BI30">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0" s="120" cm="1">
        <f t="array" ref="BJ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29.380434782608695</v>
      </c>
      <c r="BK30" s="120" cm="1">
        <f t="array" ref="BK30">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3480319.9298245613</v>
      </c>
      <c r="BL30" s="120" cm="1">
        <f t="array" ref="BL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3007450.3741418766</v>
      </c>
      <c r="BM30" s="120" cm="1">
        <f t="array" ref="BM30"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14971777.070175439</v>
      </c>
      <c r="BN30" s="120">
        <f>Table_TonKho[[#This Row],[Giá trị cuối kỳ]]-Table_TonKho[[#This Row],[Tồn kho cuối kỳ]]</f>
        <v>9451074.6838878132</v>
      </c>
      <c r="BO30" s="120" cm="1">
        <f t="array" ref="BO30"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24422851.754063252</v>
      </c>
      <c r="BP30" s="120" cm="1">
        <f t="array" ref="BP30">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0" s="120" cm="1">
        <f t="array" ref="BQ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0" s="393">
        <v>3878156.8210526318</v>
      </c>
      <c r="BS30" s="232"/>
    </row>
    <row r="31" spans="2:71" ht="16.5" x14ac:dyDescent="0.3">
      <c r="B31"/>
      <c r="C31"/>
      <c r="E31"/>
      <c r="F31"/>
      <c r="P31"/>
      <c r="Q31"/>
      <c r="R31"/>
      <c r="AG31"/>
      <c r="AH31"/>
      <c r="AI31"/>
      <c r="AU31" s="49">
        <f t="shared" si="0"/>
        <v>45748</v>
      </c>
      <c r="AV31" s="230">
        <v>2025</v>
      </c>
      <c r="AW31" s="230">
        <v>4</v>
      </c>
      <c r="AX31" s="230"/>
      <c r="AY31" s="230" t="s">
        <v>1162</v>
      </c>
      <c r="AZ31"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1" s="51" t="str">
        <f>IF(ISBLANK(Table_TonKho[[#This Row],[SKU]]),Table_TonKho[[#This Row],[Nguyên liệu]],Table_TonKho[[#This Row],[SKU]])</f>
        <v>NL2</v>
      </c>
      <c r="BB31" s="231" t="s">
        <v>1165</v>
      </c>
      <c r="BC31" s="120" cm="1">
        <f t="array" ref="BC3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138</v>
      </c>
      <c r="BD31" s="120" cm="1">
        <f t="array" ref="BD3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48</v>
      </c>
      <c r="BE31" s="120" cm="1">
        <f t="array" ref="BE3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111</v>
      </c>
      <c r="BF31" s="120" cm="1">
        <f t="array" ref="BF3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75</v>
      </c>
      <c r="BG31" s="394"/>
      <c r="BH31" s="120">
        <f>Table_TonKho[[#This Row],[KQ kiểm kê]]-Table_TonKho[[#This Row],[SL Cuối kỳ]]</f>
        <v>-75</v>
      </c>
      <c r="BI31" s="120" cm="1">
        <f t="array" ref="BI3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1" s="120" cm="1">
        <f t="array" ref="BJ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95.918478260869563</v>
      </c>
      <c r="BK31" s="120" cm="1">
        <f t="array" ref="BK3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15250117.64076978</v>
      </c>
      <c r="BL31" s="120" cm="1">
        <f t="array" ref="BL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13178090.787404319</v>
      </c>
      <c r="BM31" s="120" cm="1">
        <f t="array" ref="BM3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9332607.3592302203</v>
      </c>
      <c r="BN31" s="120">
        <f>Table_TonKho[[#This Row],[Giá trị cuối kỳ]]-Table_TonKho[[#This Row],[Tồn kho cuối kỳ]]</f>
        <v>9483565.3149039224</v>
      </c>
      <c r="BO31" s="120" cm="1">
        <f t="array" ref="BO3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18816172.674134143</v>
      </c>
      <c r="BP31" s="120" cm="1">
        <f t="array" ref="BP3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1" s="120" cm="1">
        <f t="array" ref="BQ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1" s="393">
        <v>994140.11321242829</v>
      </c>
      <c r="BS31" s="232"/>
    </row>
    <row r="32" spans="2:71" ht="16.5" x14ac:dyDescent="0.3">
      <c r="B32"/>
      <c r="C32"/>
      <c r="E32"/>
      <c r="F32"/>
      <c r="P32"/>
      <c r="Q32"/>
      <c r="R32"/>
      <c r="AG32"/>
      <c r="AH32"/>
      <c r="AI32"/>
      <c r="AU32" s="49">
        <f t="shared" si="0"/>
        <v>45717</v>
      </c>
      <c r="AV32" s="230">
        <v>2025</v>
      </c>
      <c r="AW32" s="230">
        <v>3</v>
      </c>
      <c r="AX32" s="230" t="s">
        <v>1161</v>
      </c>
      <c r="AY32" s="230"/>
      <c r="AZ3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2" s="51" t="str">
        <f>IF(ISBLANK(Table_TonKho[[#This Row],[SKU]]),Table_TonKho[[#This Row],[Nguyên liệu]],Table_TonKho[[#This Row],[SKU]])</f>
        <v>TP2</v>
      </c>
      <c r="BB32" s="231" t="s">
        <v>1165</v>
      </c>
      <c r="BC32" s="120" cm="1">
        <f t="array" ref="BC3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2" s="120" cm="1">
        <f t="array" ref="BD3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114</v>
      </c>
      <c r="BE32" s="120" cm="1">
        <f t="array" ref="BE3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79</v>
      </c>
      <c r="BF32" s="120" cm="1">
        <f t="array" ref="BF3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35</v>
      </c>
      <c r="BG32" s="394"/>
      <c r="BH32" s="120">
        <f>Table_TonKho[[#This Row],[KQ kiểm kê]]-Table_TonKho[[#This Row],[SL Cuối kỳ]]</f>
        <v>-35</v>
      </c>
      <c r="BI32" s="120" cm="1">
        <f t="array" ref="BI3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114</v>
      </c>
      <c r="BJ32" s="120" cm="1">
        <f t="array" ref="BJ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79</v>
      </c>
      <c r="BK32" s="120" cm="1">
        <f t="array" ref="BK3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2" s="120" cm="1">
        <f t="array" ref="BL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2" s="120" cm="1">
        <f t="array" ref="BM3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2" s="120">
        <f>Table_TonKho[[#This Row],[Giá trị cuối kỳ]]-Table_TonKho[[#This Row],[Tồn kho cuối kỳ]]</f>
        <v>0</v>
      </c>
      <c r="BO32" s="120" cm="1">
        <f t="array" ref="BO3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2" s="120" cm="1">
        <f t="array" ref="BP3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2" s="120" cm="1">
        <f t="array" ref="BQ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2" s="393"/>
      <c r="BS32" s="232"/>
    </row>
    <row r="33" spans="2:71" ht="16.5" x14ac:dyDescent="0.3">
      <c r="B33"/>
      <c r="C33"/>
      <c r="E33"/>
      <c r="F33"/>
      <c r="P33"/>
      <c r="Q33"/>
      <c r="R33"/>
      <c r="AG33"/>
      <c r="AH33"/>
      <c r="AI33"/>
      <c r="AU33" s="49">
        <f t="shared" si="0"/>
        <v>45717</v>
      </c>
      <c r="AV33" s="230">
        <v>2025</v>
      </c>
      <c r="AW33" s="230">
        <v>3</v>
      </c>
      <c r="AX33" s="230" t="s">
        <v>1160</v>
      </c>
      <c r="AY33" s="230"/>
      <c r="AZ3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3" s="51" t="str">
        <f>IF(ISBLANK(Table_TonKho[[#This Row],[SKU]]),Table_TonKho[[#This Row],[Nguyên liệu]],Table_TonKho[[#This Row],[SKU]])</f>
        <v>TP1</v>
      </c>
      <c r="BB33" s="231" t="s">
        <v>1165</v>
      </c>
      <c r="BC33" s="120" cm="1">
        <f t="array" ref="BC3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3" s="120" cm="1">
        <f t="array" ref="BD3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120</v>
      </c>
      <c r="BE33" s="120" cm="1">
        <f t="array" ref="BE3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v>
      </c>
      <c r="BF33" s="120" cm="1">
        <f t="array" ref="BF3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106</v>
      </c>
      <c r="BG33" s="394"/>
      <c r="BH33" s="120">
        <f>Table_TonKho[[#This Row],[KQ kiểm kê]]-Table_TonKho[[#This Row],[SL Cuối kỳ]]</f>
        <v>-106</v>
      </c>
      <c r="BI33" s="120" cm="1">
        <f t="array" ref="BI3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120</v>
      </c>
      <c r="BJ33" s="120" cm="1">
        <f t="array" ref="BJ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14</v>
      </c>
      <c r="BK33" s="120" cm="1">
        <f t="array" ref="BK3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3" s="120" cm="1">
        <f t="array" ref="BL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3" s="120" cm="1">
        <f t="array" ref="BM3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3" s="120">
        <f>Table_TonKho[[#This Row],[Giá trị cuối kỳ]]-Table_TonKho[[#This Row],[Tồn kho cuối kỳ]]</f>
        <v>0</v>
      </c>
      <c r="BO33" s="120" cm="1">
        <f t="array" ref="BO3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3" s="120" cm="1">
        <f t="array" ref="BP3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3" s="120" cm="1">
        <f t="array" ref="BQ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3" s="393"/>
      <c r="BS33" s="232"/>
    </row>
    <row r="34" spans="2:71" ht="16.5" x14ac:dyDescent="0.3">
      <c r="B34"/>
      <c r="C34"/>
      <c r="E34"/>
      <c r="F34"/>
      <c r="P34"/>
      <c r="Q34"/>
      <c r="R34"/>
      <c r="AG34"/>
      <c r="AH34"/>
      <c r="AI34"/>
      <c r="AU34" s="49">
        <f t="shared" si="0"/>
        <v>45717</v>
      </c>
      <c r="AV34" s="230">
        <v>2025</v>
      </c>
      <c r="AW34" s="230">
        <v>3</v>
      </c>
      <c r="AX34" s="230" t="s">
        <v>1159</v>
      </c>
      <c r="AY34" s="230"/>
      <c r="AZ3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34" s="51" t="str">
        <f>IF(ISBLANK(Table_TonKho[[#This Row],[SKU]]),Table_TonKho[[#This Row],[Nguyên liệu]],Table_TonKho[[#This Row],[SKU]])</f>
        <v>HH1</v>
      </c>
      <c r="BB34" s="231" t="s">
        <v>1165</v>
      </c>
      <c r="BC34" s="120" cm="1">
        <f t="array" ref="BC3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4" s="120" cm="1">
        <f t="array" ref="BD3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173</v>
      </c>
      <c r="BE34" s="120" cm="1">
        <f t="array" ref="BE3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70</v>
      </c>
      <c r="BF34" s="120" cm="1">
        <f t="array" ref="BF3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103</v>
      </c>
      <c r="BG34" s="394"/>
      <c r="BH34" s="120">
        <f>Table_TonKho[[#This Row],[KQ kiểm kê]]-Table_TonKho[[#This Row],[SL Cuối kỳ]]</f>
        <v>-103</v>
      </c>
      <c r="BI34" s="120" cm="1">
        <f t="array" ref="BI3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4" s="120" cm="1">
        <f t="array" ref="BJ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70</v>
      </c>
      <c r="BK34" s="120" cm="1">
        <f t="array" ref="BK3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5914113.746268657</v>
      </c>
      <c r="BL34" s="120" cm="1">
        <f t="array" ref="BL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5914113.746268657</v>
      </c>
      <c r="BM34" s="120" cm="1">
        <f t="array" ref="BM3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9283668.2537313439</v>
      </c>
      <c r="BN34" s="120">
        <f>Table_TonKho[[#This Row],[Giá trị cuối kỳ]]-Table_TonKho[[#This Row],[Tồn kho cuối kỳ]]</f>
        <v>0</v>
      </c>
      <c r="BO34" s="120" cm="1">
        <f t="array" ref="BO3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9283668.2537313439</v>
      </c>
      <c r="BP34" s="120" cm="1">
        <f t="array" ref="BP3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4" s="120" cm="1">
        <f t="array" ref="BQ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4" s="393">
        <v>71284.637313432802</v>
      </c>
      <c r="BS34" s="232"/>
    </row>
    <row r="35" spans="2:71" ht="16.5" x14ac:dyDescent="0.3">
      <c r="B35"/>
      <c r="C35"/>
      <c r="E35"/>
      <c r="F35"/>
      <c r="P35"/>
      <c r="Q35"/>
      <c r="R35"/>
      <c r="AG35"/>
      <c r="AH35"/>
      <c r="AI35"/>
      <c r="AU35" s="49">
        <f t="shared" si="0"/>
        <v>45717</v>
      </c>
      <c r="AV35" s="230">
        <v>2025</v>
      </c>
      <c r="AW35" s="230">
        <v>3</v>
      </c>
      <c r="AX35" s="230"/>
      <c r="AY35" s="230" t="s">
        <v>1163</v>
      </c>
      <c r="AZ3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5" s="51" t="str">
        <f>IF(ISBLANK(Table_TonKho[[#This Row],[SKU]]),Table_TonKho[[#This Row],[Nguyên liệu]],Table_TonKho[[#This Row],[SKU]])</f>
        <v>NL1</v>
      </c>
      <c r="BB35" s="231" t="s">
        <v>1165</v>
      </c>
      <c r="BC35" s="120" cm="1">
        <f t="array" ref="BC3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5" s="120" cm="1">
        <f t="array" ref="BD3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320</v>
      </c>
      <c r="BE35" s="120" cm="1">
        <f t="array" ref="BE3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149</v>
      </c>
      <c r="BF35" s="120" cm="1">
        <f t="array" ref="BF3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171</v>
      </c>
      <c r="BG35" s="394"/>
      <c r="BH35" s="120">
        <f>Table_TonKho[[#This Row],[KQ kiểm kê]]-Table_TonKho[[#This Row],[SL Cuối kỳ]]</f>
        <v>-171</v>
      </c>
      <c r="BI35" s="120" cm="1">
        <f t="array" ref="BI3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5" s="120" cm="1">
        <f t="array" ref="BJ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59.217948717948715</v>
      </c>
      <c r="BK35" s="120" cm="1">
        <f t="array" ref="BK3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14900000</v>
      </c>
      <c r="BL35" s="120" cm="1">
        <f t="array" ref="BL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5921794.871794872</v>
      </c>
      <c r="BM35" s="120" cm="1">
        <f t="array" ref="BM3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17503962</v>
      </c>
      <c r="BN35" s="120">
        <f>Table_TonKho[[#This Row],[Giá trị cuối kỳ]]-Table_TonKho[[#This Row],[Tồn kho cuối kỳ]]</f>
        <v>8978205.128205128</v>
      </c>
      <c r="BO35" s="120" cm="1">
        <f t="array" ref="BO3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26482167.128205128</v>
      </c>
      <c r="BP35" s="120" cm="1">
        <f t="array" ref="BP3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5" s="120" cm="1">
        <f t="array" ref="BQ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5" s="393">
        <v>5461230.0948885884</v>
      </c>
      <c r="BS35" s="232"/>
    </row>
    <row r="36" spans="2:71" ht="16.5" x14ac:dyDescent="0.3">
      <c r="B36"/>
      <c r="C36"/>
      <c r="E36"/>
      <c r="F36"/>
      <c r="P36"/>
      <c r="Q36"/>
      <c r="R36"/>
      <c r="AG36"/>
      <c r="AH36"/>
      <c r="AI36"/>
      <c r="AU36" s="49">
        <f t="shared" si="0"/>
        <v>45717</v>
      </c>
      <c r="AV36" s="230">
        <v>2025</v>
      </c>
      <c r="AW36" s="230">
        <v>3</v>
      </c>
      <c r="AX36" s="230"/>
      <c r="AY36" s="230" t="s">
        <v>1162</v>
      </c>
      <c r="AZ3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6" s="51" t="str">
        <f>IF(ISBLANK(Table_TonKho[[#This Row],[SKU]]),Table_TonKho[[#This Row],[Nguyên liệu]],Table_TonKho[[#This Row],[SKU]])</f>
        <v>NL2</v>
      </c>
      <c r="BB36" s="231" t="s">
        <v>1165</v>
      </c>
      <c r="BC36" s="120" cm="1">
        <f t="array" ref="BC3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6" s="120" cm="1">
        <f t="array" ref="BD3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220</v>
      </c>
      <c r="BE36" s="120" cm="1">
        <f t="array" ref="BE3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82</v>
      </c>
      <c r="BF36" s="120" cm="1">
        <f t="array" ref="BF3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138</v>
      </c>
      <c r="BG36" s="394"/>
      <c r="BH36" s="120">
        <f>Table_TonKho[[#This Row],[KQ kiểm kê]]-Table_TonKho[[#This Row],[SL Cuối kỳ]]</f>
        <v>-138</v>
      </c>
      <c r="BI36" s="120" cm="1">
        <f t="array" ref="BI3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6" s="120" cm="1">
        <f t="array" ref="BJ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32.589743589743591</v>
      </c>
      <c r="BK36" s="120" cm="1">
        <f t="array" ref="BK3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12300000</v>
      </c>
      <c r="BL36" s="120" cm="1">
        <f t="array" ref="BL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4888461.538461538</v>
      </c>
      <c r="BM36" s="120" cm="1">
        <f t="array" ref="BM3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19326564</v>
      </c>
      <c r="BN36" s="120">
        <f>Table_TonKho[[#This Row],[Giá trị cuối kỳ]]-Table_TonKho[[#This Row],[Tồn kho cuối kỳ]]</f>
        <v>7411538.4615384638</v>
      </c>
      <c r="BO36" s="120" cm="1">
        <f t="array" ref="BO3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26738102.461538464</v>
      </c>
      <c r="BP36" s="120" cm="1">
        <f t="array" ref="BP3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6" s="120" cm="1">
        <f t="array" ref="BQ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6" s="393">
        <v>719490.96854972269</v>
      </c>
      <c r="BS36" s="232"/>
    </row>
    <row r="37" spans="2:71" ht="16.5" x14ac:dyDescent="0.3">
      <c r="B37"/>
      <c r="C37"/>
      <c r="E37"/>
      <c r="F37"/>
      <c r="P37"/>
      <c r="Q37"/>
      <c r="R37"/>
      <c r="AG37"/>
      <c r="AH37"/>
      <c r="AI37"/>
    </row>
    <row r="38" spans="2:71" ht="16.5" x14ac:dyDescent="0.3">
      <c r="B38"/>
      <c r="C38"/>
      <c r="E38"/>
      <c r="F38"/>
      <c r="P38"/>
      <c r="Q38"/>
      <c r="R38"/>
      <c r="AG38"/>
      <c r="AH38"/>
      <c r="AI38"/>
    </row>
  </sheetData>
  <sheetProtection algorithmName="SHA-512" hashValue="sxkBsO3Gm8tc+1DZ0tb22IQmgS8hH6rLbeeMgRxyXZ1074bDjC2M/r+cJe1/xWkMiFMw7v6hZiz0p/qVvb4iFQ==" saltValue="gtp2klP03CQGq+0kyDk54w==" spinCount="100000" sheet="1" scenarios="1" formatCells="0" formatColumns="0" formatRows="0" insertColumns="0" insertRows="0" deleteColumns="0" deleteRows="0" sort="0" autoFilter="0" pivotTables="0"/>
  <phoneticPr fontId="14" type="noConversion"/>
  <dataValidations disablePrompts="1" count="3">
    <dataValidation type="list" allowBlank="1" showInputMessage="1" sqref="AX22:AX36" xr:uid="{C49357AD-F0B3-44D4-9F36-3975DE6ABDDC}">
      <formula1>Ma_SKU</formula1>
    </dataValidation>
    <dataValidation type="list" allowBlank="1" showInputMessage="1" sqref="AY22:AY36" xr:uid="{59BB61DA-160D-4CEE-99BF-30C08E651C75}">
      <formula1>MaNguyenLieu</formula1>
    </dataValidation>
    <dataValidation type="list" allowBlank="1" showInputMessage="1" sqref="BB22:BB36" xr:uid="{9F173645-6EE0-4ED1-B8A4-150ECA82A944}">
      <formula1>MaKho</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9399" r:id="rId8" name="Option Button 7">
              <controlPr defaultSize="0" autoFill="0" autoLine="0" autoPict="0" macro="[0]!DoiDonViHienThi">
                <anchor moveWithCells="1">
                  <from>
                    <xdr:col>48</xdr:col>
                    <xdr:colOff>514350</xdr:colOff>
                    <xdr:row>0</xdr:row>
                    <xdr:rowOff>152400</xdr:rowOff>
                  </from>
                  <to>
                    <xdr:col>49</xdr:col>
                    <xdr:colOff>381000</xdr:colOff>
                    <xdr:row>1</xdr:row>
                    <xdr:rowOff>200025</xdr:rowOff>
                  </to>
                </anchor>
              </controlPr>
            </control>
          </mc:Choice>
        </mc:AlternateContent>
        <mc:AlternateContent xmlns:mc="http://schemas.openxmlformats.org/markup-compatibility/2006">
          <mc:Choice Requires="x14">
            <control shapeId="59400" r:id="rId9" name="Option Button 8">
              <controlPr defaultSize="0" autoFill="0" autoLine="0" autoPict="0" macro="[0]!DoiDonViHienThi">
                <anchor moveWithCells="1">
                  <from>
                    <xdr:col>49</xdr:col>
                    <xdr:colOff>276225</xdr:colOff>
                    <xdr:row>0</xdr:row>
                    <xdr:rowOff>152400</xdr:rowOff>
                  </from>
                  <to>
                    <xdr:col>50</xdr:col>
                    <xdr:colOff>123825</xdr:colOff>
                    <xdr:row>1</xdr:row>
                    <xdr:rowOff>200025</xdr:rowOff>
                  </to>
                </anchor>
              </controlPr>
            </control>
          </mc:Choice>
        </mc:AlternateContent>
        <mc:AlternateContent xmlns:mc="http://schemas.openxmlformats.org/markup-compatibility/2006">
          <mc:Choice Requires="x14">
            <control shapeId="59401" r:id="rId10" name="Option Button 9">
              <controlPr defaultSize="0" autoFill="0" autoLine="0" autoPict="0" macro="[0]!DoiDonViHienThi">
                <anchor moveWithCells="1">
                  <from>
                    <xdr:col>50</xdr:col>
                    <xdr:colOff>9525</xdr:colOff>
                    <xdr:row>0</xdr:row>
                    <xdr:rowOff>152400</xdr:rowOff>
                  </from>
                  <to>
                    <xdr:col>50</xdr:col>
                    <xdr:colOff>542925</xdr:colOff>
                    <xdr:row>1</xdr:row>
                    <xdr:rowOff>200025</xdr:rowOff>
                  </to>
                </anchor>
              </controlPr>
            </control>
          </mc:Choice>
        </mc:AlternateContent>
        <mc:AlternateContent xmlns:mc="http://schemas.openxmlformats.org/markup-compatibility/2006">
          <mc:Choice Requires="x14">
            <control shapeId="59402" r:id="rId11" name="Option Button 10">
              <controlPr defaultSize="0" autoFill="0" autoLine="0" autoPict="0" macro="[0]!DoiDonViHienThi">
                <anchor moveWithCells="1">
                  <from>
                    <xdr:col>50</xdr:col>
                    <xdr:colOff>438150</xdr:colOff>
                    <xdr:row>0</xdr:row>
                    <xdr:rowOff>152400</xdr:rowOff>
                  </from>
                  <to>
                    <xdr:col>50</xdr:col>
                    <xdr:colOff>762000</xdr:colOff>
                    <xdr:row>1</xdr:row>
                    <xdr:rowOff>200025</xdr:rowOff>
                  </to>
                </anchor>
              </controlPr>
            </control>
          </mc:Choice>
        </mc:AlternateContent>
        <mc:AlternateContent xmlns:mc="http://schemas.openxmlformats.org/markup-compatibility/2006">
          <mc:Choice Requires="x14">
            <control shapeId="59403" r:id="rId12" name="Group Box 11">
              <controlPr defaultSize="0" autoFill="0" autoPict="0">
                <anchor moveWithCells="1">
                  <from>
                    <xdr:col>48</xdr:col>
                    <xdr:colOff>419100</xdr:colOff>
                    <xdr:row>0</xdr:row>
                    <xdr:rowOff>104775</xdr:rowOff>
                  </from>
                  <to>
                    <xdr:col>51</xdr:col>
                    <xdr:colOff>0</xdr:colOff>
                    <xdr:row>2</xdr:row>
                    <xdr:rowOff>9525</xdr:rowOff>
                  </to>
                </anchor>
              </controlPr>
            </control>
          </mc:Choice>
        </mc:AlternateContent>
        <mc:AlternateContent xmlns:mc="http://schemas.openxmlformats.org/markup-compatibility/2006">
          <mc:Choice Requires="x14">
            <control shapeId="59404" r:id="rId13" name="Group Box 12">
              <controlPr defaultSize="0" autoFill="0" autoPict="0">
                <anchor moveWithCells="1">
                  <from>
                    <xdr:col>46</xdr:col>
                    <xdr:colOff>57150</xdr:colOff>
                    <xdr:row>0</xdr:row>
                    <xdr:rowOff>104775</xdr:rowOff>
                  </from>
                  <to>
                    <xdr:col>48</xdr:col>
                    <xdr:colOff>381000</xdr:colOff>
                    <xdr:row>2</xdr:row>
                    <xdr:rowOff>9525</xdr:rowOff>
                  </to>
                </anchor>
              </controlPr>
            </control>
          </mc:Choice>
        </mc:AlternateContent>
        <mc:AlternateContent xmlns:mc="http://schemas.openxmlformats.org/markup-compatibility/2006">
          <mc:Choice Requires="x14">
            <control shapeId="59405" r:id="rId14" name="Button 13">
              <controlPr defaultSize="0" autoFill="0" autoPict="0" macro="[0]!NhanNghin">
                <anchor moveWithCells="1">
                  <from>
                    <xdr:col>46</xdr:col>
                    <xdr:colOff>133350</xdr:colOff>
                    <xdr:row>0</xdr:row>
                    <xdr:rowOff>200025</xdr:rowOff>
                  </from>
                  <to>
                    <xdr:col>46</xdr:col>
                    <xdr:colOff>552450</xdr:colOff>
                    <xdr:row>1</xdr:row>
                    <xdr:rowOff>142875</xdr:rowOff>
                  </to>
                </anchor>
              </controlPr>
            </control>
          </mc:Choice>
        </mc:AlternateContent>
        <mc:AlternateContent xmlns:mc="http://schemas.openxmlformats.org/markup-compatibility/2006">
          <mc:Choice Requires="x14">
            <control shapeId="59406" r:id="rId15" name="Button 14">
              <controlPr defaultSize="0" autoFill="0" autoPict="0" macro="[0]!NhanTrieu">
                <anchor moveWithCells="1">
                  <from>
                    <xdr:col>46</xdr:col>
                    <xdr:colOff>590550</xdr:colOff>
                    <xdr:row>0</xdr:row>
                    <xdr:rowOff>200025</xdr:rowOff>
                  </from>
                  <to>
                    <xdr:col>47</xdr:col>
                    <xdr:colOff>342900</xdr:colOff>
                    <xdr:row>1</xdr:row>
                    <xdr:rowOff>142875</xdr:rowOff>
                  </to>
                </anchor>
              </controlPr>
            </control>
          </mc:Choice>
        </mc:AlternateContent>
        <mc:AlternateContent xmlns:mc="http://schemas.openxmlformats.org/markup-compatibility/2006">
          <mc:Choice Requires="x14">
            <control shapeId="59407" r:id="rId16" name="Button 15">
              <controlPr defaultSize="0" autoFill="0" autoPict="0" macro="[0]!NhanTy">
                <anchor moveWithCells="1">
                  <from>
                    <xdr:col>47</xdr:col>
                    <xdr:colOff>390525</xdr:colOff>
                    <xdr:row>0</xdr:row>
                    <xdr:rowOff>200025</xdr:rowOff>
                  </from>
                  <to>
                    <xdr:col>48</xdr:col>
                    <xdr:colOff>304800</xdr:colOff>
                    <xdr:row>1</xdr:row>
                    <xdr:rowOff>142875</xdr:rowOff>
                  </to>
                </anchor>
              </controlPr>
            </control>
          </mc:Choice>
        </mc:AlternateContent>
        <mc:AlternateContent xmlns:mc="http://schemas.openxmlformats.org/markup-compatibility/2006">
          <mc:Choice Requires="x14">
            <control shapeId="59408" r:id="rId17" name="Button 16">
              <controlPr defaultSize="0" print="0" autoFill="0" autoPict="0" macro="[0]!AddRow">
                <anchor moveWithCells="1">
                  <from>
                    <xdr:col>45</xdr:col>
                    <xdr:colOff>0</xdr:colOff>
                    <xdr:row>20</xdr:row>
                    <xdr:rowOff>76200</xdr:rowOff>
                  </from>
                  <to>
                    <xdr:col>45</xdr:col>
                    <xdr:colOff>476250</xdr:colOff>
                    <xdr:row>21</xdr:row>
                    <xdr:rowOff>104775</xdr:rowOff>
                  </to>
                </anchor>
              </controlPr>
            </control>
          </mc:Choice>
        </mc:AlternateContent>
        <mc:AlternateContent xmlns:mc="http://schemas.openxmlformats.org/markup-compatibility/2006">
          <mc:Choice Requires="x14">
            <control shapeId="59409" r:id="rId18" name="Button 17">
              <controlPr defaultSize="0" print="0" autoFill="0" autoPict="0" macro="[0]!DeleteRow">
                <anchor moveWithCells="1">
                  <from>
                    <xdr:col>45</xdr:col>
                    <xdr:colOff>514350</xdr:colOff>
                    <xdr:row>20</xdr:row>
                    <xdr:rowOff>76200</xdr:rowOff>
                  </from>
                  <to>
                    <xdr:col>45</xdr:col>
                    <xdr:colOff>990600</xdr:colOff>
                    <xdr:row>21</xdr:row>
                    <xdr:rowOff>104775</xdr:rowOff>
                  </to>
                </anchor>
              </controlPr>
            </control>
          </mc:Choice>
        </mc:AlternateContent>
        <mc:AlternateContent xmlns:mc="http://schemas.openxmlformats.org/markup-compatibility/2006">
          <mc:Choice Requires="x14">
            <control shapeId="59410" r:id="rId19" name="Button 18">
              <controlPr defaultSize="0" print="0" autoFill="0" autoPict="0" macro="[0]!AddColumn">
                <anchor moveWithCells="1">
                  <from>
                    <xdr:col>71</xdr:col>
                    <xdr:colOff>66675</xdr:colOff>
                    <xdr:row>20</xdr:row>
                    <xdr:rowOff>47625</xdr:rowOff>
                  </from>
                  <to>
                    <xdr:col>71</xdr:col>
                    <xdr:colOff>581025</xdr:colOff>
                    <xdr:row>21</xdr:row>
                    <xdr:rowOff>76200</xdr:rowOff>
                  </to>
                </anchor>
              </controlPr>
            </control>
          </mc:Choice>
        </mc:AlternateContent>
        <mc:AlternateContent xmlns:mc="http://schemas.openxmlformats.org/markup-compatibility/2006">
          <mc:Choice Requires="x14">
            <control shapeId="59411" r:id="rId20" name="Button 19">
              <controlPr defaultSize="0" print="0" autoFill="0" autoPict="0" macro="[0]!DeleteColumn">
                <anchor moveWithCells="1">
                  <from>
                    <xdr:col>71</xdr:col>
                    <xdr:colOff>619125</xdr:colOff>
                    <xdr:row>20</xdr:row>
                    <xdr:rowOff>47625</xdr:rowOff>
                  </from>
                  <to>
                    <xdr:col>72</xdr:col>
                    <xdr:colOff>476250</xdr:colOff>
                    <xdr:row>21</xdr:row>
                    <xdr:rowOff>76200</xdr:rowOff>
                  </to>
                </anchor>
              </controlPr>
            </control>
          </mc:Choice>
        </mc:AlternateContent>
        <mc:AlternateContent xmlns:mc="http://schemas.openxmlformats.org/markup-compatibility/2006">
          <mc:Choice Requires="x14">
            <control shapeId="59412" r:id="rId21" name="Button 20">
              <controlPr defaultSize="0" print="0" autoFill="0" autoPict="0" macro="[0]!RefreshTables">
                <anchor moveWithCells="1">
                  <from>
                    <xdr:col>45</xdr:col>
                    <xdr:colOff>85725</xdr:colOff>
                    <xdr:row>2</xdr:row>
                    <xdr:rowOff>142875</xdr:rowOff>
                  </from>
                  <to>
                    <xdr:col>45</xdr:col>
                    <xdr:colOff>628650</xdr:colOff>
                    <xdr:row>3</xdr:row>
                    <xdr:rowOff>171450</xdr:rowOff>
                  </to>
                </anchor>
              </controlPr>
            </control>
          </mc:Choice>
        </mc:AlternateContent>
      </controls>
    </mc:Choice>
  </mc:AlternateContent>
  <tableParts count="1">
    <tablePart r:id="rId22"/>
  </tableParts>
  <extLst>
    <ext xmlns:x14="http://schemas.microsoft.com/office/spreadsheetml/2009/9/main" uri="{78C0D931-6437-407d-A8EE-F0AAD7539E65}">
      <x14:conditionalFormattings>
        <x14:conditionalFormatting xmlns:xm="http://schemas.microsoft.com/office/excel/2006/main">
          <x14:cfRule type="expression" priority="3" id="{32D3BEA5-FFBB-4C2B-AF50-AB69C29144D2}">
            <xm:f>Security!$A$1="NO VBA"</xm:f>
            <x14:dxf>
              <font>
                <color theme="0"/>
              </font>
              <border>
                <vertical/>
                <horizontal/>
              </border>
            </x14:dxf>
          </x14:cfRule>
          <xm:sqref>AU37:BS1048576 AX22:BM22 BT27:XFD1048576 AU27:AU36 BC27:BS29 BC23:XFD23 AX23:BB36 V23:AE23 S22:AE22 AT27:AT1048576 AT22:AU26 S28:AF38 AF22:AF23 AJ22 AJ28:AJ38 A22:A38 AK28:AS1048576 AK1:AS23 AT21:BL21 BO21:XFD22 AT1:XFD2 AT3:BQ3 BS3:XFD3 AT4:XFD20 D23:E26 G23:G26 D27:G38 O22:O38 D22:G22 O39:AJ1048576 A39:G1048576 O1:AJ21 A1:G21 BC24:BQ26 BS24:XFD26 BC32:BS33 BC30:BQ31 BS30:BS31 BC34:BQ36 BS34:BS36</xm:sqref>
        </x14:conditionalFormatting>
        <x14:conditionalFormatting xmlns:xm="http://schemas.microsoft.com/office/excel/2006/main">
          <x14:cfRule type="expression" priority="2" id="{833482DE-020A-41E2-ABA9-0BA970483797}">
            <xm:f>Security!$A$1="NO VBA"</xm:f>
            <x14:dxf>
              <font>
                <color theme="0"/>
              </font>
              <border>
                <vertical/>
                <horizontal/>
              </border>
            </x14:dxf>
          </x14:cfRule>
          <xm:sqref>N1:N1048576</xm:sqref>
        </x14:conditionalFormatting>
        <x14:conditionalFormatting xmlns:xm="http://schemas.microsoft.com/office/excel/2006/main">
          <x14:cfRule type="expression" priority="1" id="{90C2552A-898C-462A-B425-65512B6528EA}">
            <xm:f>Security!$A$1="NO VBA"</xm:f>
            <x14:dxf>
              <font>
                <color theme="0"/>
              </font>
              <border>
                <vertical/>
                <horizontal/>
              </border>
            </x14:dxf>
          </x14:cfRule>
          <xm:sqref>H1:M1048576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CE4B-0716-4280-B067-BD6BCAC12C8B}">
  <sheetPr codeName="Sheet18">
    <tabColor theme="9"/>
    <outlinePr summaryBelow="0" summaryRight="0"/>
  </sheetPr>
  <dimension ref="A1:AG5"/>
  <sheetViews>
    <sheetView showGridLines="0" workbookViewId="0">
      <selection activeCell="AB14" sqref="AB14"/>
    </sheetView>
  </sheetViews>
  <sheetFormatPr defaultRowHeight="18" customHeight="1" outlineLevelCol="1" x14ac:dyDescent="0.3"/>
  <cols>
    <col min="1" max="1" width="9.625" style="7" customWidth="1"/>
    <col min="2" max="2" width="5.25" style="7" bestFit="1" customWidth="1"/>
    <col min="3" max="3" width="11.25" style="7" bestFit="1" customWidth="1"/>
    <col min="4" max="4" width="5.625" style="7" bestFit="1" customWidth="1"/>
    <col min="5" max="5" width="5.875" style="7" bestFit="1" customWidth="1"/>
    <col min="6" max="6" width="7" style="38" bestFit="1" customWidth="1"/>
    <col min="7" max="7" width="8.875" style="38" customWidth="1"/>
    <col min="8" max="8" width="11.5" style="38" bestFit="1" customWidth="1"/>
    <col min="9" max="9" width="16.25" style="7" customWidth="1"/>
    <col min="10" max="10" width="10.125" style="7" customWidth="1" outlineLevel="1"/>
    <col min="11" max="11" width="9.75" style="7" customWidth="1" outlineLevel="1"/>
    <col min="12" max="12" width="14.125" style="7" customWidth="1" outlineLevel="1"/>
    <col min="13" max="13" width="14.125" style="7" customWidth="1"/>
    <col min="14" max="14" width="16.875" style="7" customWidth="1"/>
    <col min="15" max="15" width="9.375" style="7" customWidth="1" outlineLevel="1"/>
    <col min="16" max="16" width="17" style="7" customWidth="1" outlineLevel="1"/>
    <col min="17" max="17" width="20.875" style="7" bestFit="1" customWidth="1"/>
    <col min="18" max="18" width="19.5" style="7" bestFit="1" customWidth="1"/>
    <col min="19" max="19" width="23.375" style="7" bestFit="1" customWidth="1"/>
    <col min="20" max="20" width="15.625" style="7" bestFit="1" customWidth="1"/>
    <col min="21" max="21" width="15.625" style="7" customWidth="1"/>
    <col min="22" max="22" width="16.375" style="7" customWidth="1" outlineLevel="1"/>
    <col min="23" max="23" width="10.875" style="7" customWidth="1" outlineLevel="1"/>
    <col min="24" max="25" width="14.5" style="7" customWidth="1" outlineLevel="1"/>
    <col min="26" max="26" width="9.75" style="7" customWidth="1" outlineLevel="1"/>
    <col min="27" max="27" width="15.375" style="38" customWidth="1" outlineLevel="1"/>
    <col min="28" max="28" width="14.5" style="38" bestFit="1" customWidth="1"/>
    <col min="29" max="29" width="9" style="38" customWidth="1"/>
    <col min="30" max="30" width="12.875" style="38" bestFit="1" customWidth="1"/>
    <col min="31" max="33" width="9" style="38"/>
    <col min="34" max="34" width="12.125" style="7" customWidth="1"/>
    <col min="35" max="35" width="11.375" style="7" customWidth="1"/>
    <col min="36" max="36" width="9.875" style="7" customWidth="1"/>
    <col min="37" max="37" width="10.125" style="7" customWidth="1"/>
    <col min="38" max="38" width="6.625" style="7" bestFit="1" customWidth="1"/>
    <col min="39" max="16384" width="9" style="7"/>
  </cols>
  <sheetData>
    <row r="1" spans="1:33" ht="22.5" customHeight="1" x14ac:dyDescent="0.3">
      <c r="F1" s="7"/>
      <c r="G1" s="7"/>
      <c r="H1" s="7"/>
      <c r="AA1" s="7"/>
      <c r="AB1" s="7"/>
      <c r="AC1" s="7"/>
      <c r="AD1" s="7"/>
      <c r="AE1" s="7"/>
      <c r="AF1" s="7"/>
      <c r="AG1" s="7"/>
    </row>
    <row r="2" spans="1:33" ht="18" customHeight="1" x14ac:dyDescent="0.3">
      <c r="F2" s="7"/>
      <c r="G2" s="7"/>
      <c r="H2" s="7"/>
      <c r="AA2" s="7"/>
      <c r="AB2" s="7"/>
      <c r="AC2" s="7"/>
      <c r="AD2" s="7"/>
      <c r="AE2" s="7"/>
      <c r="AF2" s="7"/>
      <c r="AG2" s="7"/>
    </row>
    <row r="3" spans="1:33" ht="18" customHeight="1" x14ac:dyDescent="0.3">
      <c r="B3" s="233">
        <v>1</v>
      </c>
      <c r="C3" s="51" t="str">
        <f>CONCATENATE(
"CP-",I3,"-",
MOD(E3,100)*100+F3,
"-",B3)</f>
        <v>CP--0-1</v>
      </c>
      <c r="D3" s="63">
        <f>IFERROR(
IF(ISBLANK(F3),
DATE(E3,12,1),
DATE(E3,F3,1)),0)</f>
        <v>336</v>
      </c>
      <c r="E3" s="230"/>
      <c r="F3" s="230"/>
      <c r="G3" s="407"/>
      <c r="H3" s="407"/>
      <c r="I3" s="230"/>
      <c r="J3" s="51">
        <f xml:space="preserve">
IFERROR(
VLOOKUP(I3,Table_NhanVien[],COUNTA(Table_NhanVien[[#Headers],[Mã NV]:[Chức năng]]),0),0)</f>
        <v>0</v>
      </c>
      <c r="K3" s="409">
        <f xml:space="preserve">
IFERROR(
VLOOKUP(I3,Table_NhanVien[],COUNTA(Table_NhanVien[[#Headers],[Mã NV]:[Người phụ thuộc]]),0),0)</f>
        <v>0</v>
      </c>
      <c r="L3" s="48">
        <f xml:space="preserve">
IFERROR(
VLOOKUP(I3,Table_NhanVien[],COUNTA(Table_NhanVien[[#Headers],[Mã NV]:[Lương gross]]),0),0)</f>
        <v>0</v>
      </c>
      <c r="M3" s="409">
        <f>Sheet_ChamCong!Z7</f>
        <v>0</v>
      </c>
      <c r="N3" s="120" t="e">
        <f>Sheet_ChamCong!X6</f>
        <v>#N/A</v>
      </c>
      <c r="O3" s="48" cm="1">
        <f t="array" ref="O3">IFERROR(SUM(
_xlfn._xlws.FILTER(Table_Main[Hoa hồng],
(Table_Main[NV Bán hàng] =I3)*
(Table_Main[Ngày lên đơn] &gt;= D3)*
(Table_Main[Ngày lên đơn] &lt; DATE(E3,F3+1, 1))
)),0)</f>
        <v>0</v>
      </c>
      <c r="P3" s="48" cm="1">
        <f t="array" ref="P3" xml:space="preserve">
IF(NOT(ISBLANK(F3)),
+IFERROR(
SUM(_xlfn._xlws.FILTER(Table_KPI[Thưởng KPI],
(NOT(ISBLANK(Table_KPI[Tháng]))) *
(Table_KPI[Nhân viên] = I3)*
(Table_KPI[Kỳ] &gt;= D3) *
(Table_KPI[Kỳ] &lt; DATE(E3,F3+1, 1))
)),0),0)</f>
        <v>0</v>
      </c>
      <c r="Q3" s="393"/>
      <c r="R3" s="409"/>
      <c r="S3" s="409"/>
      <c r="T3" s="409"/>
      <c r="U3" s="48" t="e">
        <f>ChamCong_MienThueOT</f>
        <v>#N/A</v>
      </c>
      <c r="V3" s="48">
        <f xml:space="preserve">
IF(ISBLANK(F3),0,
+N3+O3+P3+Q3+R3+S3-U3-ChiPhiNV_GiamTruBanThan-ChiPhiNV_GiamTruPhuThuoc*K3)</f>
        <v>0</v>
      </c>
      <c r="W3" s="48" cm="1">
        <f t="array" ref="W3" xml:space="preserve">
MAX(0,IFERROR(
SUM(_xlfn._xlws.FILTER(Table_ChiPhiNV_ThueSuatTNCN[Thuế lũy kế],
(NOT(ISBLANK(Table_ChiPhiNV_ThueSuatTNCN[Thu nhập tối đa])))*
(Table_ChiPhiNV_ThueSuatTNCN[Thu nhập tối thiểu]&lt;V3)*
(Table_ChiPhiNV_ThueSuatTNCN[Thu nhập tối đa]&gt;=V3)
)),0)
+
IFERROR(
SUM(_xlfn._xlws.FILTER(Table_ChiPhiNV_ThueSuatTNCN[Thuế suất],
(NOT(ISBLANK(Table_ChiPhiNV_ThueSuatTNCN[Thu nhập tối đa])))*
(Table_ChiPhiNV_ThueSuatTNCN[Thu nhập tối thiểu]&lt;V3)*
(Table_ChiPhiNV_ThueSuatTNCN[Thu nhập tối đa]&gt;=V3)
)),0)*
(V3
- IFERROR(
SUM(_xlfn._xlws.FILTER(Table_ChiPhiNV_ThueSuatTNCN[Thu nhập tối thiểu],
(NOT(ISBLANK(Table_ChiPhiNV_ThueSuatTNCN[Thu nhập tối đa])))*
(Table_ChiPhiNV_ThueSuatTNCN[Thu nhập tối thiểu]&lt;V3)*
(Table_ChiPhiNV_ThueSuatTNCN[Thu nhập tối đa]&gt;=V3)
)),0))
+IFERROR(
MAX(_xlfn._xlws.FILTER(Table_ChiPhiNV_ThueSuatTNCN[Thuế lũy kế],
(Table_ChiPhiNV_ThueSuatTNCN[Thu nhập tối thiểu]&lt;V3)*
(ISBLANK(Table_ChiPhiNV_ThueSuatTNCN[Thu nhập tối đa]))
)),0)
+
IFERROR(
MAX(_xlfn._xlws.FILTER(Table_ChiPhiNV_ThueSuatTNCN[Thuế suất],
(Table_ChiPhiNV_ThueSuatTNCN[Thu nhập tối thiểu]&lt;V3)*
(ISBLANK(Table_ChiPhiNV_ThueSuatTNCN[Thu nhập tối đa]))
)),0)*
(V3
- IFERROR(
MAX(_xlfn._xlws.FILTER(Table_ChiPhiNV_ThueSuatTNCN[Thu nhập tối thiểu],
(Table_ChiPhiNV_ThueSuatTNCN[Thu nhập tối thiểu]&lt;V3)*
(ISBLANK(Table_ChiPhiNV_ThueSuatTNCN[Thu nhập tối đa]))
)),0)))</f>
        <v>0</v>
      </c>
      <c r="X3" s="48">
        <f>IF(ISBLANK(F3),0,
IF(
L3 &lt;BHXH_LuongMax,
L3 * BHXH_TyLeDN,
BHXH_LuongMax * BHXH_TyLeDN
)
+IF(
L3 &lt; BHYT_LuongMax,
L3 * BHYT_TyLeDN,
BHYT_LuongMax * BHYT_TyLeDN
)
+IF(L3 &lt;BHTN_LuongMax,
L3 * BHTN_TyLeDN,
BHTN_LuongMax * BHTN_TyLeDN
)
)</f>
        <v>0</v>
      </c>
      <c r="Y3" s="48">
        <f>IF(ISBLANK(F3),0,
IF(
L3 &lt; BHXH_LuongMax,
L3 * BHXH_TyLeNV,
BHXH_LuongMax *BHXH_TyLeNV
)
+IF(
L3 &lt; BHYT_LuongMax,
L3 * BHYT_TyLeNV,
BHYT_LuongMax * BHYT_TyLeNV
)
+IF(
L3 &lt; BHTN_LuongMax,
L3 * BHTN_TyLeNV,
BHTN_LuongMax * BHTN_TyLeNV
)
)</f>
        <v>0</v>
      </c>
      <c r="Z3" s="48">
        <f xml:space="preserve">
IF(ISBLANK(F3),0,
IF(N3+O3+P3+Q3+R3+S3+T3-W3&lt;0,0,
N3+O3+P3+Q3+R3+S3+T3-W3))</f>
        <v>0</v>
      </c>
      <c r="AA3" s="48" t="e">
        <f xml:space="preserve">
IF(ISBLANK(F3),N3,N3+O3+P3+R3+X3+T3)</f>
        <v>#N/A</v>
      </c>
      <c r="AB3" s="48" t="e">
        <f>AA3</f>
        <v>#N/A</v>
      </c>
      <c r="AC3" s="235"/>
      <c r="AD3" s="235"/>
      <c r="AE3" s="7"/>
      <c r="AF3" s="7"/>
      <c r="AG3" s="7"/>
    </row>
    <row r="4" spans="1:33" ht="18" customHeight="1" x14ac:dyDescent="0.3">
      <c r="A4" s="28"/>
      <c r="B4" s="7" t="s">
        <v>643</v>
      </c>
      <c r="C4" s="7" t="s">
        <v>644</v>
      </c>
      <c r="D4" s="7" t="s">
        <v>3</v>
      </c>
      <c r="E4" s="7" t="s">
        <v>2</v>
      </c>
      <c r="F4" s="7" t="s">
        <v>1</v>
      </c>
      <c r="G4" s="7" t="s">
        <v>645</v>
      </c>
      <c r="H4" s="7" t="s">
        <v>646</v>
      </c>
      <c r="I4" s="7" t="s">
        <v>37</v>
      </c>
      <c r="J4" s="7" t="s">
        <v>588</v>
      </c>
      <c r="K4" s="7" t="s">
        <v>647</v>
      </c>
      <c r="L4" s="7" t="s">
        <v>622</v>
      </c>
      <c r="M4" s="7" t="s">
        <v>1242</v>
      </c>
      <c r="N4" s="7" t="s">
        <v>648</v>
      </c>
      <c r="O4" s="7" t="s">
        <v>141</v>
      </c>
      <c r="P4" s="7" t="s">
        <v>895</v>
      </c>
      <c r="Q4" s="7" t="s">
        <v>896</v>
      </c>
      <c r="R4" s="7" t="s">
        <v>649</v>
      </c>
      <c r="S4" s="7" t="s">
        <v>650</v>
      </c>
      <c r="T4" s="7" t="s">
        <v>651</v>
      </c>
      <c r="U4" s="7" t="s">
        <v>894</v>
      </c>
      <c r="V4" s="7" t="s">
        <v>652</v>
      </c>
      <c r="W4" s="7" t="s">
        <v>653</v>
      </c>
      <c r="X4" s="7" t="s">
        <v>654</v>
      </c>
      <c r="Y4" s="7" t="s">
        <v>655</v>
      </c>
      <c r="Z4" s="7" t="s">
        <v>656</v>
      </c>
      <c r="AA4" s="7" t="s">
        <v>258</v>
      </c>
      <c r="AB4" s="7" t="s">
        <v>657</v>
      </c>
      <c r="AC4" s="7" t="s">
        <v>883</v>
      </c>
      <c r="AD4" s="7" t="s">
        <v>1253</v>
      </c>
      <c r="AE4" s="7"/>
      <c r="AF4" s="7"/>
      <c r="AG4" s="7"/>
    </row>
    <row r="5" spans="1:33" ht="18" customHeight="1" x14ac:dyDescent="0.3">
      <c r="B5" s="233" cm="1">
        <f t="array" ref="B5" xml:space="preserve">
IFERROR(
COUNTA(_xlfn._xlws.FILTER(Table_ChiPhiNV[Nhân viên],
(Table_ChiPhiNV[Năm] = E5) *
(Table_ChiPhiNV[Tháng] = F5)*
(Table_ChiPhiNV[Nhân viên] = I5)
)),0)+1</f>
        <v>2</v>
      </c>
      <c r="C5" s="51" t="str">
        <f>CONCATENATE(
"CP-",I5,"-",
MOD(E5,100)*100+F5,
"-",B5)</f>
        <v>CP--0-2</v>
      </c>
      <c r="D5" s="63">
        <f>IFERROR(
IF(ISBLANK(F5),
DATE(E5,12,1),
DATE(E5,F5,1)),0)</f>
        <v>336</v>
      </c>
      <c r="F5" s="7"/>
      <c r="G5" s="407"/>
      <c r="H5" s="407"/>
      <c r="J5" s="51">
        <f xml:space="preserve">
IFERROR(
VLOOKUP(I5,Table_NhanVien[],COUNTA(Table_NhanVien[[#Headers],[Mã NV]:[Chức năng]]),0),0)</f>
        <v>0</v>
      </c>
      <c r="K5" s="409">
        <f xml:space="preserve">
IFERROR(
VLOOKUP(I5,Table_NhanVien[],COUNTA(Table_NhanVien[[#Headers],[Mã NV]:[Người phụ thuộc]]),0),0)</f>
        <v>0</v>
      </c>
      <c r="L5" s="48">
        <f xml:space="preserve">
IFERROR(
VLOOKUP(I5,Table_NhanVien[],COUNTA(Table_NhanVien[[#Headers],[Mã NV]:[Lương gross]]),0),0)</f>
        <v>0</v>
      </c>
      <c r="M5" s="409"/>
      <c r="N5" s="48" t="e">
        <f>ChamCong_LuongTT</f>
        <v>#N/A</v>
      </c>
      <c r="O5" s="48" cm="1">
        <f t="array" ref="O5">IFERROR(SUM(
_xlfn._xlws.FILTER(Table_Main[Hoa hồng],
(Table_Main[NV Bán hàng] =I5)*
(Table_Main[Ngày lên đơn] &gt;= D5)*
(Table_Main[Ngày lên đơn] &lt; DATE(E5,F5+1, 1))
)),0)</f>
        <v>0</v>
      </c>
      <c r="P5" s="48" cm="1">
        <f t="array" ref="P5" xml:space="preserve">
IF(NOT(ISBLANK(F5)),
+IFERROR(
SUM(_xlfn._xlws.FILTER(Table_KPI[Thưởng KPI],
(NOT(ISBLANK(Table_KPI[Tháng]))) *
(Table_KPI[Nhân viên] = I5)*
(Table_KPI[Kỳ] &gt;= D5) *
(Table_KPI[Kỳ] &lt; DATE(E5,F5+1, 1))
)),0),0)</f>
        <v>0</v>
      </c>
      <c r="Q5" s="393"/>
      <c r="R5" s="409"/>
      <c r="S5" s="409"/>
      <c r="T5" s="409"/>
      <c r="U5" s="48" t="e">
        <f t="shared" ref="U5" si="0">ChamCong_MienThueOT</f>
        <v>#N/A</v>
      </c>
      <c r="V5" s="48">
        <f xml:space="preserve">
IF(ISBLANK(F5),0,
+N5+O5+P5+Q5+R5+S5-Table_ChiPhiNV[[#This Row],[Miễn thuế tăng ca]]-ChiPhiNV_GiamTruBanThan-ChiPhiNV_GiamTruPhuThuoc*K5)</f>
        <v>0</v>
      </c>
      <c r="W5" s="48" cm="1">
        <f t="array" ref="W5"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f>
        <v>0</v>
      </c>
      <c r="X5" s="48">
        <f>IF(ISBLANK(F5),0,
IF(
L5 &lt;BHXH_LuongMax,
L5 * BHXH_TyLeDN,
BHXH_LuongMax * BHXH_TyLeDN
)
+IF(
L5 &lt; BHYT_LuongMax,
L5 * BHYT_TyLeDN,
BHYT_LuongMax * BHYT_TyLeDN
)
+IF(L5 &lt;BHTN_LuongMax,
L5 * BHTN_TyLeDN,
BHTN_LuongMax * BHTN_TyLeDN
)
)</f>
        <v>0</v>
      </c>
      <c r="Y5" s="48">
        <f>IF(ISBLANK(F5),0,
IF(
L5 &lt; BHXH_LuongMax,
L5 * BHXH_TyLeNV,
BHXH_LuongMax *BHXH_TyLeNV
)
+IF(
L5 &lt; BHYT_LuongMax,
L5 * BHYT_TyLeNV,
BHYT_LuongMax * BHYT_TyLeNV
)
+IF(
L5 &lt; BHTN_LuongMax,
L5 * BHTN_TyLeNV,
BHTN_LuongMax * BHTN_TyLeNV
)
)</f>
        <v>0</v>
      </c>
      <c r="Z5" s="48">
        <f xml:space="preserve">
IF(ISBLANK(F5),0,
IF(N5+O5+P5+Q5+R5+S5+T5-W5&lt;0,0,
N5+O5+P5+Q5+R5+S5+T5-W5))</f>
        <v>0</v>
      </c>
      <c r="AA5" s="48" t="e">
        <f xml:space="preserve">
IF(ISBLANK(F5),N5,N5+O5+P5+R5+X5+T5)</f>
        <v>#N/A</v>
      </c>
      <c r="AB5" s="48" t="e">
        <f>AA5</f>
        <v>#N/A</v>
      </c>
      <c r="AC5" s="235"/>
      <c r="AD5" s="214" cm="1">
        <f t="array" ref="AD5"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f>
        <v>0</v>
      </c>
      <c r="AE5" s="7"/>
      <c r="AF5" s="7"/>
      <c r="AG5" s="7"/>
    </row>
  </sheetData>
  <sheetProtection algorithmName="SHA-512" hashValue="akmYxbYAGAOJy0NwxoFRJe6FjrSsw3B0HVbvhXAO2mdxE2mdU/ynxb5IwqemJK/84wAUcVBB+DKrnMuLM0KXSw==" saltValue="TcQ3wvA41EiDwMteXfyCQg==" spinCount="100000" sheet="1" scenarios="1" formatCells="0" formatColumns="0" formatRows="0" insertColumns="0" insertRows="0" deleteColumns="0" deleteRows="0" sort="0" autoFilter="0" pivotTables="0"/>
  <protectedRanges>
    <protectedRange sqref="I5" name="Range1_4"/>
  </protectedRanges>
  <phoneticPr fontId="14" type="noConversion"/>
  <dataValidations count="2">
    <dataValidation type="list" allowBlank="1" showInputMessage="1" showErrorMessage="1" sqref="I3" xr:uid="{DAD6862D-5D70-4883-9CDA-F4E3D894E35F}">
      <formula1>MaNhanVien</formula1>
    </dataValidation>
    <dataValidation type="list" allowBlank="1" showInputMessage="1" sqref="I5" xr:uid="{01B7CE31-EDBA-45B7-8F3D-8B1EF85D264F}">
      <formula1>MaNhanVien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1" r:id="rId4" name="Button 5">
              <controlPr defaultSize="0" print="0" autoFill="0" autoPict="0" macro="[0]!CopyToTable">
                <anchor moveWithCells="1">
                  <from>
                    <xdr:col>28</xdr:col>
                    <xdr:colOff>438150</xdr:colOff>
                    <xdr:row>1</xdr:row>
                    <xdr:rowOff>219075</xdr:rowOff>
                  </from>
                  <to>
                    <xdr:col>29</xdr:col>
                    <xdr:colOff>295275</xdr:colOff>
                    <xdr:row>3</xdr:row>
                    <xdr:rowOff>19050</xdr:rowOff>
                  </to>
                </anchor>
              </controlPr>
            </control>
          </mc:Choice>
        </mc:AlternateContent>
        <mc:AlternateContent xmlns:mc="http://schemas.openxmlformats.org/markup-compatibility/2006">
          <mc:Choice Requires="x14">
            <control shapeId="60427" r:id="rId5" name="Option Button 11">
              <controlPr defaultSize="0" autoFill="0" autoLine="0" autoPict="0" macro="[0]!DoiDonViHienThi">
                <anchor moveWithCells="1">
                  <from>
                    <xdr:col>4</xdr:col>
                    <xdr:colOff>190500</xdr:colOff>
                    <xdr:row>0</xdr:row>
                    <xdr:rowOff>152400</xdr:rowOff>
                  </from>
                  <to>
                    <xdr:col>5</xdr:col>
                    <xdr:colOff>333375</xdr:colOff>
                    <xdr:row>1</xdr:row>
                    <xdr:rowOff>142875</xdr:rowOff>
                  </to>
                </anchor>
              </controlPr>
            </control>
          </mc:Choice>
        </mc:AlternateContent>
        <mc:AlternateContent xmlns:mc="http://schemas.openxmlformats.org/markup-compatibility/2006">
          <mc:Choice Requires="x14">
            <control shapeId="60428" r:id="rId6" name="Option Button 12">
              <controlPr defaultSize="0" autoFill="0" autoLine="0" autoPict="0" macro="[0]!DoiDonViHienThi">
                <anchor moveWithCells="1">
                  <from>
                    <xdr:col>5</xdr:col>
                    <xdr:colOff>209550</xdr:colOff>
                    <xdr:row>0</xdr:row>
                    <xdr:rowOff>152400</xdr:rowOff>
                  </from>
                  <to>
                    <xdr:col>6</xdr:col>
                    <xdr:colOff>266700</xdr:colOff>
                    <xdr:row>1</xdr:row>
                    <xdr:rowOff>142875</xdr:rowOff>
                  </to>
                </anchor>
              </controlPr>
            </control>
          </mc:Choice>
        </mc:AlternateContent>
        <mc:AlternateContent xmlns:mc="http://schemas.openxmlformats.org/markup-compatibility/2006">
          <mc:Choice Requires="x14">
            <control shapeId="60429" r:id="rId7" name="Option Button 13">
              <controlPr defaultSize="0" autoFill="0" autoLine="0" autoPict="0" macro="[0]!DoiDonViHienThi">
                <anchor moveWithCells="1">
                  <from>
                    <xdr:col>6</xdr:col>
                    <xdr:colOff>142875</xdr:colOff>
                    <xdr:row>0</xdr:row>
                    <xdr:rowOff>152400</xdr:rowOff>
                  </from>
                  <to>
                    <xdr:col>7</xdr:col>
                    <xdr:colOff>57150</xdr:colOff>
                    <xdr:row>1</xdr:row>
                    <xdr:rowOff>142875</xdr:rowOff>
                  </to>
                </anchor>
              </controlPr>
            </control>
          </mc:Choice>
        </mc:AlternateContent>
        <mc:AlternateContent xmlns:mc="http://schemas.openxmlformats.org/markup-compatibility/2006">
          <mc:Choice Requires="x14">
            <control shapeId="60430" r:id="rId8" name="Option Button 14">
              <controlPr defaultSize="0" autoFill="0" autoLine="0" autoPict="0" macro="[0]!DoiDonViHienThi">
                <anchor moveWithCells="1">
                  <from>
                    <xdr:col>6</xdr:col>
                    <xdr:colOff>619125</xdr:colOff>
                    <xdr:row>0</xdr:row>
                    <xdr:rowOff>152400</xdr:rowOff>
                  </from>
                  <to>
                    <xdr:col>7</xdr:col>
                    <xdr:colOff>295275</xdr:colOff>
                    <xdr:row>1</xdr:row>
                    <xdr:rowOff>142875</xdr:rowOff>
                  </to>
                </anchor>
              </controlPr>
            </control>
          </mc:Choice>
        </mc:AlternateContent>
        <mc:AlternateContent xmlns:mc="http://schemas.openxmlformats.org/markup-compatibility/2006">
          <mc:Choice Requires="x14">
            <control shapeId="60431" r:id="rId9" name="Group Box 15">
              <controlPr defaultSize="0" autoFill="0" autoPict="0">
                <anchor moveWithCells="1">
                  <from>
                    <xdr:col>4</xdr:col>
                    <xdr:colOff>76200</xdr:colOff>
                    <xdr:row>0</xdr:row>
                    <xdr:rowOff>104775</xdr:rowOff>
                  </from>
                  <to>
                    <xdr:col>7</xdr:col>
                    <xdr:colOff>409575</xdr:colOff>
                    <xdr:row>1</xdr:row>
                    <xdr:rowOff>180975</xdr:rowOff>
                  </to>
                </anchor>
              </controlPr>
            </control>
          </mc:Choice>
        </mc:AlternateContent>
        <mc:AlternateContent xmlns:mc="http://schemas.openxmlformats.org/markup-compatibility/2006">
          <mc:Choice Requires="x14">
            <control shapeId="60432" r:id="rId10" name="Group Box 16">
              <controlPr defaultSize="0" autoFill="0" autoPict="0">
                <anchor moveWithCells="1">
                  <from>
                    <xdr:col>1</xdr:col>
                    <xdr:colOff>57150</xdr:colOff>
                    <xdr:row>0</xdr:row>
                    <xdr:rowOff>104775</xdr:rowOff>
                  </from>
                  <to>
                    <xdr:col>4</xdr:col>
                    <xdr:colOff>28575</xdr:colOff>
                    <xdr:row>1</xdr:row>
                    <xdr:rowOff>180975</xdr:rowOff>
                  </to>
                </anchor>
              </controlPr>
            </control>
          </mc:Choice>
        </mc:AlternateContent>
        <mc:AlternateContent xmlns:mc="http://schemas.openxmlformats.org/markup-compatibility/2006">
          <mc:Choice Requires="x14">
            <control shapeId="60433" r:id="rId11" name="Button 17">
              <controlPr defaultSize="0" autoFill="0" autoPict="0" macro="[0]!NhanNghin">
                <anchor moveWithCells="1">
                  <from>
                    <xdr:col>1</xdr:col>
                    <xdr:colOff>142875</xdr:colOff>
                    <xdr:row>0</xdr:row>
                    <xdr:rowOff>200025</xdr:rowOff>
                  </from>
                  <to>
                    <xdr:col>2</xdr:col>
                    <xdr:colOff>209550</xdr:colOff>
                    <xdr:row>1</xdr:row>
                    <xdr:rowOff>85725</xdr:rowOff>
                  </to>
                </anchor>
              </controlPr>
            </control>
          </mc:Choice>
        </mc:AlternateContent>
        <mc:AlternateContent xmlns:mc="http://schemas.openxmlformats.org/markup-compatibility/2006">
          <mc:Choice Requires="x14">
            <control shapeId="60434" r:id="rId12" name="Button 18">
              <controlPr defaultSize="0" autoFill="0" autoPict="0" macro="[0]!NhanTrieu">
                <anchor moveWithCells="1">
                  <from>
                    <xdr:col>2</xdr:col>
                    <xdr:colOff>257175</xdr:colOff>
                    <xdr:row>0</xdr:row>
                    <xdr:rowOff>200025</xdr:rowOff>
                  </from>
                  <to>
                    <xdr:col>2</xdr:col>
                    <xdr:colOff>723900</xdr:colOff>
                    <xdr:row>1</xdr:row>
                    <xdr:rowOff>85725</xdr:rowOff>
                  </to>
                </anchor>
              </controlPr>
            </control>
          </mc:Choice>
        </mc:AlternateContent>
        <mc:AlternateContent xmlns:mc="http://schemas.openxmlformats.org/markup-compatibility/2006">
          <mc:Choice Requires="x14">
            <control shapeId="60435" r:id="rId13" name="Button 19">
              <controlPr defaultSize="0" autoFill="0" autoPict="0" macro="[0]!NhanTy">
                <anchor moveWithCells="1">
                  <from>
                    <xdr:col>2</xdr:col>
                    <xdr:colOff>771525</xdr:colOff>
                    <xdr:row>0</xdr:row>
                    <xdr:rowOff>200025</xdr:rowOff>
                  </from>
                  <to>
                    <xdr:col>3</xdr:col>
                    <xdr:colOff>381000</xdr:colOff>
                    <xdr:row>1</xdr:row>
                    <xdr:rowOff>85725</xdr:rowOff>
                  </to>
                </anchor>
              </controlPr>
            </control>
          </mc:Choice>
        </mc:AlternateContent>
        <mc:AlternateContent xmlns:mc="http://schemas.openxmlformats.org/markup-compatibility/2006">
          <mc:Choice Requires="x14">
            <control shapeId="60436" r:id="rId14" name="Button 20">
              <controlPr defaultSize="0" print="0" autoFill="0" autoPict="0" macro="[0]!AddRow">
                <anchor moveWithCells="1">
                  <from>
                    <xdr:col>8</xdr:col>
                    <xdr:colOff>0</xdr:colOff>
                    <xdr:row>0</xdr:row>
                    <xdr:rowOff>85725</xdr:rowOff>
                  </from>
                  <to>
                    <xdr:col>8</xdr:col>
                    <xdr:colOff>476250</xdr:colOff>
                    <xdr:row>1</xdr:row>
                    <xdr:rowOff>57150</xdr:rowOff>
                  </to>
                </anchor>
              </controlPr>
            </control>
          </mc:Choice>
        </mc:AlternateContent>
        <mc:AlternateContent xmlns:mc="http://schemas.openxmlformats.org/markup-compatibility/2006">
          <mc:Choice Requires="x14">
            <control shapeId="60437" r:id="rId15" name="Button 21">
              <controlPr defaultSize="0" print="0" autoFill="0" autoPict="0" macro="[0]!DeleteRow">
                <anchor moveWithCells="1">
                  <from>
                    <xdr:col>8</xdr:col>
                    <xdr:colOff>514350</xdr:colOff>
                    <xdr:row>0</xdr:row>
                    <xdr:rowOff>85725</xdr:rowOff>
                  </from>
                  <to>
                    <xdr:col>8</xdr:col>
                    <xdr:colOff>990600</xdr:colOff>
                    <xdr:row>1</xdr:row>
                    <xdr:rowOff>57150</xdr:rowOff>
                  </to>
                </anchor>
              </controlPr>
            </control>
          </mc:Choice>
        </mc:AlternateContent>
        <mc:AlternateContent xmlns:mc="http://schemas.openxmlformats.org/markup-compatibility/2006">
          <mc:Choice Requires="x14">
            <control shapeId="60438" r:id="rId16" name="Button 22">
              <controlPr defaultSize="0" print="0" autoFill="0" autoPict="0" macro="[0]!AddColumn">
                <anchor moveWithCells="1">
                  <from>
                    <xdr:col>28</xdr:col>
                    <xdr:colOff>123825</xdr:colOff>
                    <xdr:row>0</xdr:row>
                    <xdr:rowOff>123825</xdr:rowOff>
                  </from>
                  <to>
                    <xdr:col>28</xdr:col>
                    <xdr:colOff>638175</xdr:colOff>
                    <xdr:row>1</xdr:row>
                    <xdr:rowOff>95250</xdr:rowOff>
                  </to>
                </anchor>
              </controlPr>
            </control>
          </mc:Choice>
        </mc:AlternateContent>
        <mc:AlternateContent xmlns:mc="http://schemas.openxmlformats.org/markup-compatibility/2006">
          <mc:Choice Requires="x14">
            <control shapeId="60439" r:id="rId17" name="Button 23">
              <controlPr defaultSize="0" print="0" autoFill="0" autoPict="0" macro="[0]!DeleteColumn">
                <anchor moveWithCells="1">
                  <from>
                    <xdr:col>28</xdr:col>
                    <xdr:colOff>676275</xdr:colOff>
                    <xdr:row>0</xdr:row>
                    <xdr:rowOff>123825</xdr:rowOff>
                  </from>
                  <to>
                    <xdr:col>29</xdr:col>
                    <xdr:colOff>533400</xdr:colOff>
                    <xdr:row>1</xdr:row>
                    <xdr:rowOff>95250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AEEC1A20-CB6B-44CA-A5ED-FB0FC4F8AB84}">
            <xm:f>Security!$A$1="NO VBA"</xm:f>
            <x14:dxf>
              <font>
                <color theme="0"/>
              </font>
              <border>
                <vertical/>
                <horizontal/>
              </border>
            </x14:dxf>
          </x14:cfRule>
          <xm:sqref>A4:L4 AD4:XFD4 A1:XFD3 A5:XFD1048576 N4:AB4</xm:sqref>
        </x14:conditionalFormatting>
        <x14:conditionalFormatting xmlns:xm="http://schemas.microsoft.com/office/excel/2006/main">
          <x14:cfRule type="expression" priority="1" id="{037BA51E-3A52-4801-BFB1-E8E942AE11D7}">
            <xm:f>Security!$A$1="NO VBA"</xm:f>
            <x14:dxf>
              <font>
                <color theme="0"/>
              </font>
              <border>
                <vertical/>
                <horizontal/>
              </border>
            </x14:dxf>
          </x14:cfRule>
          <xm:sqref>AC4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outlinePr summaryBelow="0" summaryRight="0"/>
  </sheetPr>
  <dimension ref="A1:BN57"/>
  <sheetViews>
    <sheetView showGridLines="0" workbookViewId="0">
      <selection activeCell="U19" sqref="U19"/>
    </sheetView>
  </sheetViews>
  <sheetFormatPr defaultRowHeight="18" customHeight="1" outlineLevelRow="1" outlineLevelCol="2" x14ac:dyDescent="0.3"/>
  <cols>
    <col min="1" max="1" width="9.625" style="7" customWidth="1" collapsed="1"/>
    <col min="2" max="2" width="8.5" style="7" hidden="1" customWidth="1" outlineLevel="1"/>
    <col min="3" max="3" width="11.75" style="7" hidden="1" customWidth="1" outlineLevel="1"/>
    <col min="4" max="4" width="1.625" style="7" hidden="1" customWidth="1" outlineLevel="1"/>
    <col min="5" max="5" width="11.75" style="7" hidden="1" customWidth="1" outlineLevel="1"/>
    <col min="6" max="6" width="8.625" style="7" hidden="1" customWidth="1" outlineLevel="1"/>
    <col min="7" max="7" width="8.5" style="7" hidden="1" customWidth="1" outlineLevel="1"/>
    <col min="8" max="8" width="8.75" style="7" hidden="1" customWidth="1" outlineLevel="1"/>
    <col min="9" max="9" width="1.625" style="7" hidden="1" customWidth="1" outlineLevel="1"/>
    <col min="10" max="10" width="9.5" style="7" hidden="1" customWidth="1" outlineLevel="1"/>
    <col min="11" max="11" width="10.125" style="7" hidden="1" customWidth="1" outlineLevel="1"/>
    <col min="12" max="12" width="10.375" style="7" hidden="1" customWidth="1" outlineLevel="1"/>
    <col min="13" max="13" width="8.25" style="7" hidden="1" customWidth="1" outlineLevel="1"/>
    <col min="14" max="14" width="1.625" style="7" hidden="1" customWidth="1" outlineLevel="1"/>
    <col min="15" max="17" width="11.75" style="7" hidden="1" customWidth="1" outlineLevel="1"/>
    <col min="18" max="18" width="12.75" style="7" hidden="1" customWidth="1" outlineLevel="2"/>
    <col min="19" max="19" width="13" style="7" hidden="1" customWidth="1" outlineLevel="2"/>
    <col min="20" max="20" width="6.75" style="7" hidden="1" customWidth="1" outlineLevel="1"/>
    <col min="21" max="21" width="12.5" style="7" customWidth="1" collapsed="1"/>
    <col min="22" max="22" width="12.5" style="7" customWidth="1"/>
    <col min="23" max="23" width="15.625" style="7" customWidth="1" outlineLevel="1"/>
    <col min="24" max="24" width="13.625" style="7" customWidth="1" outlineLevel="1"/>
    <col min="25" max="25" width="13.375" style="7" customWidth="1" outlineLevel="1"/>
    <col min="26" max="26" width="12" style="7" customWidth="1" outlineLevel="1"/>
    <col min="27" max="27" width="6.75" style="7" customWidth="1" outlineLevel="1"/>
    <col min="28" max="28" width="7" style="7" customWidth="1"/>
    <col min="29" max="59" width="5.125" style="7" customWidth="1" outlineLevel="1"/>
    <col min="60" max="61" width="9" style="7"/>
    <col min="62" max="62" width="12.25" style="7" customWidth="1"/>
    <col min="63" max="63" width="9.625" style="7" customWidth="1"/>
    <col min="64" max="16384" width="9" style="7"/>
  </cols>
  <sheetData>
    <row r="1" spans="2:66" ht="18" customHeight="1" x14ac:dyDescent="0.3">
      <c r="W1" s="8" t="s">
        <v>37</v>
      </c>
      <c r="X1" s="23" t="s">
        <v>1007</v>
      </c>
      <c r="Y1" s="25" t="s">
        <v>600</v>
      </c>
      <c r="Z1" s="26" t="s">
        <v>601</v>
      </c>
      <c r="AB1" s="12" t="s">
        <v>0</v>
      </c>
      <c r="AC1" s="36">
        <v>1</v>
      </c>
      <c r="AD1" s="36" t="e">
        <f t="shared" ref="AD1:BG1" si="0" xml:space="preserve">
IF(AC1="","",
IF(MONTH(DATE(BangLuong_Nam,BangLuong_Thang,
AC1+1)) = BangLuong_Thang,
AC1+1,
""))</f>
        <v>#NUM!</v>
      </c>
      <c r="AE1" s="36" t="e">
        <f t="shared" si="0"/>
        <v>#NUM!</v>
      </c>
      <c r="AF1" s="36" t="e">
        <f t="shared" si="0"/>
        <v>#NUM!</v>
      </c>
      <c r="AG1" s="36" t="e">
        <f t="shared" si="0"/>
        <v>#NUM!</v>
      </c>
      <c r="AH1" s="36" t="e">
        <f t="shared" si="0"/>
        <v>#NUM!</v>
      </c>
      <c r="AI1" s="36" t="e">
        <f t="shared" si="0"/>
        <v>#NUM!</v>
      </c>
      <c r="AJ1" s="36" t="e">
        <f t="shared" si="0"/>
        <v>#NUM!</v>
      </c>
      <c r="AK1" s="36" t="e">
        <f t="shared" si="0"/>
        <v>#NUM!</v>
      </c>
      <c r="AL1" s="36" t="e">
        <f t="shared" si="0"/>
        <v>#NUM!</v>
      </c>
      <c r="AM1" s="36" t="e">
        <f t="shared" si="0"/>
        <v>#NUM!</v>
      </c>
      <c r="AN1" s="36" t="e">
        <f t="shared" si="0"/>
        <v>#NUM!</v>
      </c>
      <c r="AO1" s="36" t="e">
        <f t="shared" si="0"/>
        <v>#NUM!</v>
      </c>
      <c r="AP1" s="36" t="e">
        <f t="shared" si="0"/>
        <v>#NUM!</v>
      </c>
      <c r="AQ1" s="36" t="e">
        <f t="shared" si="0"/>
        <v>#NUM!</v>
      </c>
      <c r="AR1" s="36" t="e">
        <f t="shared" si="0"/>
        <v>#NUM!</v>
      </c>
      <c r="AS1" s="36" t="e">
        <f t="shared" si="0"/>
        <v>#NUM!</v>
      </c>
      <c r="AT1" s="36" t="e">
        <f t="shared" si="0"/>
        <v>#NUM!</v>
      </c>
      <c r="AU1" s="36" t="e">
        <f t="shared" si="0"/>
        <v>#NUM!</v>
      </c>
      <c r="AV1" s="36" t="e">
        <f t="shared" si="0"/>
        <v>#NUM!</v>
      </c>
      <c r="AW1" s="36" t="e">
        <f t="shared" si="0"/>
        <v>#NUM!</v>
      </c>
      <c r="AX1" s="36" t="e">
        <f t="shared" si="0"/>
        <v>#NUM!</v>
      </c>
      <c r="AY1" s="36" t="e">
        <f t="shared" si="0"/>
        <v>#NUM!</v>
      </c>
      <c r="AZ1" s="36" t="e">
        <f t="shared" si="0"/>
        <v>#NUM!</v>
      </c>
      <c r="BA1" s="36" t="e">
        <f t="shared" si="0"/>
        <v>#NUM!</v>
      </c>
      <c r="BB1" s="36" t="e">
        <f t="shared" si="0"/>
        <v>#NUM!</v>
      </c>
      <c r="BC1" s="36" t="e">
        <f t="shared" si="0"/>
        <v>#NUM!</v>
      </c>
      <c r="BD1" s="36" t="e">
        <f t="shared" si="0"/>
        <v>#NUM!</v>
      </c>
      <c r="BE1" s="36" t="e">
        <f t="shared" si="0"/>
        <v>#NUM!</v>
      </c>
      <c r="BF1" s="36" t="e">
        <f t="shared" si="0"/>
        <v>#NUM!</v>
      </c>
      <c r="BG1" s="36" t="e">
        <f t="shared" si="0"/>
        <v>#NUM!</v>
      </c>
    </row>
    <row r="2" spans="2:66" ht="18" customHeight="1" x14ac:dyDescent="0.3">
      <c r="W2" s="8" t="s">
        <v>1</v>
      </c>
      <c r="X2" s="24"/>
      <c r="Y2" s="8" t="s">
        <v>2</v>
      </c>
      <c r="Z2" s="24"/>
      <c r="AB2" s="12" t="s">
        <v>602</v>
      </c>
      <c r="AC2" s="36" t="e">
        <f t="shared" ref="AC2:BG2" si="1" xml:space="preserve">
IF(AC1="","",
IF(WEEKDAY(DATE(BangLuong_Nam,BangLuong_Thang,AC1))=1,
"CN",WEEKDAY(DATE(BangLuong_Nam,BangLuong_Thang,AC1))))</f>
        <v>#NUM!</v>
      </c>
      <c r="AD2" s="36" t="e">
        <f t="shared" si="1"/>
        <v>#NUM!</v>
      </c>
      <c r="AE2" s="36" t="e">
        <f t="shared" si="1"/>
        <v>#NUM!</v>
      </c>
      <c r="AF2" s="36" t="e">
        <f t="shared" si="1"/>
        <v>#NUM!</v>
      </c>
      <c r="AG2" s="36" t="e">
        <f t="shared" si="1"/>
        <v>#NUM!</v>
      </c>
      <c r="AH2" s="36" t="e">
        <f t="shared" si="1"/>
        <v>#NUM!</v>
      </c>
      <c r="AI2" s="36" t="e">
        <f t="shared" si="1"/>
        <v>#NUM!</v>
      </c>
      <c r="AJ2" s="36" t="e">
        <f t="shared" si="1"/>
        <v>#NUM!</v>
      </c>
      <c r="AK2" s="36" t="e">
        <f t="shared" si="1"/>
        <v>#NUM!</v>
      </c>
      <c r="AL2" s="36" t="e">
        <f t="shared" si="1"/>
        <v>#NUM!</v>
      </c>
      <c r="AM2" s="36" t="e">
        <f t="shared" si="1"/>
        <v>#NUM!</v>
      </c>
      <c r="AN2" s="36" t="e">
        <f t="shared" si="1"/>
        <v>#NUM!</v>
      </c>
      <c r="AO2" s="36" t="e">
        <f t="shared" si="1"/>
        <v>#NUM!</v>
      </c>
      <c r="AP2" s="36" t="e">
        <f t="shared" si="1"/>
        <v>#NUM!</v>
      </c>
      <c r="AQ2" s="36" t="e">
        <f t="shared" si="1"/>
        <v>#NUM!</v>
      </c>
      <c r="AR2" s="36" t="e">
        <f t="shared" si="1"/>
        <v>#NUM!</v>
      </c>
      <c r="AS2" s="36" t="e">
        <f t="shared" si="1"/>
        <v>#NUM!</v>
      </c>
      <c r="AT2" s="36" t="e">
        <f t="shared" si="1"/>
        <v>#NUM!</v>
      </c>
      <c r="AU2" s="36" t="e">
        <f t="shared" si="1"/>
        <v>#NUM!</v>
      </c>
      <c r="AV2" s="36" t="e">
        <f t="shared" si="1"/>
        <v>#NUM!</v>
      </c>
      <c r="AW2" s="36" t="e">
        <f t="shared" si="1"/>
        <v>#NUM!</v>
      </c>
      <c r="AX2" s="36" t="e">
        <f t="shared" si="1"/>
        <v>#NUM!</v>
      </c>
      <c r="AY2" s="36" t="e">
        <f t="shared" si="1"/>
        <v>#NUM!</v>
      </c>
      <c r="AZ2" s="36" t="e">
        <f t="shared" si="1"/>
        <v>#NUM!</v>
      </c>
      <c r="BA2" s="36" t="e">
        <f t="shared" si="1"/>
        <v>#NUM!</v>
      </c>
      <c r="BB2" s="36" t="e">
        <f t="shared" si="1"/>
        <v>#NUM!</v>
      </c>
      <c r="BC2" s="36" t="e">
        <f t="shared" si="1"/>
        <v>#NUM!</v>
      </c>
      <c r="BD2" s="36" t="e">
        <f t="shared" si="1"/>
        <v>#NUM!</v>
      </c>
      <c r="BE2" s="36" t="e">
        <f t="shared" si="1"/>
        <v>#NUM!</v>
      </c>
      <c r="BF2" s="36" t="e">
        <f t="shared" si="1"/>
        <v>#NUM!</v>
      </c>
      <c r="BG2" s="36" t="e">
        <f t="shared" si="1"/>
        <v>#NUM!</v>
      </c>
    </row>
    <row r="3" spans="2:66" ht="18" customHeight="1" x14ac:dyDescent="0.3">
      <c r="O3" s="117"/>
      <c r="P3" s="394"/>
      <c r="Q3" s="394"/>
      <c r="R3" s="120">
        <f xml:space="preserve">
IF(ISBLANK(Q3),0,O3*(Q3-P3))</f>
        <v>0</v>
      </c>
      <c r="S3" s="120" cm="1">
        <f t="array" ref="S3">+
IF(P3=0,0,
IFERROR(
SUM(_xlfn._xlws.FILTER(Table_ChiPhiNV_ThueSuatTNCN[Thuế tối đa],
(Table_ChiPhiNV_ThueSuatTNCN[Thuế suất]&lt;O3)
)),0))</f>
        <v>0</v>
      </c>
      <c r="T3" s="232"/>
      <c r="W3" s="27" t="s">
        <v>603</v>
      </c>
      <c r="X3" s="423">
        <v>11000000</v>
      </c>
      <c r="Y3" s="8" t="s">
        <v>604</v>
      </c>
      <c r="Z3" s="217">
        <f>8*(COUNT(AC1:BG1) - COUNTA(AC3:BG3))</f>
        <v>8</v>
      </c>
      <c r="AB3" s="12" t="s">
        <v>605</v>
      </c>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row>
    <row r="4" spans="2:66" ht="18" customHeight="1" x14ac:dyDescent="0.3">
      <c r="B4" s="12" t="s">
        <v>600</v>
      </c>
      <c r="C4" s="12" t="s">
        <v>606</v>
      </c>
      <c r="E4" s="12" t="s">
        <v>21</v>
      </c>
      <c r="F4" s="12" t="s">
        <v>607</v>
      </c>
      <c r="G4" s="12" t="s">
        <v>608</v>
      </c>
      <c r="H4" s="12" t="s">
        <v>609</v>
      </c>
      <c r="J4" s="12" t="s">
        <v>0</v>
      </c>
      <c r="K4" s="12" t="s">
        <v>610</v>
      </c>
      <c r="L4" s="12" t="s">
        <v>611</v>
      </c>
      <c r="M4" s="12" t="s">
        <v>157</v>
      </c>
      <c r="O4" s="12" t="s">
        <v>612</v>
      </c>
      <c r="P4" s="12" t="s">
        <v>613</v>
      </c>
      <c r="Q4" s="12" t="s">
        <v>614</v>
      </c>
      <c r="R4" s="12" t="s">
        <v>615</v>
      </c>
      <c r="S4" s="12" t="s">
        <v>616</v>
      </c>
      <c r="T4" s="12" t="s">
        <v>281</v>
      </c>
      <c r="W4" s="27" t="s">
        <v>617</v>
      </c>
      <c r="X4" s="423">
        <v>4400000</v>
      </c>
      <c r="Y4" s="27" t="s">
        <v>618</v>
      </c>
      <c r="Z4" s="321">
        <v>2.0833333333333332E-2</v>
      </c>
      <c r="AB4" s="12" t="s">
        <v>619</v>
      </c>
      <c r="AC4" s="341">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v>
      </c>
      <c r="AD4" s="341" t="e">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#NUM!</v>
      </c>
      <c r="AE4" s="341" t="e">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#NUM!</v>
      </c>
      <c r="AF4" s="341" t="e">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#NUM!</v>
      </c>
      <c r="AG4" s="341" t="e">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#NUM!</v>
      </c>
      <c r="AH4" s="341" t="e">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#NUM!</v>
      </c>
      <c r="AI4" s="341" t="e">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#NUM!</v>
      </c>
      <c r="AJ4" s="341" t="e">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#NUM!</v>
      </c>
      <c r="AK4" s="341" t="e">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#NUM!</v>
      </c>
      <c r="AL4" s="341" t="e">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#NUM!</v>
      </c>
      <c r="AM4" s="341" t="e">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#NUM!</v>
      </c>
      <c r="AN4" s="341" t="e">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#NUM!</v>
      </c>
      <c r="AO4" s="341" t="e">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#NUM!</v>
      </c>
      <c r="AP4" s="341" t="e">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#NUM!</v>
      </c>
      <c r="AQ4" s="341" t="e">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#NUM!</v>
      </c>
      <c r="AR4" s="341" t="e">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#NUM!</v>
      </c>
      <c r="AS4" s="341" t="e">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#NUM!</v>
      </c>
      <c r="AT4" s="341" t="e">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#NUM!</v>
      </c>
      <c r="AU4" s="341" t="e">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#NUM!</v>
      </c>
      <c r="AV4" s="341" t="e">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#NUM!</v>
      </c>
      <c r="AW4" s="341" t="e">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#NUM!</v>
      </c>
      <c r="AX4" s="341" t="e">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#NUM!</v>
      </c>
      <c r="AY4" s="341" t="e">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#NUM!</v>
      </c>
      <c r="AZ4" s="341" t="e">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#NUM!</v>
      </c>
      <c r="BA4" s="341" t="e">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#NUM!</v>
      </c>
      <c r="BB4" s="341" t="e">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#NUM!</v>
      </c>
      <c r="BC4" s="341" t="e">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#NUM!</v>
      </c>
      <c r="BD4" s="341" t="e">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#NUM!</v>
      </c>
      <c r="BE4" s="341" t="e">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#NUM!</v>
      </c>
      <c r="BF4" s="341" t="e">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#NUM!</v>
      </c>
      <c r="BG4" s="341" t="e">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#NUM!</v>
      </c>
    </row>
    <row r="5" spans="2:66" ht="18" customHeight="1" x14ac:dyDescent="0.3">
      <c r="B5" s="12" t="s">
        <v>601</v>
      </c>
      <c r="C5" s="15">
        <v>4960000</v>
      </c>
      <c r="E5" s="12" t="s">
        <v>620</v>
      </c>
      <c r="F5" s="15">
        <f>F8*F9</f>
        <v>46800000</v>
      </c>
      <c r="G5" s="15">
        <f>G8*G9</f>
        <v>46800000</v>
      </c>
      <c r="H5" s="15">
        <f>H8*H9</f>
        <v>99200000</v>
      </c>
      <c r="J5" s="12" t="s">
        <v>621</v>
      </c>
      <c r="K5" s="319">
        <v>0</v>
      </c>
      <c r="L5" s="319">
        <v>0.25</v>
      </c>
      <c r="M5" s="31">
        <v>1.3</v>
      </c>
      <c r="O5" s="32">
        <v>0.05</v>
      </c>
      <c r="P5" s="421">
        <v>0</v>
      </c>
      <c r="Q5" s="421">
        <v>5000000</v>
      </c>
      <c r="R5" s="18">
        <f xml:space="preserve">
IF(ISBLANK(Table_ChiPhiNV_ThueSuatTNCN[[#This Row],[Thu nhập tối đa]]),"",
Table_ChiPhiNV_ThueSuatTNCN[[#This Row],[Thuế suất]]*(Table_ChiPhiNV_ThueSuatTNCN[[#This Row],[Thu nhập tối đa]]-Table_ChiPhiNV_ThueSuatTNCN[[#This Row],[Thu nhập tối thiểu]]))</f>
        <v>250000</v>
      </c>
      <c r="S5" s="18" cm="1">
        <f t="array" ref="S5">+
IF(Table_ChiPhiNV_ThueSuatTNCN[[#This Row],[Thu nhập tối thiểu]]=0,0,
IFERROR(
SUM(_xlfn._xlws.FILTER(Table_ChiPhiNV_ThueSuatTNCN[Thuế tối đa],
(Table_ChiPhiNV_ThueSuatTNCN[Thuế suất]&lt;Table_ChiPhiNV_ThueSuatTNCN[[#This Row],[Thuế suất]])
)),0))</f>
        <v>0</v>
      </c>
      <c r="W5" s="8" t="s">
        <v>622</v>
      </c>
      <c r="X5" s="34" t="e">
        <f>VLOOKUP(X1,Table_NhanVien[],COUNTA(Table_NhanVien[[#Headers],[Mã NV]:[Lương gross]]),0)</f>
        <v>#N/A</v>
      </c>
      <c r="Y5" s="8" t="s">
        <v>623</v>
      </c>
      <c r="Z5" s="34" t="e">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#N/A</v>
      </c>
      <c r="AB5" s="12" t="s">
        <v>624</v>
      </c>
      <c r="AC5" s="341">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v>
      </c>
      <c r="AD5" s="341" t="e">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#NUM!</v>
      </c>
      <c r="AE5" s="341" t="e">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#NUM!</v>
      </c>
      <c r="AF5" s="341" t="e">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#NUM!</v>
      </c>
      <c r="AG5" s="341" t="e">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#NUM!</v>
      </c>
      <c r="AH5" s="341" t="e">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#NUM!</v>
      </c>
      <c r="AI5" s="341" t="e">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#NUM!</v>
      </c>
      <c r="AJ5" s="341" t="e">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#NUM!</v>
      </c>
      <c r="AK5" s="341" t="e">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#NUM!</v>
      </c>
      <c r="AL5" s="341" t="e">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#NUM!</v>
      </c>
      <c r="AM5" s="341" t="e">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#NUM!</v>
      </c>
      <c r="AN5" s="341" t="e">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#NUM!</v>
      </c>
      <c r="AO5" s="341" t="e">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#NUM!</v>
      </c>
      <c r="AP5" s="341" t="e">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#NUM!</v>
      </c>
      <c r="AQ5" s="341" t="e">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#NUM!</v>
      </c>
      <c r="AR5" s="341" t="e">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#NUM!</v>
      </c>
      <c r="AS5" s="341" t="e">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#NUM!</v>
      </c>
      <c r="AT5" s="341" t="e">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#NUM!</v>
      </c>
      <c r="AU5" s="341" t="e">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#NUM!</v>
      </c>
      <c r="AV5" s="341" t="e">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#NUM!</v>
      </c>
      <c r="AW5" s="341" t="e">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#NUM!</v>
      </c>
      <c r="AX5" s="341" t="e">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#NUM!</v>
      </c>
      <c r="AY5" s="341" t="e">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#NUM!</v>
      </c>
      <c r="AZ5" s="341" t="e">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#NUM!</v>
      </c>
      <c r="BA5" s="341" t="e">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#NUM!</v>
      </c>
      <c r="BB5" s="341" t="e">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#NUM!</v>
      </c>
      <c r="BC5" s="341" t="e">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#NUM!</v>
      </c>
      <c r="BD5" s="341" t="e">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#NUM!</v>
      </c>
      <c r="BE5" s="341" t="e">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#NUM!</v>
      </c>
      <c r="BF5" s="341" t="e">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#NUM!</v>
      </c>
      <c r="BG5" s="341" t="e">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#NUM!</v>
      </c>
    </row>
    <row r="6" spans="2:66" ht="18" customHeight="1" x14ac:dyDescent="0.3">
      <c r="B6" s="12" t="s">
        <v>625</v>
      </c>
      <c r="C6" s="15">
        <v>4410000</v>
      </c>
      <c r="E6" s="12" t="s">
        <v>626</v>
      </c>
      <c r="F6" s="30">
        <v>0.17499999999999999</v>
      </c>
      <c r="G6" s="31">
        <v>0.03</v>
      </c>
      <c r="H6" s="31">
        <v>0.01</v>
      </c>
      <c r="J6" s="12" t="s">
        <v>621</v>
      </c>
      <c r="K6" s="319">
        <v>0.25</v>
      </c>
      <c r="L6" s="319">
        <v>0.91666666666666663</v>
      </c>
      <c r="M6" s="31">
        <v>1</v>
      </c>
      <c r="O6" s="32">
        <v>0.1</v>
      </c>
      <c r="P6" s="421">
        <v>5000000</v>
      </c>
      <c r="Q6" s="421">
        <v>10000000</v>
      </c>
      <c r="R6" s="18">
        <f xml:space="preserve">
IF(ISBLANK(Table_ChiPhiNV_ThueSuatTNCN[[#This Row],[Thu nhập tối đa]]),"",
Table_ChiPhiNV_ThueSuatTNCN[[#This Row],[Thuế suất]]*(Table_ChiPhiNV_ThueSuatTNCN[[#This Row],[Thu nhập tối đa]]-Table_ChiPhiNV_ThueSuatTNCN[[#This Row],[Thu nhập tối thiểu]]))</f>
        <v>500000</v>
      </c>
      <c r="S6" s="18" cm="1">
        <f t="array" ref="S6">+
IF(Table_ChiPhiNV_ThueSuatTNCN[[#This Row],[Thu nhập tối thiểu]]=0,0,
IFERROR(
SUM(_xlfn._xlws.FILTER(Table_ChiPhiNV_ThueSuatTNCN[Thuế tối đa],
(Table_ChiPhiNV_ThueSuatTNCN[Thuế suất]&lt;Table_ChiPhiNV_ThueSuatTNCN[[#This Row],[Thuế suất]])
)),0))</f>
        <v>250000</v>
      </c>
      <c r="W6" s="8" t="s">
        <v>897</v>
      </c>
      <c r="X6" s="35" t="e">
        <f>SUM(AC9:BG57)/2*((X5-Z5)/Z3)</f>
        <v>#N/A</v>
      </c>
      <c r="Y6" s="8" t="s">
        <v>627</v>
      </c>
      <c r="Z6" s="7" t="e">
        <f>VLOOKUP(X1,Table_NhanVien[],COUNTA(Table_NhanVien[[#Headers],[Mã NV]:[Người phụ thuộc]]),0)</f>
        <v>#N/A</v>
      </c>
      <c r="AB6" s="7" t="s">
        <v>628</v>
      </c>
    </row>
    <row r="7" spans="2:66" ht="18" customHeight="1" x14ac:dyDescent="0.3">
      <c r="B7" s="12" t="s">
        <v>629</v>
      </c>
      <c r="C7" s="15">
        <v>3860000</v>
      </c>
      <c r="E7" s="12" t="s">
        <v>630</v>
      </c>
      <c r="F7" s="30">
        <v>0.08</v>
      </c>
      <c r="G7" s="30">
        <v>1.4999999999999999E-2</v>
      </c>
      <c r="H7" s="31">
        <v>0.01</v>
      </c>
      <c r="J7" s="12" t="s">
        <v>621</v>
      </c>
      <c r="K7" s="319">
        <v>0.91666666666666663</v>
      </c>
      <c r="L7" s="319">
        <v>0.99998842592592596</v>
      </c>
      <c r="M7" s="31">
        <v>1.3</v>
      </c>
      <c r="O7" s="32">
        <v>0.15</v>
      </c>
      <c r="P7" s="421">
        <v>10000000</v>
      </c>
      <c r="Q7" s="421">
        <v>18000000</v>
      </c>
      <c r="R7" s="18">
        <f xml:space="preserve">
IF(ISBLANK(Table_ChiPhiNV_ThueSuatTNCN[[#This Row],[Thu nhập tối đa]]),"",
Table_ChiPhiNV_ThueSuatTNCN[[#This Row],[Thuế suất]]*(Table_ChiPhiNV_ThueSuatTNCN[[#This Row],[Thu nhập tối đa]]-Table_ChiPhiNV_ThueSuatTNCN[[#This Row],[Thu nhập tối thiểu]]))</f>
        <v>1200000</v>
      </c>
      <c r="S7" s="18" cm="1">
        <f t="array" ref="S7">+
IF(Table_ChiPhiNV_ThueSuatTNCN[[#This Row],[Thu nhập tối thiểu]]=0,0,
IFERROR(
SUM(_xlfn._xlws.FILTER(Table_ChiPhiNV_ThueSuatTNCN[Thuế tối đa],
(Table_ChiPhiNV_ThueSuatTNCN[Thuế suất]&lt;Table_ChiPhiNV_ThueSuatTNCN[[#This Row],[Thuế suất]])
)),0))</f>
        <v>750000</v>
      </c>
      <c r="V7" s="46">
        <v>1</v>
      </c>
      <c r="W7" s="8" t="s">
        <v>894</v>
      </c>
      <c r="X7" s="342" t="e">
        <f>(SUMIF(AC9:BG57, "&gt;1", AC9:BG57)-COUNTIF(AC9:BG57, "&gt;1"))/2*((X5-Z5)/Z3)</f>
        <v>#N/A</v>
      </c>
      <c r="Y7" s="7" t="s">
        <v>1241</v>
      </c>
      <c r="Z7" s="7">
        <f>COUNTIF(AC8:BG8,"Lương")</f>
        <v>0</v>
      </c>
      <c r="AA7" s="547" t="e" cm="1">
        <f t="array" ref="AA7">VLOOKUP($X$1,Table_NhanVien[],COUNTA(Table_NhanVien[[#Headers],[Mã NV]:[Nghỉ phép năm]]),0)
-IFERROR(
SUM(_xlfn._xlws.FILTER(Table_ChiPhiNV[Ngày nghỉ phép],
(Table_ChiPhiNV[Nhân viên] = $X$1)*
(Table_ChiPhiNV[Năm] = BangLuong_Nam) *
(Table_ChiPhiNV[Tháng] &lt; BangLuong_Thang)
)),0)
-Z7</f>
        <v>#N/A</v>
      </c>
      <c r="AB7" s="12" t="s">
        <v>631</v>
      </c>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I7" s="449"/>
      <c r="BJ7" s="450"/>
      <c r="BK7" s="451">
        <f ca="1">NOW()</f>
        <v>46043.367020370373</v>
      </c>
      <c r="BL7" s="453">
        <f ca="1">INT(BK7)</f>
        <v>46043</v>
      </c>
      <c r="BM7" s="454">
        <f ca="1">BK7-BL7</f>
        <v>0.36702037037321134</v>
      </c>
      <c r="BN7" s="452"/>
    </row>
    <row r="8" spans="2:66" ht="18" customHeight="1" x14ac:dyDescent="0.3">
      <c r="B8" s="12" t="s">
        <v>632</v>
      </c>
      <c r="C8" s="15">
        <v>3450000</v>
      </c>
      <c r="E8" s="12" t="s">
        <v>633</v>
      </c>
      <c r="F8" s="15">
        <v>2340000</v>
      </c>
      <c r="G8" s="15">
        <v>2340000</v>
      </c>
      <c r="H8" s="15">
        <f>VLOOKUP(Z1,Table_ChiPhiNV_LuongToiThieu[],2,0)</f>
        <v>4960000</v>
      </c>
      <c r="J8" s="12" t="s">
        <v>638</v>
      </c>
      <c r="K8" s="319">
        <v>0</v>
      </c>
      <c r="L8" s="319">
        <v>0.25</v>
      </c>
      <c r="M8" s="31">
        <v>2.7</v>
      </c>
      <c r="O8" s="32">
        <v>0.2</v>
      </c>
      <c r="P8" s="421">
        <v>18000000</v>
      </c>
      <c r="Q8" s="421">
        <v>32000000</v>
      </c>
      <c r="R8" s="18">
        <f xml:space="preserve">
IF(ISBLANK(Table_ChiPhiNV_ThueSuatTNCN[[#This Row],[Thu nhập tối đa]]),"",
Table_ChiPhiNV_ThueSuatTNCN[[#This Row],[Thuế suất]]*(Table_ChiPhiNV_ThueSuatTNCN[[#This Row],[Thu nhập tối đa]]-Table_ChiPhiNV_ThueSuatTNCN[[#This Row],[Thu nhập tối thiểu]]))</f>
        <v>2800000</v>
      </c>
      <c r="S8" s="18" cm="1">
        <f t="array" ref="S8">+
IF(Table_ChiPhiNV_ThueSuatTNCN[[#This Row],[Thu nhập tối thiểu]]=0,0,
IFERROR(
SUM(_xlfn._xlws.FILTER(Table_ChiPhiNV_ThueSuatTNCN[Thuế tối đa],
(Table_ChiPhiNV_ThueSuatTNCN[Thuế suất]&lt;Table_ChiPhiNV_ThueSuatTNCN[[#This Row],[Thuế suất]])
)),0))</f>
        <v>1950000</v>
      </c>
      <c r="V8" s="7" t="s">
        <v>634</v>
      </c>
      <c r="W8" s="7" t="s">
        <v>251</v>
      </c>
      <c r="X8" s="7" t="s">
        <v>252</v>
      </c>
      <c r="Y8" s="7" t="s">
        <v>635</v>
      </c>
      <c r="Z8" s="7" t="s">
        <v>636</v>
      </c>
      <c r="AA8" s="7" t="s">
        <v>883</v>
      </c>
      <c r="AB8" s="12" t="s">
        <v>1239</v>
      </c>
      <c r="BI8" s="7" t="s">
        <v>32</v>
      </c>
      <c r="BJ8" s="7" t="s">
        <v>885</v>
      </c>
      <c r="BK8" s="7" t="s">
        <v>1010</v>
      </c>
      <c r="BL8" s="7" t="s">
        <v>0</v>
      </c>
      <c r="BM8" s="7" t="s">
        <v>1011</v>
      </c>
      <c r="BN8" s="7" t="s">
        <v>883</v>
      </c>
    </row>
    <row r="9" spans="2:66" ht="18" customHeight="1" outlineLevel="1" x14ac:dyDescent="0.3">
      <c r="E9" s="12" t="s">
        <v>637</v>
      </c>
      <c r="F9" s="7">
        <v>20</v>
      </c>
      <c r="G9" s="7">
        <v>20</v>
      </c>
      <c r="H9" s="7">
        <v>20</v>
      </c>
      <c r="J9" s="12" t="s">
        <v>638</v>
      </c>
      <c r="K9" s="319">
        <v>0.25</v>
      </c>
      <c r="L9" s="319">
        <v>0.91666666666666663</v>
      </c>
      <c r="M9" s="31">
        <v>2</v>
      </c>
      <c r="O9" s="32">
        <v>0.25</v>
      </c>
      <c r="P9" s="421">
        <v>32000000</v>
      </c>
      <c r="Q9" s="421">
        <v>52000000</v>
      </c>
      <c r="R9" s="18">
        <f xml:space="preserve">
IF(ISBLANK(Table_ChiPhiNV_ThueSuatTNCN[[#This Row],[Thu nhập tối đa]]),"",
Table_ChiPhiNV_ThueSuatTNCN[[#This Row],[Thuế suất]]*(Table_ChiPhiNV_ThueSuatTNCN[[#This Row],[Thu nhập tối đa]]-Table_ChiPhiNV_ThueSuatTNCN[[#This Row],[Thu nhập tối thiểu]]))</f>
        <v>5000000</v>
      </c>
      <c r="S9" s="18" cm="1">
        <f t="array" ref="S9">+
IF(Table_ChiPhiNV_ThueSuatTNCN[[#This Row],[Thu nhập tối thiểu]]=0,0,
IFERROR(
SUM(_xlfn._xlws.FILTER(Table_ChiPhiNV_ThueSuatTNCN[Thuế tối đa],
(Table_ChiPhiNV_ThueSuatTNCN[Thuế suất]&lt;Table_ChiPhiNV_ThueSuatTNCN[[#This Row],[Thuế suất]])
)),0))</f>
        <v>4750000</v>
      </c>
      <c r="V9" s="12" t="s">
        <v>639</v>
      </c>
      <c r="W9" s="320">
        <v>0.33333333333333298</v>
      </c>
      <c r="X9" s="320">
        <v>0.70833333333333304</v>
      </c>
      <c r="Y9" s="320">
        <v>0.5</v>
      </c>
      <c r="Z9" s="320">
        <v>0.54166666666666696</v>
      </c>
      <c r="AB9" s="320">
        <v>0</v>
      </c>
      <c r="AC9" s="37"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37"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37"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37"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37"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37"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37"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37"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37"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37"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37"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37"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37"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37"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37"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37"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37"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37"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37"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37"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37"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37"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37"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37"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37"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37"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37"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37"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37"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37"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37"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K9" s="451"/>
      <c r="BL9" s="453">
        <f>INT(Table_ChiPhiNV_ChamCong[[#This Row],[Thời điểm]])</f>
        <v>0</v>
      </c>
      <c r="BM9" s="454">
        <f>Table_ChiPhiNV_ChamCong[[#This Row],[Thời điểm]]-Table_ChiPhiNV_ChamCong[[#This Row],[Ngày]]</f>
        <v>0</v>
      </c>
    </row>
    <row r="10" spans="2:66" ht="18" customHeight="1" outlineLevel="1" x14ac:dyDescent="0.3">
      <c r="J10" s="12" t="s">
        <v>638</v>
      </c>
      <c r="K10" s="319">
        <v>0.91666666666666663</v>
      </c>
      <c r="L10" s="319">
        <v>0.99998842592592596</v>
      </c>
      <c r="M10" s="31">
        <v>2.7</v>
      </c>
      <c r="O10" s="32">
        <v>0.3</v>
      </c>
      <c r="P10" s="421">
        <v>52000000</v>
      </c>
      <c r="Q10" s="421">
        <v>80000000</v>
      </c>
      <c r="R10" s="18">
        <f xml:space="preserve">
IF(ISBLANK(Table_ChiPhiNV_ThueSuatTNCN[[#This Row],[Thu nhập tối đa]]),"",
Table_ChiPhiNV_ThueSuatTNCN[[#This Row],[Thuế suất]]*(Table_ChiPhiNV_ThueSuatTNCN[[#This Row],[Thu nhập tối đa]]-Table_ChiPhiNV_ThueSuatTNCN[[#This Row],[Thu nhập tối thiểu]]))</f>
        <v>8400000</v>
      </c>
      <c r="S10" s="18" cm="1">
        <f t="array" ref="S10">+
IF(Table_ChiPhiNV_ThueSuatTNCN[[#This Row],[Thu nhập tối thiểu]]=0,0,
IFERROR(
SUM(_xlfn._xlws.FILTER(Table_ChiPhiNV_ThueSuatTNCN[Thuế tối đa],
(Table_ChiPhiNV_ThueSuatTNCN[Thuế suất]&lt;Table_ChiPhiNV_ThueSuatTNCN[[#This Row],[Thuế suất]])
)),0))</f>
        <v>9750000</v>
      </c>
      <c r="V10" s="12" t="s">
        <v>640</v>
      </c>
      <c r="W10" s="320">
        <v>0.66666666666666696</v>
      </c>
      <c r="X10" s="320">
        <v>4.1666666666666664E-2</v>
      </c>
      <c r="Y10" s="320">
        <v>0.83333333333333304</v>
      </c>
      <c r="Z10" s="320">
        <v>0.875</v>
      </c>
      <c r="AB10" s="320">
        <v>2.0833333333333332E-2</v>
      </c>
      <c r="AC10" s="37"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37"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37"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37"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37"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37"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37"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37"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37"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37"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37"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37"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37"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37"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37"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37"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37"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37"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37"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37"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37"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37"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37"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37"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37"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37"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37"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37"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37"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37"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37"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row>
    <row r="11" spans="2:66" ht="18" customHeight="1" outlineLevel="1" x14ac:dyDescent="0.3">
      <c r="J11" s="12" t="s">
        <v>642</v>
      </c>
      <c r="K11" s="319">
        <v>0</v>
      </c>
      <c r="L11" s="319">
        <v>0.25</v>
      </c>
      <c r="M11" s="31">
        <v>3.9</v>
      </c>
      <c r="O11" s="32">
        <v>0.35</v>
      </c>
      <c r="P11" s="421">
        <v>80000000</v>
      </c>
      <c r="Q11" s="421"/>
      <c r="R11" s="18" t="str">
        <f xml:space="preserve">
IF(ISBLANK(Table_ChiPhiNV_ThueSuatTNCN[[#This Row],[Thu nhập tối đa]]),"",
Table_ChiPhiNV_ThueSuatTNCN[[#This Row],[Thuế suất]]*(Table_ChiPhiNV_ThueSuatTNCN[[#This Row],[Thu nhập tối đa]]-Table_ChiPhiNV_ThueSuatTNCN[[#This Row],[Thu nhập tối thiểu]]))</f>
        <v/>
      </c>
      <c r="S11" s="18" cm="1">
        <f t="array" ref="S11">+
IF(Table_ChiPhiNV_ThueSuatTNCN[[#This Row],[Thu nhập tối thiểu]]=0,0,
IFERROR(
SUM(_xlfn._xlws.FILTER(Table_ChiPhiNV_ThueSuatTNCN[Thuế tối đa],
(Table_ChiPhiNV_ThueSuatTNCN[Thuế suất]&lt;Table_ChiPhiNV_ThueSuatTNCN[[#This Row],[Thuế suất]])
)),0))</f>
        <v>18150000</v>
      </c>
      <c r="V11" s="12" t="s">
        <v>641</v>
      </c>
      <c r="W11" s="320">
        <v>0</v>
      </c>
      <c r="X11" s="320">
        <v>0.375</v>
      </c>
      <c r="Y11" s="320">
        <v>0.16666666666666699</v>
      </c>
      <c r="Z11" s="320">
        <v>0.20833333333333301</v>
      </c>
      <c r="AB11" s="320">
        <v>4.1666666666666664E-2</v>
      </c>
      <c r="AC11" s="37"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37"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37"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37"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37"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37"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37"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37"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37"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37"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37"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37"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37"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37"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37"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37"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37"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37"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37"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37"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37"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37"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37"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37"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37"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37"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37"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37"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37"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37"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37"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row>
    <row r="12" spans="2:66" ht="18" customHeight="1" outlineLevel="1" x14ac:dyDescent="0.3">
      <c r="J12" s="12" t="s">
        <v>642</v>
      </c>
      <c r="K12" s="319">
        <v>0.25</v>
      </c>
      <c r="L12" s="319">
        <v>0.91666666666666663</v>
      </c>
      <c r="M12" s="31">
        <v>3</v>
      </c>
      <c r="AB12" s="320">
        <v>6.25E-2</v>
      </c>
      <c r="AC12" s="37"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37"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37"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37"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37"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37"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37"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37"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37"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37"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37"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37"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37"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37"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37"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37"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37"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37"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37"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37"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37"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37"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37"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37"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37"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37"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37"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37"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37"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37"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37"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row>
    <row r="13" spans="2:66" ht="18" customHeight="1" outlineLevel="1" x14ac:dyDescent="0.3">
      <c r="J13" s="12" t="s">
        <v>642</v>
      </c>
      <c r="K13" s="319">
        <v>0.91666666666666663</v>
      </c>
      <c r="L13" s="319">
        <v>0.99998842592592596</v>
      </c>
      <c r="M13" s="31">
        <v>3.9</v>
      </c>
      <c r="AB13" s="320">
        <v>8.3333333333333301E-2</v>
      </c>
      <c r="AC13" s="37"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37"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37"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37"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37"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37"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37"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37"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37"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37"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37"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37"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37"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37"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37"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37"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37"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37"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37"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37"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37"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37"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37"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37"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37"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37"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37"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37"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37"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37"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37"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66" ht="18" customHeight="1" outlineLevel="1" x14ac:dyDescent="0.3">
      <c r="AB14" s="320">
        <v>0.104166666666667</v>
      </c>
      <c r="AC14" s="37"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37"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37"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37"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37"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37"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37"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37"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37"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37"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37"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37"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37"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37"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37"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37"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37"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37"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37"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37"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37"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37"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37"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37"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37"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37"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37"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37"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37"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37"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37"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66" ht="18" customHeight="1" outlineLevel="1" x14ac:dyDescent="0.3">
      <c r="X15" s="211"/>
      <c r="AB15" s="320">
        <v>0.125</v>
      </c>
      <c r="AC15" s="37"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37"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37"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37"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37"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37"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37"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37"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37"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37"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37"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37"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37"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37"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37"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37"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37"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37"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37"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37"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37"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37"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37"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37"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37"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37"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37"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37"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37"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37"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37"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66" ht="18" customHeight="1" outlineLevel="1" x14ac:dyDescent="0.3">
      <c r="AB16" s="320">
        <v>0.14583333333333301</v>
      </c>
      <c r="AC16" s="37"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37"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37"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37"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37"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37"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37"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37"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37"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37"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37"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37"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37"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37"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37"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37"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37"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37"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37"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37"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37"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37"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37"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37"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37"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37"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37"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37"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37"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37"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37"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320">
        <v>0.16666666666666699</v>
      </c>
      <c r="AC17" s="37"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37"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37"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37"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37"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37"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37"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37"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37"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37"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37"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37"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37"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37"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37"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37"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37"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37"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37"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37"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37"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37"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37"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37"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37"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37"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37"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37"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37"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37"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37"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320">
        <v>0.1875</v>
      </c>
      <c r="AC18" s="37"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37"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37"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37"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37"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37"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37"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37"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37"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37"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37"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37"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37"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37"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37"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37"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37"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37"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37"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37"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37"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37"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37"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37"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37"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37"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37"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37"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37"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37"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37"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448"/>
      <c r="AB19" s="320">
        <v>0.20833333333333301</v>
      </c>
      <c r="AC19" s="37"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37"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37"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37"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37"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37"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37"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37"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37"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37"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37"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37"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37"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37"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37"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37"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37"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37"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37"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37"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37"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37"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37"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37"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37"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37"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37"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37"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37"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37"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37"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211"/>
      <c r="AB20" s="320">
        <v>0.22916666666666699</v>
      </c>
      <c r="AC20" s="37"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37"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37"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37"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37"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37"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37"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37"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37"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37"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37"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37"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37"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37"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37"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37"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37"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37"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37"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37"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37"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37"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37"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37"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37"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37"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37"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37"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37"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37"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37"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320">
        <v>0.25</v>
      </c>
      <c r="AC21" s="37"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37"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37"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37"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37"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37"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37"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37"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37"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37"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37"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37"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37"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37"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37"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37"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37"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37"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37"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37"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37"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37"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37"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37"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37"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37"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37"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37"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37"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37"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37"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12"/>
      <c r="K22" s="12"/>
      <c r="L22" s="12"/>
      <c r="M22" s="12"/>
      <c r="AB22" s="320">
        <v>0.27083333333333298</v>
      </c>
      <c r="AC22" s="37"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37"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37"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37"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37"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37"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37"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37"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37"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37"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37"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37"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37"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37"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37"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37"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37"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37"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37"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37"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37"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37"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37"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37"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37"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37"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37"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37"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37"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37"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37"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28"/>
      <c r="K23" s="28"/>
      <c r="L23" s="28"/>
      <c r="M23" s="28"/>
      <c r="AB23" s="320">
        <v>0.29166666666666702</v>
      </c>
      <c r="AC23" s="37"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37"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37"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37"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37"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37"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37"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37"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37"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37"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37"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37"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37"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37"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37"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37"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37"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37"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37"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37"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37"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37"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37"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37"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37"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37"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37"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37"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37"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37"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37"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28"/>
      <c r="K24" s="28"/>
      <c r="L24" s="28"/>
      <c r="M24" s="28"/>
      <c r="AB24" s="320">
        <v>0.3125</v>
      </c>
      <c r="AC24" s="37"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37"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37"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37"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37"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37"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37"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37"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37"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37"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37"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37"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37"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37"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37"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37"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37"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37"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37"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37"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37"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37"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37"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37"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37"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37"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37"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37"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37"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37"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37"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12"/>
      <c r="C25" s="12"/>
      <c r="D25" s="12"/>
      <c r="E25" s="12"/>
      <c r="F25" s="12"/>
      <c r="G25" s="12"/>
      <c r="H25" s="12"/>
      <c r="I25" s="12"/>
      <c r="J25" s="28"/>
      <c r="K25" s="28"/>
      <c r="L25" s="28"/>
      <c r="M25" s="28"/>
      <c r="N25" s="12"/>
      <c r="AB25" s="320">
        <v>0.33333333333333298</v>
      </c>
      <c r="AC25" s="37"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37"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37"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37"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37"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37"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37"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37"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37"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37"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37"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37"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37"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37"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37"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37"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37"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37"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37"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37"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37"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37"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37"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37"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37"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37"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37"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37"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37"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37"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37"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28"/>
      <c r="C26" s="28"/>
      <c r="D26" s="28"/>
      <c r="E26" s="28"/>
      <c r="F26" s="28"/>
      <c r="G26" s="28"/>
      <c r="H26" s="28"/>
      <c r="I26" s="28"/>
      <c r="J26" s="28"/>
      <c r="K26" s="28"/>
      <c r="L26" s="28"/>
      <c r="M26" s="28"/>
      <c r="N26" s="28"/>
      <c r="AB26" s="320">
        <v>0.35416666666666702</v>
      </c>
      <c r="AC26" s="37"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D26" s="37"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37"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37"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37"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H26" s="37"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37"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37"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37"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37"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37"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37"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37"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37"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37"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37"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37"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37"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37"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37"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37"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37"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37"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37"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37"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37"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37"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37"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37"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37"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37"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28"/>
      <c r="C27" s="28"/>
      <c r="D27" s="28"/>
      <c r="E27" s="28"/>
      <c r="F27" s="28"/>
      <c r="G27" s="28"/>
      <c r="H27" s="28"/>
      <c r="I27" s="28"/>
      <c r="J27" s="28"/>
      <c r="K27" s="28"/>
      <c r="L27" s="28"/>
      <c r="M27" s="28"/>
      <c r="N27" s="28"/>
      <c r="O27" s="28"/>
      <c r="P27" s="28"/>
      <c r="Q27" s="28"/>
      <c r="R27" s="28"/>
      <c r="S27" s="28"/>
      <c r="AB27" s="320">
        <v>0.375</v>
      </c>
      <c r="AC27" s="37"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D27" s="37"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E27" s="37"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37"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37"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H27" s="37"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37"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37"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37"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37"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37"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37"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37"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37"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37"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37"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37"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37"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37"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37"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37"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37"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37"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37"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37"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37"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37"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37"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37"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37"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37"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28"/>
      <c r="C28" s="28"/>
      <c r="D28" s="28"/>
      <c r="E28" s="28"/>
      <c r="F28" s="28"/>
      <c r="G28" s="28"/>
      <c r="H28" s="28"/>
      <c r="I28" s="28"/>
      <c r="J28" s="28"/>
      <c r="K28" s="28"/>
      <c r="L28" s="28"/>
      <c r="M28" s="28"/>
      <c r="N28" s="28"/>
      <c r="O28" s="28"/>
      <c r="P28" s="28"/>
      <c r="Q28" s="28"/>
      <c r="R28" s="28"/>
      <c r="S28" s="28"/>
      <c r="AB28" s="320">
        <v>0.39583333333333298</v>
      </c>
      <c r="AC28" s="37"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D28" s="37"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E28" s="37"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37"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37"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H28" s="37"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37"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37"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37"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37"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37"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37"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37"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37"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37"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37"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37"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37"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37"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37"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37"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37"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37"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37"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37"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37"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37"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37"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37"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37"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37"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28"/>
      <c r="C29" s="28"/>
      <c r="D29" s="28"/>
      <c r="E29" s="28"/>
      <c r="F29" s="28"/>
      <c r="G29" s="28"/>
      <c r="H29" s="28"/>
      <c r="I29" s="28"/>
      <c r="J29" s="28"/>
      <c r="K29" s="28"/>
      <c r="L29" s="28"/>
      <c r="M29" s="28"/>
      <c r="N29" s="28"/>
      <c r="O29" s="28"/>
      <c r="P29" s="28"/>
      <c r="Q29" s="28"/>
      <c r="R29" s="28"/>
      <c r="S29" s="28"/>
      <c r="AB29" s="320">
        <v>0.41666666666666702</v>
      </c>
      <c r="AC29" s="37"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D29" s="37"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E29" s="37"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37"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37"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H29" s="37"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37"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37"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37"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37"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37"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37"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37"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37"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37"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37"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37"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37"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37"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37"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37"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37"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37"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37"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37"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37"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37"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37"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37"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37"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37"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28"/>
      <c r="C30" s="28"/>
      <c r="D30" s="28"/>
      <c r="E30" s="28"/>
      <c r="F30" s="28"/>
      <c r="G30" s="28"/>
      <c r="H30" s="28"/>
      <c r="I30" s="28"/>
      <c r="J30" s="28"/>
      <c r="K30" s="28"/>
      <c r="L30" s="28"/>
      <c r="M30" s="28"/>
      <c r="N30" s="28"/>
      <c r="O30" s="28"/>
      <c r="P30" s="28"/>
      <c r="Q30" s="28"/>
      <c r="R30" s="28"/>
      <c r="S30" s="28"/>
      <c r="AB30" s="320">
        <v>0.4375</v>
      </c>
      <c r="AC30" s="37"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D30" s="37"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E30" s="37"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37"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37"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H30" s="37"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37"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37"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37"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37"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37"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37"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37"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37"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37"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37"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37"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37"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37"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37"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37"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37"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37"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37"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37"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37"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37"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37"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37"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37"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37"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28"/>
      <c r="C31" s="28"/>
      <c r="D31" s="28"/>
      <c r="E31" s="28"/>
      <c r="F31" s="28"/>
      <c r="G31" s="28"/>
      <c r="H31" s="28"/>
      <c r="I31" s="28"/>
      <c r="N31" s="28"/>
      <c r="O31" s="28"/>
      <c r="P31" s="28"/>
      <c r="Q31" s="28"/>
      <c r="R31" s="28"/>
      <c r="S31" s="28"/>
      <c r="AB31" s="320">
        <v>0.45833333333333298</v>
      </c>
      <c r="AC31" s="37"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D31" s="37"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E31" s="37"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37"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37"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H31" s="37"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37"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37"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37"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37"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37"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37"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37"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37"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37"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37"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37"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37"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37"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37"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37"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37"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37"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37"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37"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37"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37"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37"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37"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37"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37"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28"/>
      <c r="C32" s="28"/>
      <c r="D32" s="28"/>
      <c r="E32" s="28"/>
      <c r="F32" s="28"/>
      <c r="G32" s="28"/>
      <c r="H32" s="28"/>
      <c r="I32" s="28"/>
      <c r="N32" s="28"/>
      <c r="AB32" s="320">
        <v>0.47916666666666702</v>
      </c>
      <c r="AC32" s="37"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D32" s="37"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E32" s="37"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37"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37"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H32" s="37"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37"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37"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37"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37"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37"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37"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37"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37"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37"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37"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37"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37"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37"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37"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37"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37"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37"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37"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37"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37"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37"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37"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37"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37"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37"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28"/>
      <c r="C33" s="28"/>
      <c r="D33" s="28"/>
      <c r="E33" s="28"/>
      <c r="F33" s="28"/>
      <c r="G33" s="28"/>
      <c r="H33" s="28"/>
      <c r="I33" s="28"/>
      <c r="N33" s="28"/>
      <c r="AB33" s="320">
        <v>0.5</v>
      </c>
      <c r="AC33" s="37"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37"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37"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37"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37"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37"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37"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37"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37"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37"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37"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37"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37"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37"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37"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37"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37"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37"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37"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37"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37"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37"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37"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37"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37"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37"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37"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37"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37"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37"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37"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320">
        <v>0.52083333333333304</v>
      </c>
      <c r="AC34" s="37"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37"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37"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37"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37"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37"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37"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37"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37"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37"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37"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37"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37"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37"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37"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37"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37"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37"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37"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37"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37"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37"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37"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37"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37"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37"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37"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37"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37"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37"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37"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320">
        <v>0.54166666666666696</v>
      </c>
      <c r="AC35" s="37"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D35" s="37"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E35" s="37"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37"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37"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H35" s="37"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37"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37"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37"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37"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37"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37"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37"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37"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37"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37"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37"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37"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37"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37"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37"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37"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37"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37"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37"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37"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37"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37"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37"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37"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37"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320">
        <v>0.5625</v>
      </c>
      <c r="AC36" s="37"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D36" s="37"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E36" s="37"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37"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37"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H36" s="37"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37"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37"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37"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37"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37"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37"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37"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37"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37"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37"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37"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37"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37"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37"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37"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37"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37"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37"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37"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37"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37"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37"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37"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37"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37"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320">
        <v>0.58333333333333304</v>
      </c>
      <c r="AC37" s="37"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D37" s="37"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E37" s="37"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37"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37"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H37" s="37"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37"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37"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37"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37"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37"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37"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37"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37"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37"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37"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37"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37"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37"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37"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37"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37"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37"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37"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37"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37"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37"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37"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37"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37"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37"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320">
        <v>0.60416666666666696</v>
      </c>
      <c r="AC38" s="37"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D38" s="37"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E38" s="37"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37"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37"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H38" s="37"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37"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37"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37"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37"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37"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37"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37"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37"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37"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37"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37"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37"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37"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37"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37"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37"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37"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37"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37"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37"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37"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37"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37"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37"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37"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320">
        <v>0.625</v>
      </c>
      <c r="AC39" s="37"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D39" s="37"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E39" s="37"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37"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37"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H39" s="37"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37"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37"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37"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37"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37"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37"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37"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37"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37"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37"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37"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37"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37"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37"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37"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37"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37"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37"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37"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37"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37"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37"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37"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37"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37"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320">
        <v>0.64583333333333304</v>
      </c>
      <c r="AC40" s="37"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D40" s="37"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E40" s="37"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37"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37"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H40" s="37"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37"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37"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37"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37"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37"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37"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37"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37"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37"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37"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37"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37"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37"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37"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37"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37"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37"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37"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37"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37"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37"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37"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37"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37"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37"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320">
        <v>0.66666666666666696</v>
      </c>
      <c r="AC41" s="37"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D41" s="37"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E41" s="37"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37"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37"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H41" s="37"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37"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37"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37"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37"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37"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37"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37"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37"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37"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37"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37"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37"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37"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37"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37"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37"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37"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37"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37"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37"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37"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37"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37"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37"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37"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320">
        <v>0.6875</v>
      </c>
      <c r="AC42" s="37"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D42" s="37"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E42" s="37"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37"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37"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H42" s="37"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37"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37"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37"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37"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37"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37"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37"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37"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37"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37"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37"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37"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37"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37"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37"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37"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37"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37"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37"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37"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37"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37"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37"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37"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37"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320">
        <v>0.70833333333333304</v>
      </c>
      <c r="AC43" s="37"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37"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E43" s="37"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37"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37"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H43" s="37"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37"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37"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37"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37"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37"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37"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37"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37"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37"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37"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37"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37"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37"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37"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37"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37"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37"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37"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37"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37"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37"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37"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37"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37"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37"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320">
        <v>0.72916666666666696</v>
      </c>
      <c r="AC44" s="37"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37"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E44" s="37"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37"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37"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37"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37"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37"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37"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37"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37"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37"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37"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37"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37"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37"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37"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37"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37"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37"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37"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37"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37"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37"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37"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37"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37"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37"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37"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37"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37"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320">
        <v>0.75</v>
      </c>
      <c r="AC45" s="37"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37"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E45" s="37"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37"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37"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37"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37"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37"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37"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37"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37"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37"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37"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37"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37"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37"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37"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37"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37"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37"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37"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37"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37"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37"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37"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37"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37"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37"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37"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37"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37"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320">
        <v>0.77083333333333304</v>
      </c>
      <c r="AC46" s="37"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37"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E46" s="37"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37"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37"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37"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37"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37"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37"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37"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37"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37"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37"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37"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37"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37"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37"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37"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37"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37"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37"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37"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37"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37"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37"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37"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37"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37"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37"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37"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37"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320">
        <v>0.79166666666666696</v>
      </c>
      <c r="AC47" s="37"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37"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E47" s="37"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37"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37"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37"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37"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37"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37"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37"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37"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37"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37"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37"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37"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37"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37"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37"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37"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37"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37"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37"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37"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37"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37"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37"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37"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37"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37"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37"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37"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320">
        <v>0.8125</v>
      </c>
      <c r="AC48" s="37"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37"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E48" s="37"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37"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37"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37"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37"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37"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37"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37"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37"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37"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37"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37"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37"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37"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37"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37"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37"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37"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37"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37"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37"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37"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37"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37"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37"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37"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37"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37"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37"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7:59" ht="18" customHeight="1" outlineLevel="1" x14ac:dyDescent="0.3">
      <c r="AA49" s="12"/>
      <c r="AB49" s="320">
        <v>0.83333333333333304</v>
      </c>
      <c r="AC49" s="37"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37"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E49" s="37"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37"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37"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37"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37"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37"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37"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37"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37"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37"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37"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37"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37"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37"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37"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37"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37"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37"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37"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37"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37"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37"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37"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37"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37"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37"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37"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37"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37"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7:59" ht="18" customHeight="1" outlineLevel="1" x14ac:dyDescent="0.3">
      <c r="AA50" s="28"/>
      <c r="AB50" s="320">
        <v>0.85416666666666696</v>
      </c>
      <c r="AC50" s="37"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37"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E50" s="37"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37"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37"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37"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37"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37"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37"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37"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37"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37"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37"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37"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37"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37"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37"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37"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37"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37"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37"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37"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37"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37"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37"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37"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37"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37"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37"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37"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37"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7:59" ht="18" customHeight="1" outlineLevel="1" x14ac:dyDescent="0.3">
      <c r="AA51" s="28"/>
      <c r="AB51" s="320">
        <v>0.875</v>
      </c>
      <c r="AC51" s="37"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37"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E51" s="37"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37"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37"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37"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37"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37"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37"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37"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37"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37"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37"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37"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37"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37"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37"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37"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37"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37"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37"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37"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37"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37"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37"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37"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37"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37"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37"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37"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37"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7:59" ht="18" customHeight="1" outlineLevel="1" x14ac:dyDescent="0.3">
      <c r="AA52" s="28"/>
      <c r="AB52" s="320">
        <v>0.89583333333333304</v>
      </c>
      <c r="AC52" s="37"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37"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E52" s="37"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37"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37"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37"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37"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37"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37"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37"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37"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37"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37"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37"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37"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37"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37"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37"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37"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37"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37"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37"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37"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37"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37"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37"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37"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37"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37"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37"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37"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7:59" ht="18" customHeight="1" outlineLevel="1" x14ac:dyDescent="0.3">
      <c r="AA53" s="28"/>
      <c r="AB53" s="320">
        <v>0.91666666666666696</v>
      </c>
      <c r="AC53" s="37"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37"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E53" s="37"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37"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37"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37"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37"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37"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37"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37"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37"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37"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37"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37"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37"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37"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37"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37"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37"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37"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37"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37"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37"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37"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37"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37"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37"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37"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37"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37"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37"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7:59" ht="18" customHeight="1" outlineLevel="1" x14ac:dyDescent="0.3">
      <c r="AA54" s="28"/>
      <c r="AB54" s="320">
        <v>0.9375</v>
      </c>
      <c r="AC54" s="37"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37"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37"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37"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37"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37"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37"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37"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37"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37"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37"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37"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37"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37"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37"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37"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37"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37"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37"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37"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37"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37"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37"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37"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37"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37"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37"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37"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37"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37"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37"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7:59" ht="18" customHeight="1" outlineLevel="1" x14ac:dyDescent="0.3">
      <c r="AA55" s="28"/>
      <c r="AB55" s="320">
        <v>0.95833333333333304</v>
      </c>
      <c r="AC55" s="37"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37"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37"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37"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37"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37"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37"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37"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37"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37"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37"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37"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37"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37"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37"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37"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37"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37"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37"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37"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37"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37"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37"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37"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37"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37"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37"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37"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37"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37"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37"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7:59" ht="18" customHeight="1" outlineLevel="1" x14ac:dyDescent="0.3">
      <c r="AA56" s="28"/>
      <c r="AB56" s="320">
        <v>0.97916666666666696</v>
      </c>
      <c r="AC56" s="37"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37"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37"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37"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37"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37"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37"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37"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37"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37"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37"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37"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37"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37"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37"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37"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37"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37"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37"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37"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37"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37"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37"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37"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37"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37"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37"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37"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37"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37"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37"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7:59" ht="18" customHeight="1" outlineLevel="1" x14ac:dyDescent="0.3">
      <c r="AA57" s="28"/>
      <c r="AB57" s="320">
        <v>0.99930555555555556</v>
      </c>
      <c r="AC57" s="37"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37"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37"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37"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37"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37"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37"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37"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37"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37"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37"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37"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37"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37"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37"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37"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37"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37"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37"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37"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37"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37"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37"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37"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37"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37"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37"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37"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37"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37"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37"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IyMH9h2ywPXguTQbIqRJaqtvFxxVmNw/zmV8nWv7KgzppLzxoyyuPbYmOCFsf80obqkxMEzUSKVl7ykMULkoDg==" saltValue="fJDk7wETDpbQNwTIgD7Y+A==" spinCount="100000" sheet="1" scenarios="1" formatCells="0" formatColumns="0" formatRows="0" insertColumns="0" insertRows="0" deleteColumns="0" deleteRows="0" sort="0" autoFilter="0" pivotTables="0"/>
  <protectedRanges>
    <protectedRange sqref="Y1:Z1 B4:C8 E4:H9" name="Range1_1"/>
    <protectedRange sqref="W1" name="Range1_2_1_1_1"/>
    <protectedRange sqref="W2 Y2:Y3 W5:W7 Y5:Y6" name="Range1_3"/>
  </protectedRanges>
  <phoneticPr fontId="14" type="noConversion"/>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 xr:uid="{F35C762C-56A3-43C0-BE48-3877FA70D110}">
      <formula1>"Vào, Ra"</formula1>
    </dataValidation>
    <dataValidation type="list" allowBlank="1" showInputMessage="1" sqref="BJ9" xr:uid="{6918494C-25E3-4C6B-BB86-9A762C192BC7}">
      <formula1>MaNhanVien</formula1>
    </dataValidation>
    <dataValidation type="list" allowBlank="1" showInputMessage="1" showErrorMessage="1" sqref="AC8:BG8" xr:uid="{D080E225-23E1-420E-9EE0-4F50925BF6D6}">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7" r:id="rId3" name="Button 7">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48" r:id="rId4" name="Button 8">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49" r:id="rId5" name="Button 9">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0" r:id="rId6" name="Button 10">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1" r:id="rId7" name="Button 11">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2" r:id="rId8" name="Button 12">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8" r:id="rId9"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10"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11"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12"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13"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14"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15"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6"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7"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8"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9"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20" name="Button 30">
              <controlPr defaultSize="0" print="0" autoFill="0" autoPict="0" macro="[0]!CopyToTable">
                <anchor moveWithCells="1">
                  <from>
                    <xdr:col>65</xdr:col>
                    <xdr:colOff>152400</xdr:colOff>
                    <xdr:row>5</xdr:row>
                    <xdr:rowOff>171450</xdr:rowOff>
                  </from>
                  <to>
                    <xdr:col>66</xdr:col>
                    <xdr:colOff>9525</xdr:colOff>
                    <xdr:row>6</xdr:row>
                    <xdr:rowOff>200025</xdr:rowOff>
                  </to>
                </anchor>
              </controlPr>
            </control>
          </mc:Choice>
        </mc:AlternateContent>
        <mc:AlternateContent xmlns:mc="http://schemas.openxmlformats.org/markup-compatibility/2006">
          <mc:Choice Requires="x14">
            <control shapeId="61471" r:id="rId21"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22"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6">
    <tablePart r:id="rId23"/>
    <tablePart r:id="rId24"/>
    <tablePart r:id="rId25"/>
    <tablePart r:id="rId26"/>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1" id="{D08A8122-9308-461B-8B92-023A76ABDA2A}">
            <xm:f>Security!$A$1="NO VBA"</xm:f>
            <x14:dxf>
              <font>
                <color theme="0"/>
              </font>
              <border>
                <vertical/>
                <horizontal/>
              </border>
            </x14:dxf>
          </x14:cfRule>
          <xm:sqref>AA7:XFD7 A7:X7 A9:XFD1048576 A8:AA8 AD8:XFD8 A1:XFD6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outlinePr summaryBelow="0" summaryRight="0"/>
  </sheetPr>
  <dimension ref="B3:AE5"/>
  <sheetViews>
    <sheetView showGridLines="0" topLeftCell="H1" workbookViewId="0">
      <selection activeCell="J10" sqref="J10"/>
    </sheetView>
  </sheetViews>
  <sheetFormatPr defaultRowHeight="18" customHeight="1" outlineLevelCol="1" x14ac:dyDescent="0.3"/>
  <cols>
    <col min="1" max="1" width="7.125" style="7" customWidth="1"/>
    <col min="2" max="2" width="19.375" style="7" customWidth="1"/>
    <col min="3" max="3" width="9.75" style="7" customWidth="1"/>
    <col min="4" max="4" width="12" style="7" customWidth="1"/>
    <col min="5" max="5" width="13.375" style="7" customWidth="1"/>
    <col min="6" max="6" width="13" style="7" customWidth="1"/>
    <col min="7" max="7" width="6.75" style="7" customWidth="1"/>
    <col min="8" max="8" width="1.625" style="7" customWidth="1"/>
    <col min="9" max="9" width="5.375" style="7" bestFit="1" customWidth="1"/>
    <col min="10" max="10" width="6" style="44" bestFit="1" customWidth="1"/>
    <col min="11" max="11" width="7.125" style="44" bestFit="1" customWidth="1"/>
    <col min="12" max="12" width="9.875" style="44" bestFit="1" customWidth="1"/>
    <col min="13" max="13" width="8.875" style="7" customWidth="1"/>
    <col min="14" max="14" width="12.75" style="7" bestFit="1" customWidth="1"/>
    <col min="15" max="15" width="15.5" style="7" customWidth="1" outlineLevel="1"/>
    <col min="16" max="16" width="9" style="7" customWidth="1" outlineLevel="1"/>
    <col min="17" max="17" width="16.125" style="7" customWidth="1" outlineLevel="1"/>
    <col min="18" max="18" width="6.75" style="7" customWidth="1"/>
    <col min="19" max="31" width="9" style="38"/>
    <col min="32" max="16384" width="9" style="7"/>
  </cols>
  <sheetData>
    <row r="3" spans="2:18" ht="18" customHeight="1" x14ac:dyDescent="0.3">
      <c r="I3" s="168">
        <f>IFERROR(
IF(ISBLANK(K3),
DATE(J3,12,1),
DATE(J3,K3,1)),0)</f>
        <v>336</v>
      </c>
      <c r="J3" s="230"/>
      <c r="K3" s="230"/>
      <c r="L3" s="230"/>
      <c r="M3" s="230"/>
      <c r="N3" s="408"/>
      <c r="O3" s="48" cm="1">
        <f t="array" ref="O3">IF(ISBLANK(K3),
IF(ISBLANK(L3),
IFERROR(
SUM(_xlfn._xlws.FILTER(Table_DonBan[Doanh thu ròng],
(Table_DonBan[Kênh] = M3)*
(Table_DonBan[Ngày lập] &gt;= DATE(J3,1,1))*
(Table_DonBan[Ngày lập] &lt; DATE(J3+1,1,1))
)),0),
IFERROR(
SUM(_xlfn._xlws.FILTER(Table_DonBan[Doanh thu ròng],
(Table_DonBan[Mã NV] = L3)*
(Table_DonBan[Ngày lập] &gt;= DATE(J3,1,1))*
(Table_DonBan[Ngày lập] &lt; DATE(J3+1,1,1))
)),0)),
IF(ISBLANK(L3),
IFERROR(
SUM(_xlfn._xlws.FILTER(Table_DonBan[Doanh thu ròng],
(Table_DonBan[Kênh] = M3)*
(Table_DonBan[Ngày lập] &gt;=I3)*
(Table_DonBan[Ngày lập] &lt;DATE(J3,K3+1,1))
)),0),
+IFERROR(
SUM(_xlfn._xlws.FILTER(Table_DonBan[Doanh thu ròng],
(Table_DonBan[Mã NV] = L3)*
(Table_DonBan[Ngày lập] &gt;=I3)*
(Table_DonBan[Ngày lập] &lt;DATE(J3,K3+1,1))
)),0)))</f>
        <v>0</v>
      </c>
      <c r="P3" s="64">
        <f>IFERROR(O3/N3,0)</f>
        <v>0</v>
      </c>
      <c r="Q3" s="48" cm="1">
        <f t="array" ref="Q3" xml:space="preserve">
IF(ISBLANK(K3),
IF(ISBLANK(L3),
IFERROR(
SUM(_xlfn._xlws.FILTER(Table_KPI_ChinhSach[Mức thưởng],
(Table_KPI_ChinhSach[Đối tượng áp dụng] = "Kênh")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"Năm") *
(ISBLANK(Table_KPI_ChinhSach[Tỷ lệ KPI max])) *
(Table_KPI_ChinhSach[Tỷ lệ KPI min] &lt;=P3)
)),0),
IFERROR(
SUM(_xlfn._xlws.FILTER(Table_KPI_ChinhSach[Mức thưởng],
(Table_KPI_ChinhSach[Đối tượng áp dụng] = "Nhân viên")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"Năm") *
(ISBLANK(Table_KPI_ChinhSach[Tỷ lệ KPI max])) *
(Table_KPI_ChinhSach[Tỷ lệ KPI min] &lt;=P3)
)),0)),
IF(ISBLANK(L3),
IFERROR(
SUM(_xlfn._xlws.FILTER(Table_KPI_ChinhSach[Mức thưởng],
(Table_KPI_ChinhSach[Đối tượng áp dụng] = "Kênh")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"Tháng") *
(ISBLANK(Table_KPI_ChinhSach[Tỷ lệ KPI max])) *
(Table_KPI_ChinhSach[Tỷ lệ KPI min] &lt;=P3)
)),0),
IFERROR(
SUM(_xlfn._xlws.FILTER(Table_KPI_ChinhSach[Mức thưởng],
(Table_KPI_ChinhSach[Đối tượng áp dụng] = "Nhân viên")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"Tháng") *
(ISBLANK(Table_KPI_ChinhSach[Tỷ lệ KPI max])) *
(Table_KPI_ChinhSach[Tỷ lệ KPI min] &lt;=P3)
)),0)))</f>
        <v>0</v>
      </c>
      <c r="R3" s="232"/>
    </row>
    <row r="4" spans="2:18" ht="18" customHeight="1" x14ac:dyDescent="0.3">
      <c r="B4" s="7" t="s">
        <v>531</v>
      </c>
      <c r="C4" s="7" t="s">
        <v>532</v>
      </c>
      <c r="D4" s="7" t="s">
        <v>533</v>
      </c>
      <c r="E4" s="7" t="s">
        <v>534</v>
      </c>
      <c r="F4" s="7" t="s">
        <v>535</v>
      </c>
      <c r="G4" s="7" t="s">
        <v>883</v>
      </c>
      <c r="I4" s="7" t="s">
        <v>3</v>
      </c>
      <c r="J4" s="7" t="s">
        <v>2</v>
      </c>
      <c r="K4" s="7" t="s">
        <v>1</v>
      </c>
      <c r="L4" s="7" t="s">
        <v>37</v>
      </c>
      <c r="M4" s="7" t="s">
        <v>38</v>
      </c>
      <c r="N4" s="7" t="s">
        <v>536</v>
      </c>
      <c r="O4" s="7" t="s">
        <v>537</v>
      </c>
      <c r="P4" s="7" t="s">
        <v>216</v>
      </c>
      <c r="Q4" s="7" t="s">
        <v>143</v>
      </c>
      <c r="R4" s="7" t="s">
        <v>883</v>
      </c>
    </row>
    <row r="5" spans="2:18" ht="18" customHeight="1" x14ac:dyDescent="0.3">
      <c r="D5" s="45"/>
      <c r="E5" s="45"/>
      <c r="F5" s="15"/>
      <c r="G5" s="212"/>
      <c r="I5" s="70">
        <f>IFERROR(
IF(ISBLANK(Table_KPI[[#This Row],[Tháng]]),
DATE(Table_KPI[[#This Row],[Năm]],12,1),
DATE(Table_KPI[[#This Row],[Năm]],Table_KPI[[#This Row],[Tháng]],1)),0)</f>
        <v>336</v>
      </c>
      <c r="J5" s="7"/>
      <c r="K5" s="7"/>
      <c r="L5" s="7"/>
      <c r="N5" s="15"/>
      <c r="O5" s="48" cm="1">
        <f t="array" ref="O5">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f>
        <v>0</v>
      </c>
      <c r="P5" s="71">
        <f>IFERROR(Table_KPI[[#This Row],[Doanh thu thực tế]]/Table_KPI[[#This Row],[Doanh thu KPI]],0)</f>
        <v>0</v>
      </c>
      <c r="Q5" s="18" cm="1">
        <f t="array" ref="Q5"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row>
  </sheetData>
  <sheetProtection algorithmName="SHA-512" hashValue="e30vZN5TRW8wupe9iC8jolKRlVDs3I5+DaP/Zc6MrHN9Y7sQLI5G7m1X1VO+LMwUyS8FZ4ZtSoFUFTenjLC5dA==" saltValue="joq6NTMVZXJZiNqf6I0FnA==" spinCount="100000" sheet="1" scenarios="1" formatCells="0" formatColumns="0" formatRows="0" insertColumns="0" insertRows="0" deleteColumns="0" deleteRows="0" sort="0" autoFilter="0" pivotTables="0"/>
  <dataValidations count="6">
    <dataValidation type="list" allowBlank="1" showInputMessage="1" showErrorMessage="1" sqref="L3" xr:uid="{652DFCE0-4703-4A9A-B57E-F4B93692BD89}">
      <formula1>MaNhanVien</formula1>
    </dataValidation>
    <dataValidation type="list" allowBlank="1" showInputMessage="1" showErrorMessage="1" sqref="M3" xr:uid="{F4B60B26-1BC8-4EF0-8928-75C6BD0D24C9}">
      <formula1>MaKenh</formula1>
    </dataValidation>
    <dataValidation type="list" allowBlank="1" showInputMessage="1" showErrorMessage="1" sqref="B5" xr:uid="{4D04BFE7-F3F0-4095-9676-5B726BC4340B}">
      <formula1>"Nhân viên, Kênh"</formula1>
    </dataValidation>
    <dataValidation type="list" allowBlank="1" showInputMessage="1" showErrorMessage="1" sqref="C5" xr:uid="{A1008991-E4FC-444B-8201-AB4163CDA35B}">
      <formula1>"Tháng, Năm"</formula1>
    </dataValidation>
    <dataValidation type="list" allowBlank="1" showInputMessage="1" sqref="L5" xr:uid="{8F9FB10F-018A-41B1-A639-1F4A98D9200E}">
      <formula1>MaNhanVien</formula1>
    </dataValidation>
    <dataValidation type="list" allowBlank="1" showInputMessage="1" sqref="M5" xr:uid="{0F846C6F-7860-4869-AD3D-600B71741FEC}">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7" r:id="rId3" name="Button 3">
              <controlPr defaultSize="0" print="0" autoFill="0" autoPict="0" macro="[0]!AddColumn">
                <anchor moveWithCells="1">
                  <from>
                    <xdr:col>4</xdr:col>
                    <xdr:colOff>762000</xdr:colOff>
                    <xdr:row>1</xdr:row>
                    <xdr:rowOff>161925</xdr:rowOff>
                  </from>
                  <to>
                    <xdr:col>5</xdr:col>
                    <xdr:colOff>219075</xdr:colOff>
                    <xdr:row>2</xdr:row>
                    <xdr:rowOff>171450</xdr:rowOff>
                  </to>
                </anchor>
              </controlPr>
            </control>
          </mc:Choice>
        </mc:AlternateContent>
        <mc:AlternateContent xmlns:mc="http://schemas.openxmlformats.org/markup-compatibility/2006">
          <mc:Choice Requires="x14">
            <control shapeId="62468" r:id="rId4" name="Button 4">
              <controlPr defaultSize="0" print="0" autoFill="0" autoPict="0" macro="[0]!DeleteColumn">
                <anchor moveWithCells="1">
                  <from>
                    <xdr:col>5</xdr:col>
                    <xdr:colOff>342900</xdr:colOff>
                    <xdr:row>1</xdr:row>
                    <xdr:rowOff>161925</xdr:rowOff>
                  </from>
                  <to>
                    <xdr:col>5</xdr:col>
                    <xdr:colOff>847725</xdr:colOff>
                    <xdr:row>2</xdr:row>
                    <xdr:rowOff>171450</xdr:rowOff>
                  </to>
                </anchor>
              </controlPr>
            </control>
          </mc:Choice>
        </mc:AlternateContent>
        <mc:AlternateContent xmlns:mc="http://schemas.openxmlformats.org/markup-compatibility/2006">
          <mc:Choice Requires="x14">
            <control shapeId="62471" r:id="rId5" name="Button 7">
              <controlPr defaultSize="0" print="0" autoFill="0" autoPict="0" macro="[0]!AddColumn">
                <anchor moveWithCells="1">
                  <from>
                    <xdr:col>15</xdr:col>
                    <xdr:colOff>485775</xdr:colOff>
                    <xdr:row>0</xdr:row>
                    <xdr:rowOff>123825</xdr:rowOff>
                  </from>
                  <to>
                    <xdr:col>16</xdr:col>
                    <xdr:colOff>314325</xdr:colOff>
                    <xdr:row>1</xdr:row>
                    <xdr:rowOff>152400</xdr:rowOff>
                  </to>
                </anchor>
              </controlPr>
            </control>
          </mc:Choice>
        </mc:AlternateContent>
        <mc:AlternateContent xmlns:mc="http://schemas.openxmlformats.org/markup-compatibility/2006">
          <mc:Choice Requires="x14">
            <control shapeId="62472" r:id="rId6" name="Button 8">
              <controlPr defaultSize="0" print="0" autoFill="0" autoPict="0" macro="[0]!DeleteColumn">
                <anchor moveWithCells="1">
                  <from>
                    <xdr:col>16</xdr:col>
                    <xdr:colOff>447675</xdr:colOff>
                    <xdr:row>0</xdr:row>
                    <xdr:rowOff>123825</xdr:rowOff>
                  </from>
                  <to>
                    <xdr:col>16</xdr:col>
                    <xdr:colOff>990600</xdr:colOff>
                    <xdr:row>1</xdr:row>
                    <xdr:rowOff>152400</xdr:rowOff>
                  </to>
                </anchor>
              </controlPr>
            </control>
          </mc:Choice>
        </mc:AlternateContent>
        <mc:AlternateContent xmlns:mc="http://schemas.openxmlformats.org/markup-compatibility/2006">
          <mc:Choice Requires="x14">
            <control shapeId="62473" r:id="rId7" name="Button 9">
              <controlPr defaultSize="0" print="0" autoFill="0" autoPict="0" macro="[0]!CopyToTable">
                <anchor moveWithCells="1">
                  <from>
                    <xdr:col>17</xdr:col>
                    <xdr:colOff>57150</xdr:colOff>
                    <xdr:row>1</xdr:row>
                    <xdr:rowOff>190500</xdr:rowOff>
                  </from>
                  <to>
                    <xdr:col>18</xdr:col>
                    <xdr:colOff>85725</xdr:colOff>
                    <xdr:row>2</xdr:row>
                    <xdr:rowOff>219075</xdr:rowOff>
                  </to>
                </anchor>
              </controlPr>
            </control>
          </mc:Choice>
        </mc:AlternateContent>
        <mc:AlternateContent xmlns:mc="http://schemas.openxmlformats.org/markup-compatibility/2006">
          <mc:Choice Requires="x14">
            <control shapeId="62476" r:id="rId8" name="Option Button 12">
              <controlPr defaultSize="0" autoFill="0" autoLine="0" autoPict="0" macro="[0]!DoiDonViHienThi">
                <anchor moveWithCells="1">
                  <from>
                    <xdr:col>2</xdr:col>
                    <xdr:colOff>400050</xdr:colOff>
                    <xdr:row>0</xdr:row>
                    <xdr:rowOff>152400</xdr:rowOff>
                  </from>
                  <to>
                    <xdr:col>3</xdr:col>
                    <xdr:colOff>247650</xdr:colOff>
                    <xdr:row>1</xdr:row>
                    <xdr:rowOff>200025</xdr:rowOff>
                  </to>
                </anchor>
              </controlPr>
            </control>
          </mc:Choice>
        </mc:AlternateContent>
        <mc:AlternateContent xmlns:mc="http://schemas.openxmlformats.org/markup-compatibility/2006">
          <mc:Choice Requires="x14">
            <control shapeId="62477" r:id="rId9" name="Option Button 13">
              <controlPr defaultSize="0" autoFill="0" autoLine="0" autoPict="0" macro="[0]!DoiDonViHienThi">
                <anchor moveWithCells="1">
                  <from>
                    <xdr:col>3</xdr:col>
                    <xdr:colOff>123825</xdr:colOff>
                    <xdr:row>0</xdr:row>
                    <xdr:rowOff>152400</xdr:rowOff>
                  </from>
                  <to>
                    <xdr:col>3</xdr:col>
                    <xdr:colOff>714375</xdr:colOff>
                    <xdr:row>1</xdr:row>
                    <xdr:rowOff>200025</xdr:rowOff>
                  </to>
                </anchor>
              </controlPr>
            </control>
          </mc:Choice>
        </mc:AlternateContent>
        <mc:AlternateContent xmlns:mc="http://schemas.openxmlformats.org/markup-compatibility/2006">
          <mc:Choice Requires="x14">
            <control shapeId="62478" r:id="rId10" name="Option Button 14">
              <controlPr defaultSize="0" autoFill="0" autoLine="0" autoPict="0" macro="[0]!DoiDonViHienThi">
                <anchor moveWithCells="1">
                  <from>
                    <xdr:col>3</xdr:col>
                    <xdr:colOff>590550</xdr:colOff>
                    <xdr:row>0</xdr:row>
                    <xdr:rowOff>152400</xdr:rowOff>
                  </from>
                  <to>
                    <xdr:col>4</xdr:col>
                    <xdr:colOff>266700</xdr:colOff>
                    <xdr:row>1</xdr:row>
                    <xdr:rowOff>200025</xdr:rowOff>
                  </to>
                </anchor>
              </controlPr>
            </control>
          </mc:Choice>
        </mc:AlternateContent>
        <mc:AlternateContent xmlns:mc="http://schemas.openxmlformats.org/markup-compatibility/2006">
          <mc:Choice Requires="x14">
            <control shapeId="62479" r:id="rId11" name="Option Button 15">
              <controlPr defaultSize="0" autoFill="0" autoLine="0" autoPict="0" macro="[0]!DoiDonViHienThi">
                <anchor moveWithCells="1">
                  <from>
                    <xdr:col>4</xdr:col>
                    <xdr:colOff>152400</xdr:colOff>
                    <xdr:row>0</xdr:row>
                    <xdr:rowOff>152400</xdr:rowOff>
                  </from>
                  <to>
                    <xdr:col>4</xdr:col>
                    <xdr:colOff>504825</xdr:colOff>
                    <xdr:row>1</xdr:row>
                    <xdr:rowOff>200025</xdr:rowOff>
                  </to>
                </anchor>
              </controlPr>
            </control>
          </mc:Choice>
        </mc:AlternateContent>
        <mc:AlternateContent xmlns:mc="http://schemas.openxmlformats.org/markup-compatibility/2006">
          <mc:Choice Requires="x14">
            <control shapeId="62480" r:id="rId12" name="Group Box 16">
              <controlPr defaultSize="0" autoFill="0" autoPict="0">
                <anchor moveWithCells="1">
                  <from>
                    <xdr:col>2</xdr:col>
                    <xdr:colOff>285750</xdr:colOff>
                    <xdr:row>0</xdr:row>
                    <xdr:rowOff>104775</xdr:rowOff>
                  </from>
                  <to>
                    <xdr:col>4</xdr:col>
                    <xdr:colOff>619125</xdr:colOff>
                    <xdr:row>2</xdr:row>
                    <xdr:rowOff>9525</xdr:rowOff>
                  </to>
                </anchor>
              </controlPr>
            </control>
          </mc:Choice>
        </mc:AlternateContent>
        <mc:AlternateContent xmlns:mc="http://schemas.openxmlformats.org/markup-compatibility/2006">
          <mc:Choice Requires="x14">
            <control shapeId="62481" r:id="rId13" name="Group Box 17">
              <controlPr defaultSize="0" autoFill="0" autoPict="0">
                <anchor moveWithCells="1">
                  <from>
                    <xdr:col>1</xdr:col>
                    <xdr:colOff>57150</xdr:colOff>
                    <xdr:row>0</xdr:row>
                    <xdr:rowOff>104775</xdr:rowOff>
                  </from>
                  <to>
                    <xdr:col>2</xdr:col>
                    <xdr:colOff>238125</xdr:colOff>
                    <xdr:row>2</xdr:row>
                    <xdr:rowOff>9525</xdr:rowOff>
                  </to>
                </anchor>
              </controlPr>
            </control>
          </mc:Choice>
        </mc:AlternateContent>
        <mc:AlternateContent xmlns:mc="http://schemas.openxmlformats.org/markup-compatibility/2006">
          <mc:Choice Requires="x14">
            <control shapeId="62482" r:id="rId14" name="Button 18">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62483" r:id="rId15" name="Button 19">
              <controlPr defaultSize="0" autoFill="0" autoPict="0" macro="[0]!NhanTrieu">
                <anchor moveWithCells="1">
                  <from>
                    <xdr:col>1</xdr:col>
                    <xdr:colOff>657225</xdr:colOff>
                    <xdr:row>0</xdr:row>
                    <xdr:rowOff>200025</xdr:rowOff>
                  </from>
                  <to>
                    <xdr:col>1</xdr:col>
                    <xdr:colOff>1123950</xdr:colOff>
                    <xdr:row>1</xdr:row>
                    <xdr:rowOff>142875</xdr:rowOff>
                  </to>
                </anchor>
              </controlPr>
            </control>
          </mc:Choice>
        </mc:AlternateContent>
        <mc:AlternateContent xmlns:mc="http://schemas.openxmlformats.org/markup-compatibility/2006">
          <mc:Choice Requires="x14">
            <control shapeId="62484" r:id="rId16" name="Button 20">
              <controlPr defaultSize="0" autoFill="0" autoPict="0" macro="[0]!NhanTy">
                <anchor moveWithCells="1">
                  <from>
                    <xdr:col>1</xdr:col>
                    <xdr:colOff>1171575</xdr:colOff>
                    <xdr:row>0</xdr:row>
                    <xdr:rowOff>200025</xdr:rowOff>
                  </from>
                  <to>
                    <xdr:col>2</xdr:col>
                    <xdr:colOff>161925</xdr:colOff>
                    <xdr:row>1</xdr:row>
                    <xdr:rowOff>142875</xdr:rowOff>
                  </to>
                </anchor>
              </controlPr>
            </control>
          </mc:Choice>
        </mc:AlternateContent>
        <mc:AlternateContent xmlns:mc="http://schemas.openxmlformats.org/markup-compatibility/2006">
          <mc:Choice Requires="x14">
            <control shapeId="62487" r:id="rId17" name="Button 23">
              <controlPr defaultSize="0" print="0" autoFill="0" autoPict="0" macro="[0]!AddRow">
                <anchor moveWithCells="1">
                  <from>
                    <xdr:col>4</xdr:col>
                    <xdr:colOff>762000</xdr:colOff>
                    <xdr:row>0</xdr:row>
                    <xdr:rowOff>76200</xdr:rowOff>
                  </from>
                  <to>
                    <xdr:col>5</xdr:col>
                    <xdr:colOff>219075</xdr:colOff>
                    <xdr:row>1</xdr:row>
                    <xdr:rowOff>104775</xdr:rowOff>
                  </to>
                </anchor>
              </controlPr>
            </control>
          </mc:Choice>
        </mc:AlternateContent>
        <mc:AlternateContent xmlns:mc="http://schemas.openxmlformats.org/markup-compatibility/2006">
          <mc:Choice Requires="x14">
            <control shapeId="62488" r:id="rId18" name="Button 24">
              <controlPr defaultSize="0" print="0" autoFill="0" autoPict="0" macro="[0]!DeleteRow">
                <anchor moveWithCells="1">
                  <from>
                    <xdr:col>5</xdr:col>
                    <xdr:colOff>371475</xdr:colOff>
                    <xdr:row>0</xdr:row>
                    <xdr:rowOff>76200</xdr:rowOff>
                  </from>
                  <to>
                    <xdr:col>5</xdr:col>
                    <xdr:colOff>847725</xdr:colOff>
                    <xdr:row>1</xdr:row>
                    <xdr:rowOff>104775</xdr:rowOff>
                  </to>
                </anchor>
              </controlPr>
            </control>
          </mc:Choice>
        </mc:AlternateContent>
        <mc:AlternateContent xmlns:mc="http://schemas.openxmlformats.org/markup-compatibility/2006">
          <mc:Choice Requires="x14">
            <control shapeId="62489" r:id="rId19" name="Button 25">
              <controlPr defaultSize="0" print="0" autoFill="0" autoPict="0" macro="[0]!AddRow">
                <anchor moveWithCells="1">
                  <from>
                    <xdr:col>8</xdr:col>
                    <xdr:colOff>28575</xdr:colOff>
                    <xdr:row>0</xdr:row>
                    <xdr:rowOff>133350</xdr:rowOff>
                  </from>
                  <to>
                    <xdr:col>9</xdr:col>
                    <xdr:colOff>95250</xdr:colOff>
                    <xdr:row>1</xdr:row>
                    <xdr:rowOff>161925</xdr:rowOff>
                  </to>
                </anchor>
              </controlPr>
            </control>
          </mc:Choice>
        </mc:AlternateContent>
        <mc:AlternateContent xmlns:mc="http://schemas.openxmlformats.org/markup-compatibility/2006">
          <mc:Choice Requires="x14">
            <control shapeId="62490" r:id="rId20" name="Button 26">
              <controlPr defaultSize="0" print="0" autoFill="0" autoPict="0" macro="[0]!DeleteRow">
                <anchor moveWithCells="1">
                  <from>
                    <xdr:col>9</xdr:col>
                    <xdr:colOff>247650</xdr:colOff>
                    <xdr:row>0</xdr:row>
                    <xdr:rowOff>133350</xdr:rowOff>
                  </from>
                  <to>
                    <xdr:col>10</xdr:col>
                    <xdr:colOff>266700</xdr:colOff>
                    <xdr:row>1</xdr:row>
                    <xdr:rowOff>161925</xdr:rowOff>
                  </to>
                </anchor>
              </controlPr>
            </control>
          </mc:Choice>
        </mc:AlternateContent>
      </controls>
    </mc:Choice>
  </mc:AlternateContent>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expression" priority="1" id="{5ED6262E-14E1-4DAD-8647-08F91A2BE1EB}">
            <xm:f>Security!$A$1="NO VBA"</xm:f>
            <x14:dxf>
              <font>
                <color theme="0"/>
              </font>
              <border>
                <vertical/>
                <horizontal/>
              </border>
            </x14:dxf>
          </x14:cfRule>
          <xm:sqref>A1:XFD5 B16:C16 E16:G16 A6:A1048576 B17:G1048576 B6:G15 H6:XFD1048576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9453-4623-4734-9036-37A2DD3EB7BB}">
  <sheetPr codeName="Sheet19">
    <tabColor theme="9"/>
  </sheetPr>
  <dimension ref="B1:Q57"/>
  <sheetViews>
    <sheetView showGridLines="0" topLeftCell="A12" workbookViewId="0">
      <selection activeCell="T13" sqref="T13"/>
    </sheetView>
  </sheetViews>
  <sheetFormatPr defaultRowHeight="18" customHeight="1" outlineLevelCol="1" x14ac:dyDescent="0.3"/>
  <cols>
    <col min="1" max="1" width="1.25" style="7" customWidth="1"/>
    <col min="2" max="2" width="13" style="7" hidden="1" customWidth="1" outlineLevel="1"/>
    <col min="3" max="3" width="18.25" style="7" hidden="1" customWidth="1" outlineLevel="1"/>
    <col min="4" max="4" width="19.125" style="7" hidden="1" customWidth="1" outlineLevel="1"/>
    <col min="5" max="5" width="17.75" style="7" hidden="1" customWidth="1" outlineLevel="1"/>
    <col min="6" max="6" width="13" style="7" hidden="1" customWidth="1" outlineLevel="1"/>
    <col min="7" max="7" width="1.25" style="7" customWidth="1" collapsed="1"/>
    <col min="8" max="8" width="7.375" style="7" customWidth="1"/>
    <col min="9" max="9" width="5.875" style="7" bestFit="1" customWidth="1"/>
    <col min="10" max="10" width="6" style="7" bestFit="1" customWidth="1"/>
    <col min="11" max="11" width="7.125" style="7" bestFit="1" customWidth="1"/>
    <col min="12" max="15" width="15.375" style="7" customWidth="1" outlineLevel="1"/>
    <col min="16" max="16" width="13.75" style="7" customWidth="1" outlineLevel="1"/>
    <col min="17" max="17" width="6.75" style="7" bestFit="1" customWidth="1"/>
    <col min="18" max="16384" width="9" style="7"/>
  </cols>
  <sheetData>
    <row r="1" ht="23.25" customHeight="1" x14ac:dyDescent="0.3"/>
    <row r="20" spans="2:17" ht="16.5" x14ac:dyDescent="0.3">
      <c r="B20" s="97" t="s">
        <v>23</v>
      </c>
      <c r="C20" t="s">
        <v>1157</v>
      </c>
      <c r="D20" t="s">
        <v>1156</v>
      </c>
      <c r="E20" t="s">
        <v>1158</v>
      </c>
      <c r="F20" t="s">
        <v>69</v>
      </c>
      <c r="I20" s="7" t="s">
        <v>3</v>
      </c>
      <c r="J20" s="7" t="s">
        <v>2</v>
      </c>
      <c r="K20" s="7" t="s">
        <v>1</v>
      </c>
      <c r="L20" s="7" t="s">
        <v>151</v>
      </c>
      <c r="M20" s="7" t="s">
        <v>934</v>
      </c>
      <c r="N20" s="7" t="s">
        <v>935</v>
      </c>
      <c r="O20" s="7" t="s">
        <v>936</v>
      </c>
      <c r="P20" s="7" t="s">
        <v>658</v>
      </c>
      <c r="Q20" s="7" t="s">
        <v>883</v>
      </c>
    </row>
    <row r="21" spans="2:17" ht="16.5" x14ac:dyDescent="0.3">
      <c r="B21" s="98" t="s">
        <v>1150</v>
      </c>
      <c r="C21" s="522">
        <v>152500000</v>
      </c>
      <c r="D21" s="522">
        <v>25416666.666666664</v>
      </c>
      <c r="E21" s="522">
        <v>0</v>
      </c>
      <c r="F21" s="522">
        <v>177916666.66666663</v>
      </c>
      <c r="I21" s="33">
        <f>IFERROR(
IF(ISBLANK(Table_TSCD_KhauHao[[#This Row],[Tháng]]),
DATE(Table_TSCD_KhauHao[[#This Row],[Năm]],12,1),
DATE(Table_TSCD_KhauHao[[#This Row],[Năm]],Table_TSCD_KhauHao[[#This Row],[Tháng]],1)),0)</f>
        <v>45992</v>
      </c>
      <c r="J21" s="242">
        <v>2025</v>
      </c>
      <c r="K21" s="242">
        <v>12</v>
      </c>
      <c r="L21" s="246">
        <f>+Table_TSCD_KhauHao[[#This Row],[Khấu hao sản xuất]]+Table_TSCD_KhauHao[[#This Row],[Khấu hao bán hàng]]+Table_TSCD_KhauHao[[#This Row],[Khấu hao quản lý]]</f>
        <v>51111111.111111104</v>
      </c>
      <c r="M2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1" s="246">
        <f t="shared" ref="P21:P53" si="0">L21</f>
        <v>51111111.111111104</v>
      </c>
      <c r="Q21" s="242"/>
    </row>
    <row r="22" spans="2:17" ht="16.5" x14ac:dyDescent="0.3">
      <c r="B22" s="510" t="s">
        <v>1117</v>
      </c>
      <c r="C22" s="522">
        <v>10000000</v>
      </c>
      <c r="D22" s="522">
        <v>0</v>
      </c>
      <c r="E22" s="522">
        <v>0</v>
      </c>
      <c r="F22" s="522">
        <v>10000000</v>
      </c>
      <c r="I22" s="33">
        <f>IFERROR(
IF(ISBLANK(Table_TSCD_KhauHao[[#This Row],[Tháng]]),
DATE(Table_TSCD_KhauHao[[#This Row],[Năm]],12,1),
DATE(Table_TSCD_KhauHao[[#This Row],[Năm]],Table_TSCD_KhauHao[[#This Row],[Tháng]],1)),0)</f>
        <v>45962</v>
      </c>
      <c r="J22" s="242">
        <v>2025</v>
      </c>
      <c r="K22" s="242">
        <v>11</v>
      </c>
      <c r="L22" s="246">
        <f>+Table_TSCD_KhauHao[[#This Row],[Khấu hao sản xuất]]+Table_TSCD_KhauHao[[#This Row],[Khấu hao bán hàng]]+Table_TSCD_KhauHao[[#This Row],[Khấu hao quản lý]]</f>
        <v>51111111.111111104</v>
      </c>
      <c r="M2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2" s="246">
        <f t="shared" si="0"/>
        <v>51111111.111111104</v>
      </c>
      <c r="Q22" s="242"/>
    </row>
    <row r="23" spans="2:17" ht="16.5" x14ac:dyDescent="0.3">
      <c r="B23" s="510" t="s">
        <v>1118</v>
      </c>
      <c r="C23" s="522">
        <v>10000000</v>
      </c>
      <c r="D23" s="522">
        <v>0</v>
      </c>
      <c r="E23" s="522">
        <v>0</v>
      </c>
      <c r="F23" s="522">
        <v>10000000</v>
      </c>
      <c r="I23" s="33">
        <f>IFERROR(
IF(ISBLANK(Table_TSCD_KhauHao[[#This Row],[Tháng]]),
DATE(Table_TSCD_KhauHao[[#This Row],[Năm]],12,1),
DATE(Table_TSCD_KhauHao[[#This Row],[Năm]],Table_TSCD_KhauHao[[#This Row],[Tháng]],1)),0)</f>
        <v>45931</v>
      </c>
      <c r="J23" s="242">
        <v>2025</v>
      </c>
      <c r="K23" s="242">
        <v>10</v>
      </c>
      <c r="L23" s="246">
        <f>+Table_TSCD_KhauHao[[#This Row],[Khấu hao sản xuất]]+Table_TSCD_KhauHao[[#This Row],[Khấu hao bán hàng]]+Table_TSCD_KhauHao[[#This Row],[Khấu hao quản lý]]</f>
        <v>51111111.111111104</v>
      </c>
      <c r="M2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3" s="246">
        <f t="shared" si="0"/>
        <v>51111111.111111104</v>
      </c>
      <c r="Q23" s="242"/>
    </row>
    <row r="24" spans="2:17" ht="16.5" x14ac:dyDescent="0.3">
      <c r="B24" s="510" t="s">
        <v>1119</v>
      </c>
      <c r="C24" s="522">
        <v>10000000</v>
      </c>
      <c r="D24" s="522">
        <v>0</v>
      </c>
      <c r="E24" s="522">
        <v>0</v>
      </c>
      <c r="F24" s="522">
        <v>10000000</v>
      </c>
      <c r="I24" s="33">
        <f>IFERROR(
IF(ISBLANK(Table_TSCD_KhauHao[[#This Row],[Tháng]]),
DATE(Table_TSCD_KhauHao[[#This Row],[Năm]],12,1),
DATE(Table_TSCD_KhauHao[[#This Row],[Năm]],Table_TSCD_KhauHao[[#This Row],[Tháng]],1)),0)</f>
        <v>45901</v>
      </c>
      <c r="J24" s="242">
        <v>2025</v>
      </c>
      <c r="K24" s="242">
        <v>9</v>
      </c>
      <c r="L24" s="246">
        <f>+Table_TSCD_KhauHao[[#This Row],[Khấu hao sản xuất]]+Table_TSCD_KhauHao[[#This Row],[Khấu hao bán hàng]]+Table_TSCD_KhauHao[[#This Row],[Khấu hao quản lý]]</f>
        <v>51111111.111111104</v>
      </c>
      <c r="M2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4" s="246">
        <f t="shared" si="0"/>
        <v>51111111.111111104</v>
      </c>
      <c r="Q24" s="242"/>
    </row>
    <row r="25" spans="2:17" ht="16.5" x14ac:dyDescent="0.3">
      <c r="B25" s="510" t="s">
        <v>1120</v>
      </c>
      <c r="C25" s="522">
        <v>10000000</v>
      </c>
      <c r="D25" s="522">
        <v>0</v>
      </c>
      <c r="E25" s="522">
        <v>0</v>
      </c>
      <c r="F25" s="522">
        <v>10000000</v>
      </c>
      <c r="I25" s="33">
        <f>IFERROR(
IF(ISBLANK(Table_TSCD_KhauHao[[#This Row],[Tháng]]),
DATE(Table_TSCD_KhauHao[[#This Row],[Năm]],12,1),
DATE(Table_TSCD_KhauHao[[#This Row],[Năm]],Table_TSCD_KhauHao[[#This Row],[Tháng]],1)),0)</f>
        <v>45870</v>
      </c>
      <c r="J25" s="242">
        <v>2025</v>
      </c>
      <c r="K25" s="242">
        <v>8</v>
      </c>
      <c r="L25" s="246">
        <f>+Table_TSCD_KhauHao[[#This Row],[Khấu hao sản xuất]]+Table_TSCD_KhauHao[[#This Row],[Khấu hao bán hàng]]+Table_TSCD_KhauHao[[#This Row],[Khấu hao quản lý]]</f>
        <v>51111111.111111104</v>
      </c>
      <c r="M2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5" s="246">
        <f t="shared" si="0"/>
        <v>51111111.111111104</v>
      </c>
      <c r="Q25" s="242"/>
    </row>
    <row r="26" spans="2:17" ht="16.5" x14ac:dyDescent="0.3">
      <c r="B26" s="510" t="s">
        <v>1121</v>
      </c>
      <c r="C26" s="522">
        <v>10000000</v>
      </c>
      <c r="D26" s="522">
        <v>0</v>
      </c>
      <c r="E26" s="522">
        <v>0</v>
      </c>
      <c r="F26" s="522">
        <v>10000000</v>
      </c>
      <c r="I26" s="33">
        <f>IFERROR(
IF(ISBLANK(Table_TSCD_KhauHao[[#This Row],[Tháng]]),
DATE(Table_TSCD_KhauHao[[#This Row],[Năm]],12,1),
DATE(Table_TSCD_KhauHao[[#This Row],[Năm]],Table_TSCD_KhauHao[[#This Row],[Tháng]],1)),0)</f>
        <v>45839</v>
      </c>
      <c r="J26" s="242">
        <v>2025</v>
      </c>
      <c r="K26" s="242">
        <v>7</v>
      </c>
      <c r="L26" s="246">
        <f>+Table_TSCD_KhauHao[[#This Row],[Khấu hao sản xuất]]+Table_TSCD_KhauHao[[#This Row],[Khấu hao bán hàng]]+Table_TSCD_KhauHao[[#This Row],[Khấu hao quản lý]]</f>
        <v>51111111.111111104</v>
      </c>
      <c r="M2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6" s="246">
        <f t="shared" si="0"/>
        <v>51111111.111111104</v>
      </c>
      <c r="Q26" s="242"/>
    </row>
    <row r="27" spans="2:17" ht="16.5" x14ac:dyDescent="0.3">
      <c r="B27" s="510" t="s">
        <v>1122</v>
      </c>
      <c r="C27" s="522">
        <v>10000000</v>
      </c>
      <c r="D27" s="522">
        <v>0</v>
      </c>
      <c r="E27" s="522">
        <v>0</v>
      </c>
      <c r="F27" s="522">
        <v>10000000</v>
      </c>
      <c r="I27" s="33">
        <f>IFERROR(
IF(ISBLANK(Table_TSCD_KhauHao[[#This Row],[Tháng]]),
DATE(Table_TSCD_KhauHao[[#This Row],[Năm]],12,1),
DATE(Table_TSCD_KhauHao[[#This Row],[Năm]],Table_TSCD_KhauHao[[#This Row],[Tháng]],1)),0)</f>
        <v>45809</v>
      </c>
      <c r="J27" s="242">
        <v>2025</v>
      </c>
      <c r="K27" s="242">
        <v>6</v>
      </c>
      <c r="L27" s="246">
        <f>+Table_TSCD_KhauHao[[#This Row],[Khấu hao sản xuất]]+Table_TSCD_KhauHao[[#This Row],[Khấu hao bán hàng]]+Table_TSCD_KhauHao[[#This Row],[Khấu hao quản lý]]</f>
        <v>51111111.111111104</v>
      </c>
      <c r="M2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7" s="246">
        <f t="shared" si="0"/>
        <v>51111111.111111104</v>
      </c>
      <c r="Q27" s="242"/>
    </row>
    <row r="28" spans="2:17" ht="16.5" x14ac:dyDescent="0.3">
      <c r="B28" s="510" t="s">
        <v>1123</v>
      </c>
      <c r="C28" s="522">
        <v>30833333.333333332</v>
      </c>
      <c r="D28" s="522">
        <v>2916666.6666666665</v>
      </c>
      <c r="E28" s="522">
        <v>0</v>
      </c>
      <c r="F28" s="522">
        <v>33750000</v>
      </c>
      <c r="I28" s="33">
        <f>IFERROR(
IF(ISBLANK(Table_TSCD_KhauHao[[#This Row],[Tháng]]),
DATE(Table_TSCD_KhauHao[[#This Row],[Năm]],12,1),
DATE(Table_TSCD_KhauHao[[#This Row],[Năm]],Table_TSCD_KhauHao[[#This Row],[Tháng]],1)),0)</f>
        <v>45778</v>
      </c>
      <c r="J28" s="242">
        <v>2025</v>
      </c>
      <c r="K28" s="242">
        <v>5</v>
      </c>
      <c r="L28" s="246">
        <f>+Table_TSCD_KhauHao[[#This Row],[Khấu hao sản xuất]]+Table_TSCD_KhauHao[[#This Row],[Khấu hao bán hàng]]+Table_TSCD_KhauHao[[#This Row],[Khấu hao quản lý]]</f>
        <v>51111111.111111104</v>
      </c>
      <c r="M2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8" s="246">
        <f t="shared" si="0"/>
        <v>51111111.111111104</v>
      </c>
      <c r="Q28" s="242"/>
    </row>
    <row r="29" spans="2:17" ht="16.5" x14ac:dyDescent="0.3">
      <c r="B29" s="510" t="s">
        <v>1152</v>
      </c>
      <c r="C29" s="522">
        <v>30833333.333333332</v>
      </c>
      <c r="D29" s="522">
        <v>11250000</v>
      </c>
      <c r="E29" s="522">
        <v>0</v>
      </c>
      <c r="F29" s="522">
        <v>42083333.333333328</v>
      </c>
      <c r="I29" s="33">
        <f>IFERROR(
IF(ISBLANK(Table_TSCD_KhauHao[[#This Row],[Tháng]]),
DATE(Table_TSCD_KhauHao[[#This Row],[Năm]],12,1),
DATE(Table_TSCD_KhauHao[[#This Row],[Năm]],Table_TSCD_KhauHao[[#This Row],[Tháng]],1)),0)</f>
        <v>45748</v>
      </c>
      <c r="J29" s="242">
        <v>2025</v>
      </c>
      <c r="K29" s="242">
        <v>4</v>
      </c>
      <c r="L29" s="246">
        <f>+Table_TSCD_KhauHao[[#This Row],[Khấu hao sản xuất]]+Table_TSCD_KhauHao[[#This Row],[Khấu hao bán hàng]]+Table_TSCD_KhauHao[[#This Row],[Khấu hao quản lý]]</f>
        <v>51111111.111111104</v>
      </c>
      <c r="M2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9" s="246">
        <f t="shared" si="0"/>
        <v>51111111.111111104</v>
      </c>
      <c r="Q29" s="242"/>
    </row>
    <row r="30" spans="2:17" ht="16.5" x14ac:dyDescent="0.3">
      <c r="B30" s="510" t="s">
        <v>1153</v>
      </c>
      <c r="C30" s="522">
        <v>30833333.333333332</v>
      </c>
      <c r="D30" s="522">
        <v>11250000</v>
      </c>
      <c r="E30" s="522">
        <v>0</v>
      </c>
      <c r="F30" s="522">
        <v>42083333.333333328</v>
      </c>
      <c r="I30" s="33">
        <f>IFERROR(
IF(ISBLANK(Table_TSCD_KhauHao[[#This Row],[Tháng]]),
DATE(Table_TSCD_KhauHao[[#This Row],[Năm]],12,1),
DATE(Table_TSCD_KhauHao[[#This Row],[Năm]],Table_TSCD_KhauHao[[#This Row],[Tháng]],1)),0)</f>
        <v>45717</v>
      </c>
      <c r="J30" s="242">
        <v>2025</v>
      </c>
      <c r="K30" s="242">
        <v>3</v>
      </c>
      <c r="L30" s="246">
        <f>+Table_TSCD_KhauHao[[#This Row],[Khấu hao sản xuất]]+Table_TSCD_KhauHao[[#This Row],[Khấu hao bán hàng]]+Table_TSCD_KhauHao[[#This Row],[Khấu hao quản lý]]</f>
        <v>51111111.111111104</v>
      </c>
      <c r="M3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0" s="246">
        <f t="shared" si="0"/>
        <v>51111111.111111104</v>
      </c>
      <c r="Q30" s="242"/>
    </row>
    <row r="31" spans="2:17" ht="16.5" x14ac:dyDescent="0.3">
      <c r="B31" s="98" t="s">
        <v>1151</v>
      </c>
      <c r="C31" s="522">
        <v>369999999.99999994</v>
      </c>
      <c r="D31" s="522">
        <v>135000000</v>
      </c>
      <c r="E31" s="522">
        <v>73611111.111111104</v>
      </c>
      <c r="F31" s="522">
        <v>578611111.11111104</v>
      </c>
      <c r="I31" s="33">
        <f>IFERROR(
IF(ISBLANK(Table_TSCD_KhauHao[[#This Row],[Tháng]]),
DATE(Table_TSCD_KhauHao[[#This Row],[Năm]],12,1),
DATE(Table_TSCD_KhauHao[[#This Row],[Năm]],Table_TSCD_KhauHao[[#This Row],[Tháng]],1)),0)</f>
        <v>45689</v>
      </c>
      <c r="J31" s="242">
        <v>2025</v>
      </c>
      <c r="K31" s="242">
        <v>2</v>
      </c>
      <c r="L31" s="246">
        <f>+Table_TSCD_KhauHao[[#This Row],[Khấu hao sản xuất]]+Table_TSCD_KhauHao[[#This Row],[Khấu hao bán hàng]]+Table_TSCD_KhauHao[[#This Row],[Khấu hao quản lý]]</f>
        <v>51111111.111111104</v>
      </c>
      <c r="M3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1" s="246">
        <f t="shared" si="0"/>
        <v>51111111.111111104</v>
      </c>
      <c r="Q31" s="242"/>
    </row>
    <row r="32" spans="2:17" ht="16.5" x14ac:dyDescent="0.3">
      <c r="B32" s="510" t="s">
        <v>1154</v>
      </c>
      <c r="C32" s="522">
        <v>30833333.333333332</v>
      </c>
      <c r="D32" s="522">
        <v>11250000</v>
      </c>
      <c r="E32" s="522">
        <v>0</v>
      </c>
      <c r="F32" s="522">
        <v>42083333.333333328</v>
      </c>
      <c r="I32" s="33">
        <f>IFERROR(
IF(ISBLANK(Table_TSCD_KhauHao[[#This Row],[Tháng]]),
DATE(Table_TSCD_KhauHao[[#This Row],[Năm]],12,1),
DATE(Table_TSCD_KhauHao[[#This Row],[Năm]],Table_TSCD_KhauHao[[#This Row],[Tháng]],1)),0)</f>
        <v>45658</v>
      </c>
      <c r="J32" s="242">
        <v>2025</v>
      </c>
      <c r="K32" s="242">
        <v>1</v>
      </c>
      <c r="L32" s="246">
        <f>+Table_TSCD_KhauHao[[#This Row],[Khấu hao sản xuất]]+Table_TSCD_KhauHao[[#This Row],[Khấu hao bán hàng]]+Table_TSCD_KhauHao[[#This Row],[Khấu hao quản lý]]</f>
        <v>51111111.111111104</v>
      </c>
      <c r="M3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2" s="246">
        <f t="shared" si="0"/>
        <v>51111111.111111104</v>
      </c>
      <c r="Q32" s="242"/>
    </row>
    <row r="33" spans="2:17" ht="16.5" x14ac:dyDescent="0.3">
      <c r="B33" s="510" t="s">
        <v>1116</v>
      </c>
      <c r="C33" s="522">
        <v>30833333.333333332</v>
      </c>
      <c r="D33" s="522">
        <v>11250000</v>
      </c>
      <c r="E33" s="522">
        <v>0</v>
      </c>
      <c r="F33" s="522">
        <v>42083333.333333328</v>
      </c>
      <c r="I33" s="33">
        <f>IFERROR(
IF(ISBLANK(Table_TSCD_KhauHao[[#This Row],[Tháng]]),
DATE(Table_TSCD_KhauHao[[#This Row],[Năm]],12,1),
DATE(Table_TSCD_KhauHao[[#This Row],[Năm]],Table_TSCD_KhauHao[[#This Row],[Tháng]],1)),0)</f>
        <v>45627</v>
      </c>
      <c r="J33" s="242">
        <v>2024</v>
      </c>
      <c r="K33" s="242">
        <v>12</v>
      </c>
      <c r="L33" s="246">
        <f>+Table_TSCD_KhauHao[[#This Row],[Khấu hao sản xuất]]+Table_TSCD_KhauHao[[#This Row],[Khấu hao bán hàng]]+Table_TSCD_KhauHao[[#This Row],[Khấu hao quản lý]]</f>
        <v>51111111.111111104</v>
      </c>
      <c r="M3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3" s="246">
        <f t="shared" si="0"/>
        <v>51111111.111111104</v>
      </c>
      <c r="Q33" s="242"/>
    </row>
    <row r="34" spans="2:17" ht="16.5" x14ac:dyDescent="0.3">
      <c r="B34" s="510" t="s">
        <v>1155</v>
      </c>
      <c r="C34" s="522">
        <v>30833333.333333332</v>
      </c>
      <c r="D34" s="522">
        <v>11250000</v>
      </c>
      <c r="E34" s="522">
        <v>694444.4444444445</v>
      </c>
      <c r="F34" s="522">
        <v>42777777.777777776</v>
      </c>
      <c r="I34" s="33">
        <f>IFERROR(
IF(ISBLANK(Table_TSCD_KhauHao[[#This Row],[Tháng]]),
DATE(Table_TSCD_KhauHao[[#This Row],[Năm]],12,1),
DATE(Table_TSCD_KhauHao[[#This Row],[Năm]],Table_TSCD_KhauHao[[#This Row],[Tháng]],1)),0)</f>
        <v>45597</v>
      </c>
      <c r="J34" s="242">
        <v>2024</v>
      </c>
      <c r="K34" s="242">
        <v>11</v>
      </c>
      <c r="L34" s="246">
        <f>+Table_TSCD_KhauHao[[#This Row],[Khấu hao sản xuất]]+Table_TSCD_KhauHao[[#This Row],[Khấu hao bán hàng]]+Table_TSCD_KhauHao[[#This Row],[Khấu hao quản lý]]</f>
        <v>51111111.111111104</v>
      </c>
      <c r="M3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4" s="246">
        <f t="shared" si="0"/>
        <v>51111111.111111104</v>
      </c>
      <c r="Q34" s="242"/>
    </row>
    <row r="35" spans="2:17" ht="16.5" x14ac:dyDescent="0.3">
      <c r="B35" s="510" t="s">
        <v>1117</v>
      </c>
      <c r="C35" s="522">
        <v>30833333.333333332</v>
      </c>
      <c r="D35" s="522">
        <v>11250000</v>
      </c>
      <c r="E35" s="522">
        <v>694444.4444444445</v>
      </c>
      <c r="F35" s="522">
        <v>42777777.777777776</v>
      </c>
      <c r="I35" s="33">
        <f>IFERROR(
IF(ISBLANK(Table_TSCD_KhauHao[[#This Row],[Tháng]]),
DATE(Table_TSCD_KhauHao[[#This Row],[Năm]],12,1),
DATE(Table_TSCD_KhauHao[[#This Row],[Năm]],Table_TSCD_KhauHao[[#This Row],[Tháng]],1)),0)</f>
        <v>45566</v>
      </c>
      <c r="J35" s="242">
        <v>2024</v>
      </c>
      <c r="K35" s="242">
        <v>10</v>
      </c>
      <c r="L35" s="246">
        <f>+Table_TSCD_KhauHao[[#This Row],[Khấu hao sản xuất]]+Table_TSCD_KhauHao[[#This Row],[Khấu hao bán hàng]]+Table_TSCD_KhauHao[[#This Row],[Khấu hao quản lý]]</f>
        <v>51111111.111111104</v>
      </c>
      <c r="M3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5" s="246">
        <f t="shared" si="0"/>
        <v>51111111.111111104</v>
      </c>
      <c r="Q35" s="242"/>
    </row>
    <row r="36" spans="2:17" ht="16.5" x14ac:dyDescent="0.3">
      <c r="B36" s="510" t="s">
        <v>1118</v>
      </c>
      <c r="C36" s="522">
        <v>30833333.333333332</v>
      </c>
      <c r="D36" s="522">
        <v>11250000</v>
      </c>
      <c r="E36" s="522">
        <v>9027777.777777778</v>
      </c>
      <c r="F36" s="522">
        <v>51111111.111111104</v>
      </c>
      <c r="I36" s="33">
        <f>IFERROR(
IF(ISBLANK(Table_TSCD_KhauHao[[#This Row],[Tháng]]),
DATE(Table_TSCD_KhauHao[[#This Row],[Năm]],12,1),
DATE(Table_TSCD_KhauHao[[#This Row],[Năm]],Table_TSCD_KhauHao[[#This Row],[Tháng]],1)),0)</f>
        <v>45536</v>
      </c>
      <c r="J36" s="242">
        <v>2024</v>
      </c>
      <c r="K36" s="242">
        <v>9</v>
      </c>
      <c r="L36" s="246">
        <f>+Table_TSCD_KhauHao[[#This Row],[Khấu hao sản xuất]]+Table_TSCD_KhauHao[[#This Row],[Khấu hao bán hàng]]+Table_TSCD_KhauHao[[#This Row],[Khấu hao quản lý]]</f>
        <v>51111111.111111104</v>
      </c>
      <c r="M3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6" s="246">
        <f t="shared" si="0"/>
        <v>51111111.111111104</v>
      </c>
      <c r="Q36" s="242"/>
    </row>
    <row r="37" spans="2:17" ht="16.5" x14ac:dyDescent="0.3">
      <c r="B37" s="510" t="s">
        <v>1119</v>
      </c>
      <c r="C37" s="522">
        <v>30833333.333333332</v>
      </c>
      <c r="D37" s="522">
        <v>11250000</v>
      </c>
      <c r="E37" s="522">
        <v>9027777.777777778</v>
      </c>
      <c r="F37" s="522">
        <v>51111111.111111104</v>
      </c>
      <c r="I37" s="33">
        <f>IFERROR(
IF(ISBLANK(Table_TSCD_KhauHao[[#This Row],[Tháng]]),
DATE(Table_TSCD_KhauHao[[#This Row],[Năm]],12,1),
DATE(Table_TSCD_KhauHao[[#This Row],[Năm]],Table_TSCD_KhauHao[[#This Row],[Tháng]],1)),0)</f>
        <v>45505</v>
      </c>
      <c r="J37" s="242">
        <v>2024</v>
      </c>
      <c r="K37" s="242">
        <v>8</v>
      </c>
      <c r="L37" s="246">
        <f>+Table_TSCD_KhauHao[[#This Row],[Khấu hao sản xuất]]+Table_TSCD_KhauHao[[#This Row],[Khấu hao bán hàng]]+Table_TSCD_KhauHao[[#This Row],[Khấu hao quản lý]]</f>
        <v>51111111.111111104</v>
      </c>
      <c r="M3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7" s="246">
        <f t="shared" si="0"/>
        <v>51111111.111111104</v>
      </c>
      <c r="Q37" s="242"/>
    </row>
    <row r="38" spans="2:17" ht="16.5" x14ac:dyDescent="0.3">
      <c r="B38" s="510" t="s">
        <v>1120</v>
      </c>
      <c r="C38" s="522">
        <v>30833333.333333332</v>
      </c>
      <c r="D38" s="522">
        <v>11250000</v>
      </c>
      <c r="E38" s="522">
        <v>9027777.777777778</v>
      </c>
      <c r="F38" s="522">
        <v>51111111.111111104</v>
      </c>
      <c r="I38" s="33">
        <f>IFERROR(
IF(ISBLANK(Table_TSCD_KhauHao[[#This Row],[Tháng]]),
DATE(Table_TSCD_KhauHao[[#This Row],[Năm]],12,1),
DATE(Table_TSCD_KhauHao[[#This Row],[Năm]],Table_TSCD_KhauHao[[#This Row],[Tháng]],1)),0)</f>
        <v>45474</v>
      </c>
      <c r="J38" s="242">
        <v>2024</v>
      </c>
      <c r="K38" s="242">
        <v>7</v>
      </c>
      <c r="L38" s="246">
        <f>+Table_TSCD_KhauHao[[#This Row],[Khấu hao sản xuất]]+Table_TSCD_KhauHao[[#This Row],[Khấu hao bán hàng]]+Table_TSCD_KhauHao[[#This Row],[Khấu hao quản lý]]</f>
        <v>51111111.111111104</v>
      </c>
      <c r="M3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8" s="246">
        <f t="shared" si="0"/>
        <v>51111111.111111104</v>
      </c>
      <c r="Q38" s="242"/>
    </row>
    <row r="39" spans="2:17" ht="16.5" x14ac:dyDescent="0.3">
      <c r="B39" s="510" t="s">
        <v>1121</v>
      </c>
      <c r="C39" s="522">
        <v>30833333.333333332</v>
      </c>
      <c r="D39" s="522">
        <v>11250000</v>
      </c>
      <c r="E39" s="522">
        <v>9027777.777777778</v>
      </c>
      <c r="F39" s="522">
        <v>51111111.111111104</v>
      </c>
      <c r="I39" s="33">
        <f>IFERROR(
IF(ISBLANK(Table_TSCD_KhauHao[[#This Row],[Tháng]]),
DATE(Table_TSCD_KhauHao[[#This Row],[Năm]],12,1),
DATE(Table_TSCD_KhauHao[[#This Row],[Năm]],Table_TSCD_KhauHao[[#This Row],[Tháng]],1)),0)</f>
        <v>45444</v>
      </c>
      <c r="J39" s="242">
        <v>2024</v>
      </c>
      <c r="K39" s="242">
        <v>6</v>
      </c>
      <c r="L39" s="246">
        <f>+Table_TSCD_KhauHao[[#This Row],[Khấu hao sản xuất]]+Table_TSCD_KhauHao[[#This Row],[Khấu hao bán hàng]]+Table_TSCD_KhauHao[[#This Row],[Khấu hao quản lý]]</f>
        <v>51111111.111111104</v>
      </c>
      <c r="M3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9" s="246">
        <f t="shared" si="0"/>
        <v>51111111.111111104</v>
      </c>
      <c r="Q39" s="242"/>
    </row>
    <row r="40" spans="2:17" ht="16.5" x14ac:dyDescent="0.3">
      <c r="B40" s="510" t="s">
        <v>1122</v>
      </c>
      <c r="C40" s="522">
        <v>30833333.333333332</v>
      </c>
      <c r="D40" s="522">
        <v>11250000</v>
      </c>
      <c r="E40" s="522">
        <v>9027777.777777778</v>
      </c>
      <c r="F40" s="522">
        <v>51111111.111111104</v>
      </c>
      <c r="I40" s="33">
        <f>IFERROR(
IF(ISBLANK(Table_TSCD_KhauHao[[#This Row],[Tháng]]),
DATE(Table_TSCD_KhauHao[[#This Row],[Năm]],12,1),
DATE(Table_TSCD_KhauHao[[#This Row],[Năm]],Table_TSCD_KhauHao[[#This Row],[Tháng]],1)),0)</f>
        <v>45413</v>
      </c>
      <c r="J40" s="242">
        <v>2024</v>
      </c>
      <c r="K40" s="242">
        <v>5</v>
      </c>
      <c r="L40" s="246">
        <f>+Table_TSCD_KhauHao[[#This Row],[Khấu hao sản xuất]]+Table_TSCD_KhauHao[[#This Row],[Khấu hao bán hàng]]+Table_TSCD_KhauHao[[#This Row],[Khấu hao quản lý]]</f>
        <v>51111111.111111104</v>
      </c>
      <c r="M4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40" s="246">
        <f t="shared" si="0"/>
        <v>51111111.111111104</v>
      </c>
      <c r="Q40" s="242"/>
    </row>
    <row r="41" spans="2:17" ht="16.5" x14ac:dyDescent="0.3">
      <c r="B41" s="510" t="s">
        <v>1123</v>
      </c>
      <c r="C41" s="522">
        <v>30833333.333333332</v>
      </c>
      <c r="D41" s="522">
        <v>11250000</v>
      </c>
      <c r="E41" s="522">
        <v>9027777.777777778</v>
      </c>
      <c r="F41" s="522">
        <v>51111111.111111104</v>
      </c>
      <c r="I41" s="33">
        <f>IFERROR(
IF(ISBLANK(Table_TSCD_KhauHao[[#This Row],[Tháng]]),
DATE(Table_TSCD_KhauHao[[#This Row],[Năm]],12,1),
DATE(Table_TSCD_KhauHao[[#This Row],[Năm]],Table_TSCD_KhauHao[[#This Row],[Tháng]],1)),0)</f>
        <v>45383</v>
      </c>
      <c r="J41" s="242">
        <v>2024</v>
      </c>
      <c r="K41" s="242">
        <v>4</v>
      </c>
      <c r="L41" s="246">
        <f>+Table_TSCD_KhauHao[[#This Row],[Khấu hao sản xuất]]+Table_TSCD_KhauHao[[#This Row],[Khấu hao bán hàng]]+Table_TSCD_KhauHao[[#This Row],[Khấu hao quản lý]]</f>
        <v>42777777.777777776</v>
      </c>
      <c r="M4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1" s="246">
        <f t="shared" si="0"/>
        <v>42777777.777777776</v>
      </c>
      <c r="Q41" s="242"/>
    </row>
    <row r="42" spans="2:17" ht="16.5" x14ac:dyDescent="0.3">
      <c r="B42" s="510" t="s">
        <v>1152</v>
      </c>
      <c r="C42" s="522">
        <v>30833333.333333332</v>
      </c>
      <c r="D42" s="522">
        <v>11250000</v>
      </c>
      <c r="E42" s="522">
        <v>9027777.777777778</v>
      </c>
      <c r="F42" s="522">
        <v>51111111.111111104</v>
      </c>
      <c r="I42" s="33">
        <f>IFERROR(
IF(ISBLANK(Table_TSCD_KhauHao[[#This Row],[Tháng]]),
DATE(Table_TSCD_KhauHao[[#This Row],[Năm]],12,1),
DATE(Table_TSCD_KhauHao[[#This Row],[Năm]],Table_TSCD_KhauHao[[#This Row],[Tháng]],1)),0)</f>
        <v>45352</v>
      </c>
      <c r="J42" s="242">
        <v>2024</v>
      </c>
      <c r="K42" s="242">
        <v>3</v>
      </c>
      <c r="L42" s="246">
        <f>+Table_TSCD_KhauHao[[#This Row],[Khấu hao sản xuất]]+Table_TSCD_KhauHao[[#This Row],[Khấu hao bán hàng]]+Table_TSCD_KhauHao[[#This Row],[Khấu hao quản lý]]</f>
        <v>42777777.777777776</v>
      </c>
      <c r="M4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2" s="246">
        <f t="shared" si="0"/>
        <v>42777777.777777776</v>
      </c>
      <c r="Q42" s="242"/>
    </row>
    <row r="43" spans="2:17" ht="16.5" x14ac:dyDescent="0.3">
      <c r="B43" s="510" t="s">
        <v>1153</v>
      </c>
      <c r="C43" s="522">
        <v>30833333.333333332</v>
      </c>
      <c r="D43" s="522">
        <v>11250000</v>
      </c>
      <c r="E43" s="522">
        <v>9027777.777777778</v>
      </c>
      <c r="F43" s="522">
        <v>51111111.111111104</v>
      </c>
      <c r="I43" s="33">
        <f>IFERROR(
IF(ISBLANK(Table_TSCD_KhauHao[[#This Row],[Tháng]]),
DATE(Table_TSCD_KhauHao[[#This Row],[Năm]],12,1),
DATE(Table_TSCD_KhauHao[[#This Row],[Năm]],Table_TSCD_KhauHao[[#This Row],[Tháng]],1)),0)</f>
        <v>45323</v>
      </c>
      <c r="J43" s="242">
        <v>2024</v>
      </c>
      <c r="K43" s="242">
        <v>2</v>
      </c>
      <c r="L43" s="246">
        <f>+Table_TSCD_KhauHao[[#This Row],[Khấu hao sản xuất]]+Table_TSCD_KhauHao[[#This Row],[Khấu hao bán hàng]]+Table_TSCD_KhauHao[[#This Row],[Khấu hao quản lý]]</f>
        <v>42083333.333333328</v>
      </c>
      <c r="M4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3" s="246">
        <f t="shared" si="0"/>
        <v>42083333.333333328</v>
      </c>
      <c r="Q43" s="242"/>
    </row>
    <row r="44" spans="2:17" ht="16.5" x14ac:dyDescent="0.3">
      <c r="B44" s="98" t="s">
        <v>1112</v>
      </c>
      <c r="C44" s="522">
        <v>522499999.99999988</v>
      </c>
      <c r="D44" s="522">
        <v>160416666.66666666</v>
      </c>
      <c r="E44" s="522">
        <v>73611111.111111104</v>
      </c>
      <c r="F44" s="522">
        <v>756527777.77777791</v>
      </c>
      <c r="I44" s="33">
        <f>IFERROR(
IF(ISBLANK(Table_TSCD_KhauHao[[#This Row],[Tháng]]),
DATE(Table_TSCD_KhauHao[[#This Row],[Năm]],12,1),
DATE(Table_TSCD_KhauHao[[#This Row],[Năm]],Table_TSCD_KhauHao[[#This Row],[Tháng]],1)),0)</f>
        <v>45292</v>
      </c>
      <c r="J44" s="242">
        <v>2024</v>
      </c>
      <c r="K44" s="242">
        <v>1</v>
      </c>
      <c r="L44" s="246">
        <f>+Table_TSCD_KhauHao[[#This Row],[Khấu hao sản xuất]]+Table_TSCD_KhauHao[[#This Row],[Khấu hao bán hàng]]+Table_TSCD_KhauHao[[#This Row],[Khấu hao quản lý]]</f>
        <v>42083333.333333328</v>
      </c>
      <c r="M4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4" s="246">
        <f t="shared" si="0"/>
        <v>42083333.333333328</v>
      </c>
      <c r="Q44" s="242"/>
    </row>
    <row r="45" spans="2:17" ht="16.5" x14ac:dyDescent="0.3">
      <c r="B45"/>
      <c r="C45"/>
      <c r="D45"/>
      <c r="E45"/>
      <c r="F45"/>
      <c r="I45" s="33">
        <f>IFERROR(
IF(ISBLANK(Table_TSCD_KhauHao[[#This Row],[Tháng]]),
DATE(Table_TSCD_KhauHao[[#This Row],[Năm]],12,1),
DATE(Table_TSCD_KhauHao[[#This Row],[Năm]],Table_TSCD_KhauHao[[#This Row],[Tháng]],1)),0)</f>
        <v>45261</v>
      </c>
      <c r="J45" s="242">
        <v>2023</v>
      </c>
      <c r="K45" s="242">
        <v>12</v>
      </c>
      <c r="L45" s="246">
        <f>+Table_TSCD_KhauHao[[#This Row],[Khấu hao sản xuất]]+Table_TSCD_KhauHao[[#This Row],[Khấu hao bán hàng]]+Table_TSCD_KhauHao[[#This Row],[Khấu hao quản lý]]</f>
        <v>42083333.333333328</v>
      </c>
      <c r="M4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5" s="246">
        <f t="shared" si="0"/>
        <v>42083333.333333328</v>
      </c>
      <c r="Q45" s="242"/>
    </row>
    <row r="46" spans="2:17" ht="16.5" x14ac:dyDescent="0.3">
      <c r="B46"/>
      <c r="C46"/>
      <c r="D46"/>
      <c r="E46"/>
      <c r="F46"/>
      <c r="I46" s="33">
        <f>IFERROR(
IF(ISBLANK(Table_TSCD_KhauHao[[#This Row],[Tháng]]),
DATE(Table_TSCD_KhauHao[[#This Row],[Năm]],12,1),
DATE(Table_TSCD_KhauHao[[#This Row],[Năm]],Table_TSCD_KhauHao[[#This Row],[Tháng]],1)),0)</f>
        <v>45231</v>
      </c>
      <c r="J46" s="242">
        <v>2023</v>
      </c>
      <c r="K46" s="242">
        <v>11</v>
      </c>
      <c r="L46" s="246">
        <f>+Table_TSCD_KhauHao[[#This Row],[Khấu hao sản xuất]]+Table_TSCD_KhauHao[[#This Row],[Khấu hao bán hàng]]+Table_TSCD_KhauHao[[#This Row],[Khấu hao quản lý]]</f>
        <v>42083333.333333328</v>
      </c>
      <c r="M4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6" s="246">
        <f t="shared" si="0"/>
        <v>42083333.333333328</v>
      </c>
      <c r="Q46" s="242"/>
    </row>
    <row r="47" spans="2:17" ht="16.5" x14ac:dyDescent="0.3">
      <c r="B47"/>
      <c r="C47"/>
      <c r="D47"/>
      <c r="E47"/>
      <c r="F47"/>
      <c r="I47" s="33">
        <f>IFERROR(
IF(ISBLANK(Table_TSCD_KhauHao[[#This Row],[Tháng]]),
DATE(Table_TSCD_KhauHao[[#This Row],[Năm]],12,1),
DATE(Table_TSCD_KhauHao[[#This Row],[Năm]],Table_TSCD_KhauHao[[#This Row],[Tháng]],1)),0)</f>
        <v>45200</v>
      </c>
      <c r="J47" s="242">
        <v>2023</v>
      </c>
      <c r="K47" s="242">
        <v>10</v>
      </c>
      <c r="L47" s="246">
        <f>+Table_TSCD_KhauHao[[#This Row],[Khấu hao sản xuất]]+Table_TSCD_KhauHao[[#This Row],[Khấu hao bán hàng]]+Table_TSCD_KhauHao[[#This Row],[Khấu hao quản lý]]</f>
        <v>33750000</v>
      </c>
      <c r="M4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O4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7" s="246">
        <f t="shared" si="0"/>
        <v>33750000</v>
      </c>
      <c r="Q47" s="242"/>
    </row>
    <row r="48" spans="2:17" ht="16.5" x14ac:dyDescent="0.3">
      <c r="B48"/>
      <c r="C48"/>
      <c r="D48"/>
      <c r="E48"/>
      <c r="F48"/>
      <c r="I48" s="33">
        <f>IFERROR(
IF(ISBLANK(Table_TSCD_KhauHao[[#This Row],[Tháng]]),
DATE(Table_TSCD_KhauHao[[#This Row],[Năm]],12,1),
DATE(Table_TSCD_KhauHao[[#This Row],[Năm]],Table_TSCD_KhauHao[[#This Row],[Tháng]],1)),0)</f>
        <v>45170</v>
      </c>
      <c r="J48" s="242">
        <v>2023</v>
      </c>
      <c r="K48" s="242">
        <v>9</v>
      </c>
      <c r="L48" s="246">
        <f>+Table_TSCD_KhauHao[[#This Row],[Khấu hao sản xuất]]+Table_TSCD_KhauHao[[#This Row],[Khấu hao bán hàng]]+Table_TSCD_KhauHao[[#This Row],[Khấu hao quản lý]]</f>
        <v>10000000</v>
      </c>
      <c r="M4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8" s="246">
        <f t="shared" si="0"/>
        <v>10000000</v>
      </c>
      <c r="Q48" s="242"/>
    </row>
    <row r="49" spans="2:17" ht="16.5" x14ac:dyDescent="0.3">
      <c r="B49"/>
      <c r="C49"/>
      <c r="D49"/>
      <c r="E49"/>
      <c r="F49"/>
      <c r="I49" s="33">
        <f>IFERROR(
IF(ISBLANK(Table_TSCD_KhauHao[[#This Row],[Tháng]]),
DATE(Table_TSCD_KhauHao[[#This Row],[Năm]],12,1),
DATE(Table_TSCD_KhauHao[[#This Row],[Năm]],Table_TSCD_KhauHao[[#This Row],[Tháng]],1)),0)</f>
        <v>45139</v>
      </c>
      <c r="J49" s="242">
        <v>2023</v>
      </c>
      <c r="K49" s="242">
        <v>8</v>
      </c>
      <c r="L49" s="246">
        <f>+Table_TSCD_KhauHao[[#This Row],[Khấu hao sản xuất]]+Table_TSCD_KhauHao[[#This Row],[Khấu hao bán hàng]]+Table_TSCD_KhauHao[[#This Row],[Khấu hao quản lý]]</f>
        <v>10000000</v>
      </c>
      <c r="M4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9" s="246">
        <f t="shared" si="0"/>
        <v>10000000</v>
      </c>
      <c r="Q49" s="242"/>
    </row>
    <row r="50" spans="2:17" ht="16.5" x14ac:dyDescent="0.3">
      <c r="B50"/>
      <c r="C50"/>
      <c r="D50"/>
      <c r="E50"/>
      <c r="F50"/>
      <c r="I50" s="33">
        <f>IFERROR(
IF(ISBLANK(Table_TSCD_KhauHao[[#This Row],[Tháng]]),
DATE(Table_TSCD_KhauHao[[#This Row],[Năm]],12,1),
DATE(Table_TSCD_KhauHao[[#This Row],[Năm]],Table_TSCD_KhauHao[[#This Row],[Tháng]],1)),0)</f>
        <v>45108</v>
      </c>
      <c r="J50" s="242">
        <v>2023</v>
      </c>
      <c r="K50" s="242">
        <v>7</v>
      </c>
      <c r="L50" s="246">
        <f>+Table_TSCD_KhauHao[[#This Row],[Khấu hao sản xuất]]+Table_TSCD_KhauHao[[#This Row],[Khấu hao bán hàng]]+Table_TSCD_KhauHao[[#This Row],[Khấu hao quản lý]]</f>
        <v>10000000</v>
      </c>
      <c r="M5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0" s="246">
        <f t="shared" si="0"/>
        <v>10000000</v>
      </c>
      <c r="Q50" s="242"/>
    </row>
    <row r="51" spans="2:17" ht="16.5" x14ac:dyDescent="0.3">
      <c r="B51"/>
      <c r="C51"/>
      <c r="D51"/>
      <c r="E51"/>
      <c r="F51"/>
      <c r="I51" s="33">
        <f>IFERROR(
IF(ISBLANK(Table_TSCD_KhauHao[[#This Row],[Tháng]]),
DATE(Table_TSCD_KhauHao[[#This Row],[Năm]],12,1),
DATE(Table_TSCD_KhauHao[[#This Row],[Năm]],Table_TSCD_KhauHao[[#This Row],[Tháng]],1)),0)</f>
        <v>45078</v>
      </c>
      <c r="J51" s="242">
        <v>2023</v>
      </c>
      <c r="K51" s="242">
        <v>6</v>
      </c>
      <c r="L51" s="246">
        <f>+Table_TSCD_KhauHao[[#This Row],[Khấu hao sản xuất]]+Table_TSCD_KhauHao[[#This Row],[Khấu hao bán hàng]]+Table_TSCD_KhauHao[[#This Row],[Khấu hao quản lý]]</f>
        <v>10000000</v>
      </c>
      <c r="M5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1" s="246">
        <f t="shared" si="0"/>
        <v>10000000</v>
      </c>
      <c r="Q51" s="242"/>
    </row>
    <row r="52" spans="2:17" ht="16.5" x14ac:dyDescent="0.3">
      <c r="B52"/>
      <c r="C52"/>
      <c r="D52"/>
      <c r="E52"/>
      <c r="F52"/>
      <c r="I52" s="33">
        <f>IFERROR(
IF(ISBLANK(Table_TSCD_KhauHao[[#This Row],[Tháng]]),
DATE(Table_TSCD_KhauHao[[#This Row],[Năm]],12,1),
DATE(Table_TSCD_KhauHao[[#This Row],[Năm]],Table_TSCD_KhauHao[[#This Row],[Tháng]],1)),0)</f>
        <v>45047</v>
      </c>
      <c r="J52" s="242">
        <v>2023</v>
      </c>
      <c r="K52" s="242">
        <v>5</v>
      </c>
      <c r="L52" s="246">
        <f>+Table_TSCD_KhauHao[[#This Row],[Khấu hao sản xuất]]+Table_TSCD_KhauHao[[#This Row],[Khấu hao bán hàng]]+Table_TSCD_KhauHao[[#This Row],[Khấu hao quản lý]]</f>
        <v>10000000</v>
      </c>
      <c r="M5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2" s="246">
        <f t="shared" si="0"/>
        <v>10000000</v>
      </c>
      <c r="Q52" s="242"/>
    </row>
    <row r="53" spans="2:17" ht="16.5" x14ac:dyDescent="0.3">
      <c r="B53"/>
      <c r="C53"/>
      <c r="D53"/>
      <c r="E53"/>
      <c r="F53"/>
      <c r="I53" s="33">
        <f>IFERROR(
IF(ISBLANK(Table_TSCD_KhauHao[[#This Row],[Tháng]]),
DATE(Table_TSCD_KhauHao[[#This Row],[Năm]],12,1),
DATE(Table_TSCD_KhauHao[[#This Row],[Năm]],Table_TSCD_KhauHao[[#This Row],[Tháng]],1)),0)</f>
        <v>45017</v>
      </c>
      <c r="J53" s="242">
        <v>2023</v>
      </c>
      <c r="K53" s="242">
        <v>4</v>
      </c>
      <c r="L53" s="246">
        <f>+Table_TSCD_KhauHao[[#This Row],[Khấu hao sản xuất]]+Table_TSCD_KhauHao[[#This Row],[Khấu hao bán hàng]]+Table_TSCD_KhauHao[[#This Row],[Khấu hao quản lý]]</f>
        <v>10000000</v>
      </c>
      <c r="M5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3" s="246">
        <f t="shared" si="0"/>
        <v>10000000</v>
      </c>
      <c r="Q53" s="242"/>
    </row>
    <row r="54" spans="2:17" ht="16.5" x14ac:dyDescent="0.3">
      <c r="B54"/>
      <c r="C54"/>
      <c r="D54"/>
      <c r="E54"/>
      <c r="F54"/>
    </row>
    <row r="55" spans="2:17" ht="16.5" x14ac:dyDescent="0.3">
      <c r="B55"/>
      <c r="C55"/>
      <c r="D55"/>
      <c r="E55"/>
      <c r="F55"/>
    </row>
    <row r="56" spans="2:17" ht="16.5" x14ac:dyDescent="0.3">
      <c r="B56"/>
      <c r="C56"/>
      <c r="D56"/>
      <c r="E56"/>
      <c r="F56"/>
    </row>
    <row r="57" spans="2:17" ht="16.5" x14ac:dyDescent="0.3">
      <c r="B57"/>
      <c r="C57"/>
      <c r="D57"/>
      <c r="E57"/>
      <c r="F57"/>
    </row>
  </sheetData>
  <sheetProtection algorithmName="SHA-512" hashValue="mNP/wHnMATgDCfRiTA2RY9DzbFvceBIBiMAwV9xc+uCZwESxLD3xykd4yduoQm830UtXOsBD7QAEZYJwVTInLA==" saltValue="ya1ahWipP1cBj1Sgr8myHA==" spinCount="100000" sheet="1" scenarios="1" formatCells="0" formatColumns="0" formatRows="0" insertColumns="0" insertRows="0" deleteColumns="0" deleteRows="0" sort="0" autoFilter="0" pivotTables="0"/>
  <phoneticPr fontId="14"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4" r:id="rId4" name="Option Button 6">
              <controlPr defaultSize="0" autoFill="0" autoLine="0" autoPict="0" macro="[0]!DoiDonViHienThi">
                <anchor moveWithCells="1">
                  <from>
                    <xdr:col>11</xdr:col>
                    <xdr:colOff>400050</xdr:colOff>
                    <xdr:row>0</xdr:row>
                    <xdr:rowOff>133350</xdr:rowOff>
                  </from>
                  <to>
                    <xdr:col>11</xdr:col>
                    <xdr:colOff>990600</xdr:colOff>
                    <xdr:row>1</xdr:row>
                    <xdr:rowOff>114300</xdr:rowOff>
                  </to>
                </anchor>
              </controlPr>
            </control>
          </mc:Choice>
        </mc:AlternateContent>
        <mc:AlternateContent xmlns:mc="http://schemas.openxmlformats.org/markup-compatibility/2006">
          <mc:Choice Requires="x14">
            <control shapeId="63495" r:id="rId5" name="Option Button 7">
              <controlPr defaultSize="0" autoFill="0" autoLine="0" autoPict="0" macro="[0]!DoiDonViHienThi">
                <anchor moveWithCells="1">
                  <from>
                    <xdr:col>11</xdr:col>
                    <xdr:colOff>866775</xdr:colOff>
                    <xdr:row>0</xdr:row>
                    <xdr:rowOff>133350</xdr:rowOff>
                  </from>
                  <to>
                    <xdr:col>12</xdr:col>
                    <xdr:colOff>285750</xdr:colOff>
                    <xdr:row>1</xdr:row>
                    <xdr:rowOff>114300</xdr:rowOff>
                  </to>
                </anchor>
              </controlPr>
            </control>
          </mc:Choice>
        </mc:AlternateContent>
        <mc:AlternateContent xmlns:mc="http://schemas.openxmlformats.org/markup-compatibility/2006">
          <mc:Choice Requires="x14">
            <control shapeId="63496" r:id="rId6" name="Option Button 8">
              <controlPr defaultSize="0" autoFill="0" autoLine="0" autoPict="0" macro="[0]!DoiDonViHienThi">
                <anchor moveWithCells="1">
                  <from>
                    <xdr:col>12</xdr:col>
                    <xdr:colOff>161925</xdr:colOff>
                    <xdr:row>0</xdr:row>
                    <xdr:rowOff>133350</xdr:rowOff>
                  </from>
                  <to>
                    <xdr:col>12</xdr:col>
                    <xdr:colOff>752475</xdr:colOff>
                    <xdr:row>1</xdr:row>
                    <xdr:rowOff>114300</xdr:rowOff>
                  </to>
                </anchor>
              </controlPr>
            </control>
          </mc:Choice>
        </mc:AlternateContent>
        <mc:AlternateContent xmlns:mc="http://schemas.openxmlformats.org/markup-compatibility/2006">
          <mc:Choice Requires="x14">
            <control shapeId="63497" r:id="rId7" name="Option Button 9">
              <controlPr defaultSize="0" autoFill="0" autoLine="0" autoPict="0" macro="[0]!DoiDonViHienThi">
                <anchor moveWithCells="1">
                  <from>
                    <xdr:col>12</xdr:col>
                    <xdr:colOff>638175</xdr:colOff>
                    <xdr:row>0</xdr:row>
                    <xdr:rowOff>133350</xdr:rowOff>
                  </from>
                  <to>
                    <xdr:col>12</xdr:col>
                    <xdr:colOff>990600</xdr:colOff>
                    <xdr:row>1</xdr:row>
                    <xdr:rowOff>114300</xdr:rowOff>
                  </to>
                </anchor>
              </controlPr>
            </control>
          </mc:Choice>
        </mc:AlternateContent>
        <mc:AlternateContent xmlns:mc="http://schemas.openxmlformats.org/markup-compatibility/2006">
          <mc:Choice Requires="x14">
            <control shapeId="63498" r:id="rId8" name="Group Box 10">
              <controlPr defaultSize="0" autoFill="0" autoPict="0">
                <anchor moveWithCells="1">
                  <from>
                    <xdr:col>11</xdr:col>
                    <xdr:colOff>285750</xdr:colOff>
                    <xdr:row>0</xdr:row>
                    <xdr:rowOff>85725</xdr:rowOff>
                  </from>
                  <to>
                    <xdr:col>12</xdr:col>
                    <xdr:colOff>1104900</xdr:colOff>
                    <xdr:row>1</xdr:row>
                    <xdr:rowOff>152400</xdr:rowOff>
                  </to>
                </anchor>
              </controlPr>
            </control>
          </mc:Choice>
        </mc:AlternateContent>
        <mc:AlternateContent xmlns:mc="http://schemas.openxmlformats.org/markup-compatibility/2006">
          <mc:Choice Requires="x14">
            <control shapeId="63499" r:id="rId9" name="Group Box 11">
              <controlPr defaultSize="0" autoFill="0" autoPict="0">
                <anchor moveWithCells="1">
                  <from>
                    <xdr:col>8</xdr:col>
                    <xdr:colOff>28575</xdr:colOff>
                    <xdr:row>0</xdr:row>
                    <xdr:rowOff>85725</xdr:rowOff>
                  </from>
                  <to>
                    <xdr:col>11</xdr:col>
                    <xdr:colOff>238125</xdr:colOff>
                    <xdr:row>1</xdr:row>
                    <xdr:rowOff>152400</xdr:rowOff>
                  </to>
                </anchor>
              </controlPr>
            </control>
          </mc:Choice>
        </mc:AlternateContent>
        <mc:AlternateContent xmlns:mc="http://schemas.openxmlformats.org/markup-compatibility/2006">
          <mc:Choice Requires="x14">
            <control shapeId="63500" r:id="rId10" name="Button 12">
              <controlPr defaultSize="0" autoFill="0" autoPict="0" macro="[0]!NhanNghin">
                <anchor moveWithCells="1">
                  <from>
                    <xdr:col>8</xdr:col>
                    <xdr:colOff>114300</xdr:colOff>
                    <xdr:row>0</xdr:row>
                    <xdr:rowOff>180975</xdr:rowOff>
                  </from>
                  <to>
                    <xdr:col>9</xdr:col>
                    <xdr:colOff>133350</xdr:colOff>
                    <xdr:row>1</xdr:row>
                    <xdr:rowOff>57150</xdr:rowOff>
                  </to>
                </anchor>
              </controlPr>
            </control>
          </mc:Choice>
        </mc:AlternateContent>
        <mc:AlternateContent xmlns:mc="http://schemas.openxmlformats.org/markup-compatibility/2006">
          <mc:Choice Requires="x14">
            <control shapeId="63501" r:id="rId11" name="Button 13">
              <controlPr defaultSize="0" autoFill="0" autoPict="0" macro="[0]!NhanTrieu">
                <anchor moveWithCells="1">
                  <from>
                    <xdr:col>9</xdr:col>
                    <xdr:colOff>180975</xdr:colOff>
                    <xdr:row>0</xdr:row>
                    <xdr:rowOff>180975</xdr:rowOff>
                  </from>
                  <to>
                    <xdr:col>10</xdr:col>
                    <xdr:colOff>190500</xdr:colOff>
                    <xdr:row>1</xdr:row>
                    <xdr:rowOff>57150</xdr:rowOff>
                  </to>
                </anchor>
              </controlPr>
            </control>
          </mc:Choice>
        </mc:AlternateContent>
        <mc:AlternateContent xmlns:mc="http://schemas.openxmlformats.org/markup-compatibility/2006">
          <mc:Choice Requires="x14">
            <control shapeId="63502" r:id="rId12" name="Button 14">
              <controlPr defaultSize="0" autoFill="0" autoPict="0" macro="[0]!NhanTy">
                <anchor moveWithCells="1">
                  <from>
                    <xdr:col>10</xdr:col>
                    <xdr:colOff>238125</xdr:colOff>
                    <xdr:row>0</xdr:row>
                    <xdr:rowOff>180975</xdr:rowOff>
                  </from>
                  <to>
                    <xdr:col>11</xdr:col>
                    <xdr:colOff>161925</xdr:colOff>
                    <xdr:row>1</xdr:row>
                    <xdr:rowOff>57150</xdr:rowOff>
                  </to>
                </anchor>
              </controlPr>
            </control>
          </mc:Choice>
        </mc:AlternateContent>
        <mc:AlternateContent xmlns:mc="http://schemas.openxmlformats.org/markup-compatibility/2006">
          <mc:Choice Requires="x14">
            <control shapeId="63503" r:id="rId13" name="Button 15">
              <controlPr defaultSize="0" print="0" autoFill="0" autoPict="0" macro="[0]!AddRow">
                <anchor moveWithCells="1">
                  <from>
                    <xdr:col>13</xdr:col>
                    <xdr:colOff>495300</xdr:colOff>
                    <xdr:row>0</xdr:row>
                    <xdr:rowOff>95250</xdr:rowOff>
                  </from>
                  <to>
                    <xdr:col>13</xdr:col>
                    <xdr:colOff>971550</xdr:colOff>
                    <xdr:row>1</xdr:row>
                    <xdr:rowOff>57150</xdr:rowOff>
                  </to>
                </anchor>
              </controlPr>
            </control>
          </mc:Choice>
        </mc:AlternateContent>
        <mc:AlternateContent xmlns:mc="http://schemas.openxmlformats.org/markup-compatibility/2006">
          <mc:Choice Requires="x14">
            <control shapeId="63504" r:id="rId14" name="Button 16">
              <controlPr defaultSize="0" print="0" autoFill="0" autoPict="0" macro="[0]!DeleteRow">
                <anchor moveWithCells="1">
                  <from>
                    <xdr:col>13</xdr:col>
                    <xdr:colOff>1009650</xdr:colOff>
                    <xdr:row>0</xdr:row>
                    <xdr:rowOff>95250</xdr:rowOff>
                  </from>
                  <to>
                    <xdr:col>14</xdr:col>
                    <xdr:colOff>314325</xdr:colOff>
                    <xdr:row>1</xdr:row>
                    <xdr:rowOff>57150</xdr:rowOff>
                  </to>
                </anchor>
              </controlPr>
            </control>
          </mc:Choice>
        </mc:AlternateContent>
        <mc:AlternateContent xmlns:mc="http://schemas.openxmlformats.org/markup-compatibility/2006">
          <mc:Choice Requires="x14">
            <control shapeId="63505" r:id="rId15" name="Button 17">
              <controlPr defaultSize="0" print="0" autoFill="0" autoPict="0" macro="[0]!AddColumn">
                <anchor moveWithCells="1">
                  <from>
                    <xdr:col>17</xdr:col>
                    <xdr:colOff>104775</xdr:colOff>
                    <xdr:row>0</xdr:row>
                    <xdr:rowOff>95250</xdr:rowOff>
                  </from>
                  <to>
                    <xdr:col>17</xdr:col>
                    <xdr:colOff>619125</xdr:colOff>
                    <xdr:row>1</xdr:row>
                    <xdr:rowOff>57150</xdr:rowOff>
                  </to>
                </anchor>
              </controlPr>
            </control>
          </mc:Choice>
        </mc:AlternateContent>
        <mc:AlternateContent xmlns:mc="http://schemas.openxmlformats.org/markup-compatibility/2006">
          <mc:Choice Requires="x14">
            <control shapeId="63506" r:id="rId16" name="Button 18">
              <controlPr defaultSize="0" print="0" autoFill="0" autoPict="0" macro="[0]!DeleteColumn">
                <anchor moveWithCells="1">
                  <from>
                    <xdr:col>17</xdr:col>
                    <xdr:colOff>657225</xdr:colOff>
                    <xdr:row>0</xdr:row>
                    <xdr:rowOff>95250</xdr:rowOff>
                  </from>
                  <to>
                    <xdr:col>18</xdr:col>
                    <xdr:colOff>514350</xdr:colOff>
                    <xdr:row>1</xdr:row>
                    <xdr:rowOff>57150</xdr:rowOff>
                  </to>
                </anchor>
              </controlPr>
            </control>
          </mc:Choice>
        </mc:AlternateContent>
        <mc:AlternateContent xmlns:mc="http://schemas.openxmlformats.org/markup-compatibility/2006">
          <mc:Choice Requires="x14">
            <control shapeId="63508" r:id="rId17" name="Button 20">
              <controlPr defaultSize="0" print="0" autoFill="0" autoPict="0" macro="[0]!RefreshTables">
                <anchor moveWithCells="1">
                  <from>
                    <xdr:col>8</xdr:col>
                    <xdr:colOff>66675</xdr:colOff>
                    <xdr:row>3</xdr:row>
                    <xdr:rowOff>152400</xdr:rowOff>
                  </from>
                  <to>
                    <xdr:col>9</xdr:col>
                    <xdr:colOff>161925</xdr:colOff>
                    <xdr:row>4</xdr:row>
                    <xdr:rowOff>180975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585CBF33-9045-45DF-A683-0C2A3E58F7E2}">
            <xm:f>Security!$A$1="NO VBA"</xm:f>
            <x14:dxf>
              <font>
                <color theme="0"/>
              </font>
              <border>
                <vertical/>
                <horizontal/>
              </border>
            </x14:dxf>
          </x14:cfRule>
          <xm:sqref>H20:L20 P20:XFD20 H21:H1048576 R21:XFD1048576 I21:I53 P21:Q53 L21:L53 I54:Q1048576 A1:XFD19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78788-9802-4FCB-9004-FB6602B86921}">
  <sheetPr codeName="Sheet22">
    <tabColor theme="9"/>
    <outlinePr summaryBelow="0" summaryRight="0"/>
  </sheetPr>
  <dimension ref="B1:K13"/>
  <sheetViews>
    <sheetView showGridLines="0" workbookViewId="0">
      <selection activeCell="H25" sqref="H25"/>
    </sheetView>
  </sheetViews>
  <sheetFormatPr defaultRowHeight="18" customHeight="1" outlineLevelRow="1" x14ac:dyDescent="0.3"/>
  <cols>
    <col min="1" max="1" width="9.625" style="7" customWidth="1"/>
    <col min="2" max="2" width="9" style="7"/>
    <col min="3" max="3" width="6" style="7" bestFit="1" customWidth="1"/>
    <col min="4" max="4" width="7.125" style="7" bestFit="1" customWidth="1"/>
    <col min="5" max="5" width="11.625" style="7" bestFit="1" customWidth="1"/>
    <col min="6" max="6" width="13.5" style="7" bestFit="1" customWidth="1"/>
    <col min="7" max="7" width="13.75" style="7" bestFit="1" customWidth="1"/>
    <col min="8" max="8" width="13.25" style="7" bestFit="1" customWidth="1"/>
    <col min="9" max="9" width="14.25" style="7" bestFit="1" customWidth="1"/>
    <col min="10" max="10" width="19.375" style="7" customWidth="1"/>
    <col min="11" max="16384" width="9" style="7"/>
  </cols>
  <sheetData>
    <row r="1" spans="2:11" ht="23.25" customHeight="1" x14ac:dyDescent="0.3">
      <c r="B1" s="242"/>
      <c r="C1" s="242"/>
      <c r="D1" s="242"/>
      <c r="E1" s="242"/>
      <c r="F1" s="242"/>
      <c r="G1" s="242"/>
      <c r="H1" s="242"/>
      <c r="I1" s="242"/>
      <c r="J1" s="242"/>
      <c r="K1" s="242"/>
    </row>
    <row r="2" spans="2:11" ht="18" customHeight="1" collapsed="1" x14ac:dyDescent="0.3">
      <c r="B2" s="242"/>
      <c r="C2" s="242"/>
      <c r="D2" s="242"/>
      <c r="E2" s="242"/>
      <c r="F2" s="242"/>
      <c r="G2" s="242"/>
      <c r="H2" s="242"/>
      <c r="I2" s="242"/>
      <c r="J2" s="242"/>
      <c r="K2" s="242"/>
    </row>
    <row r="3" spans="2:11" ht="18" hidden="1" customHeight="1" outlineLevel="1" x14ac:dyDescent="0.3">
      <c r="B3" s="242"/>
      <c r="C3" s="242"/>
      <c r="D3" s="242"/>
      <c r="E3" s="42" t="s">
        <v>668</v>
      </c>
      <c r="F3" s="42" t="s">
        <v>669</v>
      </c>
      <c r="G3" s="242"/>
      <c r="H3" s="242"/>
      <c r="I3" s="242"/>
      <c r="J3" s="242"/>
      <c r="K3" s="242"/>
    </row>
    <row r="4" spans="2:11" ht="18" hidden="1" customHeight="1" outlineLevel="1" x14ac:dyDescent="0.3">
      <c r="B4" s="242"/>
      <c r="C4" s="242"/>
      <c r="D4" s="242"/>
      <c r="E4" s="177" t="s">
        <v>670</v>
      </c>
      <c r="F4" s="245"/>
      <c r="G4" s="242"/>
      <c r="H4" s="242"/>
      <c r="I4" s="242"/>
      <c r="J4" s="242"/>
      <c r="K4" s="242"/>
    </row>
    <row r="5" spans="2:11" ht="18" hidden="1" customHeight="1" outlineLevel="1" x14ac:dyDescent="0.3">
      <c r="B5" s="242"/>
      <c r="C5" s="242"/>
      <c r="D5" s="242"/>
      <c r="E5" s="177" t="s">
        <v>671</v>
      </c>
      <c r="F5" s="245"/>
      <c r="G5" s="242"/>
      <c r="H5" s="242"/>
      <c r="I5" s="242"/>
      <c r="J5" s="242"/>
      <c r="K5" s="242"/>
    </row>
    <row r="6" spans="2:11" ht="18" hidden="1" customHeight="1" outlineLevel="1" x14ac:dyDescent="0.3">
      <c r="B6" s="242"/>
      <c r="C6" s="242"/>
      <c r="D6" s="242"/>
      <c r="E6" s="177" t="s">
        <v>653</v>
      </c>
      <c r="F6" s="245"/>
      <c r="G6" s="242"/>
      <c r="H6" s="242"/>
      <c r="I6" s="242"/>
      <c r="J6" s="242"/>
      <c r="K6" s="242"/>
    </row>
    <row r="7" spans="2:11" ht="18" hidden="1" customHeight="1" outlineLevel="1" x14ac:dyDescent="0.3">
      <c r="B7" s="242"/>
      <c r="C7" s="242"/>
      <c r="D7" s="242"/>
      <c r="E7" s="177" t="s">
        <v>672</v>
      </c>
      <c r="F7" s="245"/>
      <c r="G7" s="242"/>
      <c r="H7" s="242"/>
      <c r="I7" s="242"/>
      <c r="J7" s="242"/>
      <c r="K7" s="242"/>
    </row>
    <row r="8" spans="2:11" ht="18" hidden="1" customHeight="1" outlineLevel="1" x14ac:dyDescent="0.3">
      <c r="B8" s="242"/>
      <c r="C8" s="242"/>
      <c r="D8" s="242"/>
      <c r="E8" s="178" t="s">
        <v>673</v>
      </c>
      <c r="F8" s="245"/>
      <c r="G8" s="242"/>
      <c r="H8" s="242"/>
      <c r="I8" s="242"/>
      <c r="J8" s="242"/>
      <c r="K8" s="242"/>
    </row>
    <row r="9" spans="2:11" ht="18" hidden="1" customHeight="1" outlineLevel="1" x14ac:dyDescent="0.3">
      <c r="B9" s="242"/>
      <c r="C9" s="242"/>
      <c r="D9" s="242"/>
      <c r="E9" s="177" t="s">
        <v>674</v>
      </c>
      <c r="F9" s="245"/>
      <c r="G9" s="242"/>
      <c r="H9" s="242"/>
      <c r="I9" s="242"/>
      <c r="J9" s="242"/>
      <c r="K9" s="242"/>
    </row>
    <row r="10" spans="2:11" ht="18" hidden="1" customHeight="1" outlineLevel="1" x14ac:dyDescent="0.3">
      <c r="B10" s="242"/>
      <c r="C10" s="242"/>
      <c r="D10" s="242"/>
      <c r="E10" s="178" t="s">
        <v>281</v>
      </c>
      <c r="F10" s="261"/>
      <c r="G10" s="242"/>
      <c r="H10" s="242"/>
      <c r="I10" s="242"/>
      <c r="J10" s="242"/>
      <c r="K10" s="242"/>
    </row>
    <row r="11" spans="2:11" ht="18" hidden="1" customHeight="1" outlineLevel="1" x14ac:dyDescent="0.3">
      <c r="B11" s="242"/>
      <c r="C11" s="242"/>
      <c r="D11" s="242"/>
      <c r="E11" s="305"/>
      <c r="F11" s="242"/>
      <c r="G11" s="242"/>
      <c r="H11" s="242"/>
      <c r="I11" s="242"/>
      <c r="J11" s="242"/>
      <c r="K11" s="242"/>
    </row>
    <row r="12" spans="2:11" ht="18" customHeight="1" x14ac:dyDescent="0.3">
      <c r="B12" s="7" t="s">
        <v>3</v>
      </c>
      <c r="C12" s="7" t="s">
        <v>2</v>
      </c>
      <c r="D12" s="7" t="s">
        <v>1</v>
      </c>
      <c r="E12" s="7" t="s">
        <v>675</v>
      </c>
      <c r="F12" s="7" t="s">
        <v>676</v>
      </c>
      <c r="G12" s="7" t="s">
        <v>658</v>
      </c>
      <c r="H12" s="7" t="s">
        <v>677</v>
      </c>
      <c r="I12" s="7" t="s">
        <v>678</v>
      </c>
      <c r="J12" s="7" t="s">
        <v>1253</v>
      </c>
      <c r="K12" s="7" t="s">
        <v>883</v>
      </c>
    </row>
    <row r="13" spans="2:11" ht="18" customHeight="1" x14ac:dyDescent="0.3">
      <c r="B13" s="304">
        <f>IFERROR(
DATE(C13,D13,1),0)</f>
        <v>0</v>
      </c>
      <c r="C13" s="242"/>
      <c r="D13" s="242"/>
      <c r="E13" s="242"/>
      <c r="F13" s="18" cm="1">
        <f t="array" ref="F13"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f>
        <v>0</v>
      </c>
      <c r="G13" s="18" cm="1">
        <f t="array" ref="G13"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f>
        <v>0</v>
      </c>
      <c r="H13" s="18" cm="1">
        <f t="array" ref="H13">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f>
        <v>0</v>
      </c>
      <c r="I13" s="45"/>
      <c r="J13" s="18" cm="1">
        <f t="array" ref="J13"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f>
        <v>0</v>
      </c>
      <c r="K13" s="242"/>
    </row>
  </sheetData>
  <sheetProtection algorithmName="SHA-512" hashValue="viqvmoVtELV7j73rn/kZOg9Yx/LU2fVtNpDj0iCkN92vhs/ViTVjsQQoAO1HcSWEW3AQ0VM64FafRGRADB0aiQ==" saltValue="T3JjYCA1P1cKLbhDMspECw==" spinCount="100000" sheet="1" scenarios="1" formatCells="0" formatColumns="0" formatRows="0" insertColumns="0" insertRows="0" deleteColumns="0" deleteRows="0" sort="0" autoFilter="0" pivotTables="0"/>
  <protectedRanges>
    <protectedRange sqref="E3:F11" name="Range1_1"/>
  </protectedRanges>
  <phoneticPr fontId="14" type="noConversion"/>
  <conditionalFormatting sqref="E4:E11">
    <cfRule type="duplicateValues" dxfId="578" priority="3"/>
  </conditionalFormatting>
  <dataValidations count="1">
    <dataValidation type="list" allowBlank="1" showInputMessage="1" showErrorMessage="1" sqref="E13" xr:uid="{A6662167-112F-4E96-9C00-8021A7320B33}">
      <formula1>$E$4:$E$10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6" r:id="rId4" name="Option Button 6">
              <controlPr defaultSize="0" autoFill="0" autoLine="0" autoPict="0" macro="[0]!DoiDonViHienThi">
                <anchor moveWithCells="1">
                  <from>
                    <xdr:col>4</xdr:col>
                    <xdr:colOff>190500</xdr:colOff>
                    <xdr:row>0</xdr:row>
                    <xdr:rowOff>152400</xdr:rowOff>
                  </from>
                  <to>
                    <xdr:col>4</xdr:col>
                    <xdr:colOff>781050</xdr:colOff>
                    <xdr:row>1</xdr:row>
                    <xdr:rowOff>133350</xdr:rowOff>
                  </to>
                </anchor>
              </controlPr>
            </control>
          </mc:Choice>
        </mc:AlternateContent>
        <mc:AlternateContent xmlns:mc="http://schemas.openxmlformats.org/markup-compatibility/2006">
          <mc:Choice Requires="x14">
            <control shapeId="66567" r:id="rId5" name="Option Button 7">
              <controlPr defaultSize="0" autoFill="0" autoLine="0" autoPict="0" macro="[0]!DoiDonViHienThi">
                <anchor moveWithCells="1">
                  <from>
                    <xdr:col>4</xdr:col>
                    <xdr:colOff>657225</xdr:colOff>
                    <xdr:row>0</xdr:row>
                    <xdr:rowOff>152400</xdr:rowOff>
                  </from>
                  <to>
                    <xdr:col>5</xdr:col>
                    <xdr:colOff>361950</xdr:colOff>
                    <xdr:row>1</xdr:row>
                    <xdr:rowOff>133350</xdr:rowOff>
                  </to>
                </anchor>
              </controlPr>
            </control>
          </mc:Choice>
        </mc:AlternateContent>
        <mc:AlternateContent xmlns:mc="http://schemas.openxmlformats.org/markup-compatibility/2006">
          <mc:Choice Requires="x14">
            <control shapeId="66568" r:id="rId6" name="Option Button 8">
              <controlPr defaultSize="0" autoFill="0" autoLine="0" autoPict="0" macro="[0]!DoiDonViHienThi">
                <anchor moveWithCells="1">
                  <from>
                    <xdr:col>5</xdr:col>
                    <xdr:colOff>238125</xdr:colOff>
                    <xdr:row>0</xdr:row>
                    <xdr:rowOff>152400</xdr:rowOff>
                  </from>
                  <to>
                    <xdr:col>5</xdr:col>
                    <xdr:colOff>828675</xdr:colOff>
                    <xdr:row>1</xdr:row>
                    <xdr:rowOff>133350</xdr:rowOff>
                  </to>
                </anchor>
              </controlPr>
            </control>
          </mc:Choice>
        </mc:AlternateContent>
        <mc:AlternateContent xmlns:mc="http://schemas.openxmlformats.org/markup-compatibility/2006">
          <mc:Choice Requires="x14">
            <control shapeId="66569" r:id="rId7" name="Option Button 9">
              <controlPr defaultSize="0" autoFill="0" autoLine="0" autoPict="0" macro="[0]!DoiDonViHienThi">
                <anchor moveWithCells="1">
                  <from>
                    <xdr:col>5</xdr:col>
                    <xdr:colOff>714375</xdr:colOff>
                    <xdr:row>0</xdr:row>
                    <xdr:rowOff>152400</xdr:rowOff>
                  </from>
                  <to>
                    <xdr:col>6</xdr:col>
                    <xdr:colOff>38100</xdr:colOff>
                    <xdr:row>1</xdr:row>
                    <xdr:rowOff>133350</xdr:rowOff>
                  </to>
                </anchor>
              </controlPr>
            </control>
          </mc:Choice>
        </mc:AlternateContent>
        <mc:AlternateContent xmlns:mc="http://schemas.openxmlformats.org/markup-compatibility/2006">
          <mc:Choice Requires="x14">
            <control shapeId="66570" r:id="rId8" name="Group Box 10">
              <controlPr defaultSize="0" autoFill="0" autoPict="0">
                <anchor moveWithCells="1">
                  <from>
                    <xdr:col>4</xdr:col>
                    <xdr:colOff>76200</xdr:colOff>
                    <xdr:row>0</xdr:row>
                    <xdr:rowOff>104775</xdr:rowOff>
                  </from>
                  <to>
                    <xdr:col>6</xdr:col>
                    <xdr:colOff>152400</xdr:colOff>
                    <xdr:row>1</xdr:row>
                    <xdr:rowOff>171450</xdr:rowOff>
                  </to>
                </anchor>
              </controlPr>
            </control>
          </mc:Choice>
        </mc:AlternateContent>
        <mc:AlternateContent xmlns:mc="http://schemas.openxmlformats.org/markup-compatibility/2006">
          <mc:Choice Requires="x14">
            <control shapeId="66571" r:id="rId9" name="Group Box 11">
              <controlPr defaultSize="0" autoFill="0" autoPict="0">
                <anchor moveWithCells="1">
                  <from>
                    <xdr:col>1</xdr:col>
                    <xdr:colOff>57150</xdr:colOff>
                    <xdr:row>0</xdr:row>
                    <xdr:rowOff>104775</xdr:rowOff>
                  </from>
                  <to>
                    <xdr:col>4</xdr:col>
                    <xdr:colOff>28575</xdr:colOff>
                    <xdr:row>1</xdr:row>
                    <xdr:rowOff>171450</xdr:rowOff>
                  </to>
                </anchor>
              </controlPr>
            </control>
          </mc:Choice>
        </mc:AlternateContent>
        <mc:AlternateContent xmlns:mc="http://schemas.openxmlformats.org/markup-compatibility/2006">
          <mc:Choice Requires="x14">
            <control shapeId="66572" r:id="rId10" name="Button 12">
              <controlPr defaultSize="0" autoFill="0" autoPict="0" macro="[0]!NhanNghin">
                <anchor moveWithCells="1">
                  <from>
                    <xdr:col>1</xdr:col>
                    <xdr:colOff>142875</xdr:colOff>
                    <xdr:row>0</xdr:row>
                    <xdr:rowOff>200025</xdr:rowOff>
                  </from>
                  <to>
                    <xdr:col>1</xdr:col>
                    <xdr:colOff>609600</xdr:colOff>
                    <xdr:row>1</xdr:row>
                    <xdr:rowOff>76200</xdr:rowOff>
                  </to>
                </anchor>
              </controlPr>
            </control>
          </mc:Choice>
        </mc:AlternateContent>
        <mc:AlternateContent xmlns:mc="http://schemas.openxmlformats.org/markup-compatibility/2006">
          <mc:Choice Requires="x14">
            <control shapeId="66573" r:id="rId11" name="Button 13">
              <controlPr defaultSize="0" autoFill="0" autoPict="0" macro="[0]!NhanTrieu">
                <anchor moveWithCells="1">
                  <from>
                    <xdr:col>1</xdr:col>
                    <xdr:colOff>657225</xdr:colOff>
                    <xdr:row>0</xdr:row>
                    <xdr:rowOff>200025</xdr:rowOff>
                  </from>
                  <to>
                    <xdr:col>2</xdr:col>
                    <xdr:colOff>438150</xdr:colOff>
                    <xdr:row>1</xdr:row>
                    <xdr:rowOff>76200</xdr:rowOff>
                  </to>
                </anchor>
              </controlPr>
            </control>
          </mc:Choice>
        </mc:AlternateContent>
        <mc:AlternateContent xmlns:mc="http://schemas.openxmlformats.org/markup-compatibility/2006">
          <mc:Choice Requires="x14">
            <control shapeId="66574" r:id="rId12" name="Button 14">
              <controlPr defaultSize="0" autoFill="0" autoPict="0" macro="[0]!NhanTy">
                <anchor moveWithCells="1">
                  <from>
                    <xdr:col>3</xdr:col>
                    <xdr:colOff>28575</xdr:colOff>
                    <xdr:row>0</xdr:row>
                    <xdr:rowOff>200025</xdr:rowOff>
                  </from>
                  <to>
                    <xdr:col>3</xdr:col>
                    <xdr:colOff>495300</xdr:colOff>
                    <xdr:row>1</xdr:row>
                    <xdr:rowOff>76200</xdr:rowOff>
                  </to>
                </anchor>
              </controlPr>
            </control>
          </mc:Choice>
        </mc:AlternateContent>
        <mc:AlternateContent xmlns:mc="http://schemas.openxmlformats.org/markup-compatibility/2006">
          <mc:Choice Requires="x14">
            <control shapeId="66575" r:id="rId13" name="Button 15">
              <controlPr defaultSize="0" print="0" autoFill="0" autoPict="0" macro="[0]!AddRow">
                <anchor moveWithCells="1">
                  <from>
                    <xdr:col>6</xdr:col>
                    <xdr:colOff>438150</xdr:colOff>
                    <xdr:row>0</xdr:row>
                    <xdr:rowOff>142875</xdr:rowOff>
                  </from>
                  <to>
                    <xdr:col>6</xdr:col>
                    <xdr:colOff>914400</xdr:colOff>
                    <xdr:row>1</xdr:row>
                    <xdr:rowOff>104775</xdr:rowOff>
                  </to>
                </anchor>
              </controlPr>
            </control>
          </mc:Choice>
        </mc:AlternateContent>
        <mc:AlternateContent xmlns:mc="http://schemas.openxmlformats.org/markup-compatibility/2006">
          <mc:Choice Requires="x14">
            <control shapeId="66576" r:id="rId14" name="Button 16">
              <controlPr defaultSize="0" print="0" autoFill="0" autoPict="0" macro="[0]!DeleteRow">
                <anchor moveWithCells="1">
                  <from>
                    <xdr:col>6</xdr:col>
                    <xdr:colOff>952500</xdr:colOff>
                    <xdr:row>0</xdr:row>
                    <xdr:rowOff>142875</xdr:rowOff>
                  </from>
                  <to>
                    <xdr:col>7</xdr:col>
                    <xdr:colOff>381000</xdr:colOff>
                    <xdr:row>1</xdr:row>
                    <xdr:rowOff>104775</xdr:rowOff>
                  </to>
                </anchor>
              </controlPr>
            </control>
          </mc:Choice>
        </mc:AlternateContent>
        <mc:AlternateContent xmlns:mc="http://schemas.openxmlformats.org/markup-compatibility/2006">
          <mc:Choice Requires="x14">
            <control shapeId="66577" r:id="rId15" name="Button 17">
              <controlPr defaultSize="0" print="0" autoFill="0" autoPict="0" macro="[0]!AddColumn">
                <anchor moveWithCells="1">
                  <from>
                    <xdr:col>10</xdr:col>
                    <xdr:colOff>28575</xdr:colOff>
                    <xdr:row>0</xdr:row>
                    <xdr:rowOff>123825</xdr:rowOff>
                  </from>
                  <to>
                    <xdr:col>10</xdr:col>
                    <xdr:colOff>542925</xdr:colOff>
                    <xdr:row>1</xdr:row>
                    <xdr:rowOff>85725</xdr:rowOff>
                  </to>
                </anchor>
              </controlPr>
            </control>
          </mc:Choice>
        </mc:AlternateContent>
        <mc:AlternateContent xmlns:mc="http://schemas.openxmlformats.org/markup-compatibility/2006">
          <mc:Choice Requires="x14">
            <control shapeId="66578" r:id="rId16" name="Button 18">
              <controlPr defaultSize="0" print="0" autoFill="0" autoPict="0" macro="[0]!DeleteColumn">
                <anchor moveWithCells="1">
                  <from>
                    <xdr:col>10</xdr:col>
                    <xdr:colOff>581025</xdr:colOff>
                    <xdr:row>0</xdr:row>
                    <xdr:rowOff>123825</xdr:rowOff>
                  </from>
                  <to>
                    <xdr:col>11</xdr:col>
                    <xdr:colOff>438150</xdr:colOff>
                    <xdr:row>1</xdr:row>
                    <xdr:rowOff>85725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4F4C0798-7F43-442C-8E6D-AC0D8C7A8083}">
            <xm:f>Security!$A$1="NO VBA"</xm:f>
            <x14:dxf>
              <font>
                <color theme="0"/>
              </font>
              <border>
                <vertical/>
                <horizontal/>
              </border>
            </x14:dxf>
          </x14:cfRule>
          <xm:sqref>A1:XFD11 A13:XFD1048576 A12:I12 K12:XFD12</xm:sqref>
        </x14:conditionalFormatting>
        <x14:conditionalFormatting xmlns:xm="http://schemas.microsoft.com/office/excel/2006/main">
          <x14:cfRule type="expression" priority="1" id="{669F8049-C291-48D2-AF68-FBDEDDD9FEB7}">
            <xm:f>Security!$A$1="NO VBA"</xm:f>
            <x14:dxf>
              <font>
                <color theme="0"/>
              </font>
              <border>
                <vertical/>
                <horizontal/>
              </border>
            </x14:dxf>
          </x14:cfRule>
          <xm:sqref>J12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1DD97-70C9-4D08-BEA9-DA6CA781AA9E}">
  <sheetPr codeName="Sheet20">
    <tabColor theme="9"/>
  </sheetPr>
  <dimension ref="B1:AA53"/>
  <sheetViews>
    <sheetView showGridLines="0" topLeftCell="A15" workbookViewId="0">
      <selection activeCell="K26" sqref="K26"/>
    </sheetView>
  </sheetViews>
  <sheetFormatPr defaultRowHeight="18" customHeight="1" outlineLevelRow="1" outlineLevelCol="1" x14ac:dyDescent="0.3"/>
  <cols>
    <col min="1" max="1" width="1.25" style="7" customWidth="1"/>
    <col min="2" max="2" width="13" style="7" hidden="1" customWidth="1" outlineLevel="1"/>
    <col min="3" max="3" width="15.25" style="7" hidden="1" customWidth="1" outlineLevel="1"/>
    <col min="4" max="4" width="13.625" style="7" hidden="1" customWidth="1" outlineLevel="1"/>
    <col min="5" max="5" width="15.25" style="7" hidden="1" customWidth="1" outlineLevel="1"/>
    <col min="6" max="6" width="1.25" style="7" hidden="1" customWidth="1" outlineLevel="1"/>
    <col min="7" max="7" width="13" style="7" hidden="1" customWidth="1" outlineLevel="1"/>
    <col min="8" max="8" width="14.625" style="7" hidden="1" customWidth="1" outlineLevel="1"/>
    <col min="9" max="9" width="1.25" style="7" customWidth="1" collapsed="1"/>
    <col min="10" max="10" width="5.875" style="7" bestFit="1" customWidth="1"/>
    <col min="11" max="11" width="6" style="7" bestFit="1" customWidth="1"/>
    <col min="12" max="12" width="7.125" style="7" bestFit="1" customWidth="1"/>
    <col min="13" max="13" width="9.875" style="44" bestFit="1" customWidth="1"/>
    <col min="14" max="14" width="10" style="44" hidden="1" customWidth="1" outlineLevel="1"/>
    <col min="15" max="15" width="9" hidden="1" customWidth="1" outlineLevel="1"/>
    <col min="16" max="17" width="9.875" style="44" hidden="1" customWidth="1" outlineLevel="1"/>
    <col min="18" max="18" width="9.875" style="44" customWidth="1" collapsed="1"/>
    <col min="19" max="19" width="12.375" style="44" bestFit="1" customWidth="1"/>
    <col min="20" max="20" width="12" style="7" customWidth="1" outlineLevel="1"/>
    <col min="21" max="21" width="14.375" style="7" customWidth="1" outlineLevel="1"/>
    <col min="22" max="22" width="9.875" style="7" customWidth="1" outlineLevel="1"/>
    <col min="23" max="23" width="14.375" style="7" customWidth="1" outlineLevel="1"/>
    <col min="24" max="24" width="16" style="7" customWidth="1" outlineLevel="1"/>
    <col min="25" max="26" width="14.375" style="7" customWidth="1" outlineLevel="1"/>
    <col min="28" max="28" width="12.375" style="7" customWidth="1"/>
    <col min="29" max="29" width="9.375" style="7" bestFit="1" customWidth="1"/>
    <col min="30" max="16384" width="9" style="7"/>
  </cols>
  <sheetData>
    <row r="1" spans="10:27" ht="22.5" customHeight="1" x14ac:dyDescent="0.3">
      <c r="J1" s="242"/>
      <c r="K1" s="242"/>
      <c r="L1" s="242"/>
      <c r="M1" s="242"/>
      <c r="N1" s="242"/>
      <c r="O1" s="242"/>
      <c r="P1" s="242"/>
      <c r="Q1" s="242"/>
      <c r="R1" s="242"/>
      <c r="S1" s="242"/>
      <c r="T1" s="242"/>
      <c r="U1" s="242"/>
      <c r="V1" s="242"/>
      <c r="W1" s="242"/>
      <c r="X1" s="242"/>
      <c r="Y1" s="242"/>
      <c r="Z1" s="242"/>
      <c r="AA1" s="242"/>
    </row>
    <row r="2" spans="10:27" ht="18" customHeight="1" x14ac:dyDescent="0.3">
      <c r="J2" s="242"/>
      <c r="K2" s="242"/>
      <c r="L2" s="242"/>
      <c r="M2" s="242"/>
      <c r="N2" s="242"/>
      <c r="O2" s="242"/>
      <c r="P2" s="242"/>
      <c r="Q2" s="242"/>
      <c r="R2" s="242"/>
      <c r="S2" s="242"/>
      <c r="T2" s="242"/>
      <c r="U2" s="242"/>
      <c r="V2" s="242"/>
      <c r="W2" s="242"/>
      <c r="X2" s="242"/>
      <c r="Y2" s="242"/>
      <c r="Z2" s="242"/>
      <c r="AA2" s="242"/>
    </row>
    <row r="3" spans="10:27" ht="18" customHeight="1" outlineLevel="1" x14ac:dyDescent="0.3">
      <c r="J3" s="242"/>
      <c r="K3" s="242"/>
      <c r="L3" s="242"/>
      <c r="M3" s="242"/>
      <c r="N3" s="242"/>
      <c r="O3" s="242"/>
      <c r="P3" s="242"/>
      <c r="Q3" s="242"/>
      <c r="R3" s="242"/>
      <c r="S3" s="242"/>
      <c r="T3" s="242"/>
      <c r="U3" s="242"/>
      <c r="V3" s="242"/>
      <c r="W3" s="242"/>
      <c r="X3" s="242"/>
      <c r="Y3" s="242"/>
      <c r="Z3" s="242"/>
      <c r="AA3" s="242"/>
    </row>
    <row r="4" spans="10:27" ht="18" customHeight="1" outlineLevel="1" x14ac:dyDescent="0.3">
      <c r="J4" s="242"/>
      <c r="K4" s="242"/>
      <c r="L4" s="242"/>
      <c r="M4" s="242"/>
      <c r="N4" s="242"/>
      <c r="O4" s="242"/>
      <c r="P4" s="242"/>
      <c r="Q4" s="242"/>
      <c r="R4" s="242"/>
      <c r="S4" s="242"/>
      <c r="T4" s="242"/>
      <c r="U4" s="242"/>
      <c r="V4" s="242"/>
      <c r="W4" s="242"/>
      <c r="X4" s="242"/>
      <c r="Y4" s="242"/>
      <c r="Z4" s="242"/>
      <c r="AA4" s="242"/>
    </row>
    <row r="5" spans="10:27" ht="18" customHeight="1" outlineLevel="1" x14ac:dyDescent="0.3">
      <c r="J5" s="242"/>
      <c r="K5" s="242"/>
      <c r="L5" s="242"/>
      <c r="M5" s="242"/>
      <c r="N5" s="242"/>
      <c r="O5" s="242"/>
      <c r="P5" s="242"/>
      <c r="Q5" s="242"/>
      <c r="R5" s="242"/>
      <c r="S5" s="242"/>
      <c r="T5" s="242"/>
      <c r="U5" s="242"/>
      <c r="V5" s="242"/>
      <c r="W5" s="242"/>
      <c r="X5" s="242"/>
      <c r="Y5" s="242"/>
      <c r="Z5" s="242"/>
      <c r="AA5" s="242"/>
    </row>
    <row r="6" spans="10:27" ht="18" customHeight="1" outlineLevel="1" x14ac:dyDescent="0.3">
      <c r="J6" s="242"/>
      <c r="K6" s="242"/>
      <c r="L6" s="242"/>
      <c r="M6" s="242"/>
      <c r="N6" s="242"/>
      <c r="O6" s="242"/>
      <c r="P6" s="242"/>
      <c r="Q6" s="242"/>
      <c r="R6" s="242"/>
      <c r="S6" s="242"/>
      <c r="T6" s="242"/>
      <c r="U6" s="242"/>
      <c r="V6" s="242"/>
      <c r="W6" s="242"/>
      <c r="X6" s="242"/>
      <c r="Y6" s="242"/>
      <c r="Z6" s="242"/>
      <c r="AA6" s="242"/>
    </row>
    <row r="7" spans="10:27" ht="18" customHeight="1" outlineLevel="1" x14ac:dyDescent="0.3">
      <c r="J7" s="242"/>
      <c r="K7" s="242"/>
      <c r="L7" s="242"/>
      <c r="M7" s="242"/>
      <c r="N7" s="242"/>
      <c r="O7" s="242"/>
      <c r="P7" s="242"/>
      <c r="Q7" s="242"/>
      <c r="R7" s="242"/>
      <c r="S7" s="242"/>
      <c r="T7" s="242"/>
      <c r="U7" s="242"/>
      <c r="V7" s="242"/>
      <c r="W7" s="242"/>
      <c r="X7" s="242"/>
      <c r="Y7" s="242"/>
      <c r="Z7" s="242"/>
      <c r="AA7" s="242"/>
    </row>
    <row r="8" spans="10:27" ht="18" customHeight="1" outlineLevel="1" x14ac:dyDescent="0.3">
      <c r="J8" s="242"/>
      <c r="K8" s="242"/>
      <c r="L8" s="242"/>
      <c r="M8" s="242"/>
      <c r="N8" s="242"/>
      <c r="O8" s="242"/>
      <c r="P8" s="242"/>
      <c r="Q8" s="242"/>
      <c r="R8" s="242"/>
      <c r="S8" s="242"/>
      <c r="T8" s="242"/>
      <c r="U8" s="242"/>
      <c r="V8" s="242"/>
      <c r="W8" s="242"/>
      <c r="X8" s="242"/>
      <c r="Y8" s="242"/>
      <c r="Z8" s="242"/>
      <c r="AA8" s="242"/>
    </row>
    <row r="9" spans="10:27" ht="18" customHeight="1" outlineLevel="1" x14ac:dyDescent="0.3">
      <c r="J9" s="242"/>
      <c r="K9" s="242"/>
      <c r="L9" s="242"/>
      <c r="M9" s="242"/>
      <c r="N9" s="242"/>
      <c r="O9" s="242"/>
      <c r="P9" s="242"/>
      <c r="Q9" s="242"/>
      <c r="R9" s="242"/>
      <c r="S9" s="242"/>
      <c r="T9" s="242"/>
      <c r="U9" s="242"/>
      <c r="V9" s="242"/>
      <c r="W9" s="242"/>
      <c r="X9" s="242"/>
      <c r="Y9" s="242"/>
      <c r="Z9" s="242"/>
      <c r="AA9" s="242"/>
    </row>
    <row r="10" spans="10:27" ht="18" customHeight="1" outlineLevel="1" x14ac:dyDescent="0.3">
      <c r="J10" s="242"/>
      <c r="K10" s="242"/>
      <c r="L10" s="242"/>
      <c r="M10" s="242"/>
      <c r="N10" s="242"/>
      <c r="O10" s="242"/>
      <c r="P10" s="242"/>
      <c r="Q10" s="242"/>
      <c r="R10" s="242"/>
      <c r="S10" s="242"/>
      <c r="T10" s="242"/>
      <c r="U10" s="242"/>
      <c r="V10" s="242"/>
      <c r="W10" s="242"/>
      <c r="X10" s="242"/>
      <c r="Y10" s="242"/>
      <c r="Z10" s="242"/>
      <c r="AA10" s="242"/>
    </row>
    <row r="11" spans="10:27" ht="18" customHeight="1" outlineLevel="1" x14ac:dyDescent="0.3">
      <c r="J11" s="242"/>
      <c r="K11" s="242"/>
      <c r="L11" s="242"/>
      <c r="M11" s="242"/>
      <c r="N11" s="242"/>
      <c r="O11" s="242"/>
      <c r="P11" s="242"/>
      <c r="Q11" s="242"/>
      <c r="R11" s="242"/>
      <c r="S11" s="242"/>
      <c r="T11" s="242"/>
      <c r="U11" s="242"/>
      <c r="V11" s="242"/>
      <c r="W11" s="242"/>
      <c r="X11" s="242"/>
      <c r="Y11" s="242"/>
      <c r="Z11" s="242"/>
      <c r="AA11" s="242"/>
    </row>
    <row r="12" spans="10:27" ht="18" customHeight="1" outlineLevel="1" x14ac:dyDescent="0.3">
      <c r="J12" s="242"/>
      <c r="K12" s="242"/>
      <c r="L12" s="242"/>
      <c r="M12" s="242"/>
      <c r="N12" s="242"/>
      <c r="O12" s="242"/>
      <c r="P12" s="242"/>
      <c r="Q12" s="242"/>
      <c r="R12" s="242"/>
      <c r="S12" s="242"/>
      <c r="T12" s="242"/>
      <c r="U12" s="242"/>
      <c r="V12" s="242"/>
      <c r="W12" s="242"/>
      <c r="X12" s="242"/>
      <c r="Y12" s="242"/>
      <c r="Z12" s="242"/>
      <c r="AA12" s="242"/>
    </row>
    <row r="13" spans="10:27" ht="18" customHeight="1" outlineLevel="1" x14ac:dyDescent="0.3">
      <c r="J13" s="242"/>
      <c r="K13" s="242"/>
      <c r="L13" s="242"/>
      <c r="M13" s="242"/>
      <c r="N13" s="242"/>
      <c r="O13" s="242"/>
      <c r="P13" s="242"/>
      <c r="Q13" s="242"/>
      <c r="R13" s="242"/>
      <c r="S13" s="242"/>
      <c r="T13" s="242"/>
      <c r="U13" s="242"/>
      <c r="V13" s="242"/>
      <c r="W13" s="242"/>
      <c r="X13" s="242"/>
      <c r="Y13" s="242"/>
      <c r="Z13" s="242"/>
      <c r="AA13" s="242"/>
    </row>
    <row r="14" spans="10:27" ht="18" customHeight="1" outlineLevel="1" x14ac:dyDescent="0.3">
      <c r="J14" s="242"/>
      <c r="K14" s="242"/>
      <c r="L14" s="242"/>
      <c r="M14" s="242"/>
      <c r="N14" s="242"/>
      <c r="O14" s="242"/>
      <c r="P14" s="242"/>
      <c r="Q14" s="242"/>
      <c r="R14" s="242"/>
      <c r="S14" s="242"/>
      <c r="T14" s="242"/>
      <c r="U14" s="242"/>
      <c r="V14" s="242"/>
      <c r="W14" s="242"/>
      <c r="X14" s="242"/>
      <c r="Y14" s="242"/>
      <c r="Z14" s="242"/>
      <c r="AA14" s="242"/>
    </row>
    <row r="15" spans="10:27" ht="18" customHeight="1" outlineLevel="1" x14ac:dyDescent="0.3">
      <c r="J15" s="242"/>
      <c r="K15" s="242"/>
      <c r="L15" s="242"/>
      <c r="M15" s="242"/>
      <c r="N15" s="242"/>
      <c r="O15" s="242"/>
      <c r="P15" s="242"/>
      <c r="Q15" s="242"/>
      <c r="R15" s="242"/>
      <c r="S15" s="242"/>
      <c r="T15" s="242"/>
      <c r="U15" s="242"/>
      <c r="V15" s="242"/>
      <c r="W15" s="242"/>
      <c r="X15" s="242"/>
      <c r="Y15" s="242"/>
      <c r="Z15" s="242"/>
      <c r="AA15" s="242"/>
    </row>
    <row r="16" spans="10:27" ht="18" customHeight="1" outlineLevel="1" x14ac:dyDescent="0.3">
      <c r="J16" s="242"/>
      <c r="K16" s="242"/>
      <c r="L16" s="242"/>
      <c r="M16" s="242"/>
      <c r="N16" s="242"/>
      <c r="O16" s="242"/>
      <c r="P16" s="242"/>
      <c r="Q16" s="242"/>
      <c r="R16" s="242"/>
      <c r="S16" s="242"/>
      <c r="T16" s="242"/>
      <c r="U16" s="242"/>
      <c r="V16" s="242"/>
      <c r="W16" s="242"/>
      <c r="X16" s="242"/>
      <c r="Y16" s="242"/>
      <c r="Z16" s="242"/>
      <c r="AA16" s="242"/>
    </row>
    <row r="17" spans="2:27" ht="18" customHeight="1" outlineLevel="1" x14ac:dyDescent="0.3">
      <c r="G17" s="97" t="s">
        <v>1127</v>
      </c>
      <c r="H17" t="s">
        <v>1130</v>
      </c>
      <c r="J17" s="242"/>
      <c r="K17" s="242"/>
      <c r="L17" s="242"/>
      <c r="M17" s="242"/>
      <c r="N17" s="242"/>
      <c r="O17" s="242"/>
      <c r="P17" s="242"/>
      <c r="Q17" s="242"/>
      <c r="R17" s="242"/>
      <c r="S17" s="242"/>
      <c r="T17" s="242"/>
      <c r="U17" s="242"/>
      <c r="V17" s="242"/>
      <c r="W17" s="242"/>
      <c r="X17" s="242"/>
      <c r="Y17" s="242"/>
      <c r="Z17" s="242"/>
      <c r="AA17" s="242"/>
    </row>
    <row r="18" spans="2:27" ht="18" customHeight="1" outlineLevel="1" x14ac:dyDescent="0.3">
      <c r="G18" s="97" t="s">
        <v>1128</v>
      </c>
      <c r="H18" t="s">
        <v>1126</v>
      </c>
      <c r="J18" s="242"/>
      <c r="K18" s="242"/>
      <c r="L18" s="242"/>
      <c r="M18" s="242"/>
      <c r="N18" s="242"/>
      <c r="O18" s="242"/>
      <c r="P18" s="242"/>
      <c r="Q18" s="242"/>
      <c r="R18" s="242"/>
      <c r="S18" s="242"/>
      <c r="T18" s="242"/>
      <c r="U18" s="242"/>
      <c r="V18" s="242"/>
      <c r="W18" s="242"/>
      <c r="X18" s="242"/>
      <c r="Y18" s="242"/>
      <c r="Z18" s="242"/>
      <c r="AA18" s="242"/>
    </row>
    <row r="19" spans="2:27" ht="18" customHeight="1" outlineLevel="1" x14ac:dyDescent="0.3">
      <c r="G19" s="97" t="s">
        <v>933</v>
      </c>
      <c r="H19" t="s">
        <v>1126</v>
      </c>
      <c r="J19" s="242"/>
      <c r="K19" s="242"/>
      <c r="L19" s="242"/>
      <c r="M19" s="242"/>
      <c r="N19" s="242"/>
      <c r="O19" s="242"/>
      <c r="P19" s="242"/>
      <c r="Q19" s="242"/>
      <c r="R19" s="242"/>
      <c r="S19" s="242"/>
      <c r="T19" s="242"/>
      <c r="U19" s="242"/>
      <c r="V19" s="242"/>
      <c r="W19" s="242"/>
      <c r="X19" s="242"/>
      <c r="Y19" s="242"/>
      <c r="Z19" s="242"/>
      <c r="AA19" s="242"/>
    </row>
    <row r="20" spans="2:27" ht="18" customHeight="1" x14ac:dyDescent="0.3">
      <c r="J20" s="242"/>
      <c r="K20" s="242"/>
      <c r="L20" s="242"/>
      <c r="M20" s="242"/>
      <c r="N20" s="242"/>
      <c r="O20" s="242"/>
      <c r="P20" s="242"/>
      <c r="Q20" s="242"/>
      <c r="R20" s="242"/>
      <c r="S20" s="242"/>
      <c r="T20" s="242"/>
      <c r="U20" s="242"/>
      <c r="V20" s="242"/>
      <c r="W20" s="242"/>
      <c r="X20" s="242"/>
      <c r="Y20" s="242"/>
      <c r="Z20" s="242"/>
      <c r="AA20" s="242"/>
    </row>
    <row r="21" spans="2:27" ht="16.5" x14ac:dyDescent="0.3">
      <c r="B21" s="97" t="s">
        <v>23</v>
      </c>
      <c r="C21" t="s">
        <v>1124</v>
      </c>
      <c r="D21" t="s">
        <v>1125</v>
      </c>
      <c r="E21" t="s">
        <v>69</v>
      </c>
      <c r="G21" s="97" t="s">
        <v>23</v>
      </c>
      <c r="H21" t="s">
        <v>1129</v>
      </c>
      <c r="J21" s="7" t="s">
        <v>3</v>
      </c>
      <c r="K21" s="7" t="s">
        <v>2</v>
      </c>
      <c r="L21" s="7" t="s">
        <v>1</v>
      </c>
      <c r="M21" s="7" t="s">
        <v>659</v>
      </c>
      <c r="N21" s="7" t="s">
        <v>1013</v>
      </c>
      <c r="O21" s="7" t="s">
        <v>660</v>
      </c>
      <c r="P21" s="7" t="s">
        <v>889</v>
      </c>
      <c r="Q21" s="7" t="s">
        <v>661</v>
      </c>
      <c r="R21" s="7" t="s">
        <v>798</v>
      </c>
      <c r="S21" s="46" t="s">
        <v>662</v>
      </c>
      <c r="T21" s="46" t="s">
        <v>663</v>
      </c>
      <c r="U21" s="46" t="s">
        <v>152</v>
      </c>
      <c r="V21" s="46" t="s">
        <v>905</v>
      </c>
      <c r="W21" s="46" t="s">
        <v>559</v>
      </c>
      <c r="X21" s="46" t="s">
        <v>657</v>
      </c>
      <c r="Y21" s="46" t="s">
        <v>933</v>
      </c>
      <c r="Z21" s="7" t="s">
        <v>1253</v>
      </c>
      <c r="AA21" s="7" t="s">
        <v>883</v>
      </c>
    </row>
    <row r="22" spans="2:27" ht="16.5" x14ac:dyDescent="0.3">
      <c r="B22" s="98" t="s">
        <v>1113</v>
      </c>
      <c r="C22" s="511">
        <v>1966666666.6666663</v>
      </c>
      <c r="D22" s="511">
        <v>505583333.33333331</v>
      </c>
      <c r="E22" s="511">
        <v>2472250000</v>
      </c>
      <c r="G22" s="98" t="s">
        <v>1110</v>
      </c>
      <c r="H22" s="511">
        <v>833333333.33333325</v>
      </c>
      <c r="J22" s="49">
        <f t="shared" ref="J22:J34" si="0">IFERROR(
IF(ISBLANK(L22),
DATE(K22,12,1),
DATE(K22,L22,1)),0)</f>
        <v>45931</v>
      </c>
      <c r="K22" s="242">
        <v>2025</v>
      </c>
      <c r="L22" s="242">
        <v>10</v>
      </c>
      <c r="M22" s="242" t="s">
        <v>1102</v>
      </c>
      <c r="N22" s="248" t="str">
        <f xml:space="preserve">
IFERROR(
VLOOKUP(
Table_VayNo_LichTra[[#This Row],[Khoản vay]],
Table_VayNo[],
COUNTA(Table_VayNo[[#Headers],[Mã khoản vay]:[Tần suất trả nợ]]),
0),
0)</f>
        <v>Một lần</v>
      </c>
      <c r="O22" s="306">
        <f xml:space="preserve">
IFERROR(
VLOOKUP(
Table_VayNo_LichTra[[#This Row],[Khoản vay]],
Table_VayNo[],
COUNTA(Table_VayNo[[#Headers],[Mã khoản vay]:[Ngày vay]]),
0),
0)</f>
        <v>45869</v>
      </c>
      <c r="P22" s="306">
        <f xml:space="preserve">
IFERROR(
VLOOKUP(
Table_VayNo_LichTra[[#This Row],[Khoản vay]],
Table_VayNo[],
COUNTA(Table_VayNo[[#Headers],[Mã khoản vay]:[Bắt đầu trả gốc]]),
0),
0)</f>
        <v>0</v>
      </c>
      <c r="Q22" s="306">
        <f xml:space="preserve">
IFERROR(
VLOOKUP(
Table_VayNo_LichTra[[#This Row],[Khoản vay]],
Table_VayNo[],
COUNTA(Table_VayNo[[#Headers],[Mã khoản vay]:[Kết thúc trả gốc]]),
0),
0)</f>
        <v>45960</v>
      </c>
      <c r="R22" s="456">
        <f xml:space="preserve">
IFERROR(
VLOOKUP(
Table_VayNo_LichTra[[#This Row],[Khoản vay]], Table_VayNo[],COUNTA(Table_VayNo[[#Headers],[Mã khoản vay]:[Lãi suất (năm)]]),0),
0)</f>
        <v>0.06</v>
      </c>
      <c r="S2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U2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2" s="48">
        <f>Table_VayNo_LichTra[[#This Row],[Lãi vay]]+Table_VayNo_LichTra[[#This Row],[Trả gốc trong kỳ]]</f>
        <v>100500000</v>
      </c>
      <c r="X22" s="48">
        <f>Table_VayNo_LichTra[[#This Row],[Phân bổ lãi tháng]]</f>
        <v>500000</v>
      </c>
      <c r="Y22"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45961</v>
      </c>
      <c r="Z22" s="48">
        <f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f>
        <v>101500000</v>
      </c>
      <c r="AA22" s="242"/>
    </row>
    <row r="23" spans="2:27" ht="16.5" x14ac:dyDescent="0.3">
      <c r="B23" s="513" t="s">
        <v>1116</v>
      </c>
      <c r="C23" s="511">
        <v>1666666666.6666667</v>
      </c>
      <c r="D23" s="511">
        <v>500000000</v>
      </c>
      <c r="E23" s="511">
        <v>2166666666.666667</v>
      </c>
      <c r="G23" s="98" t="s">
        <v>1107</v>
      </c>
      <c r="H23" s="511">
        <v>4083333.333333334</v>
      </c>
      <c r="J23" s="49">
        <f t="shared" si="0"/>
        <v>45901</v>
      </c>
      <c r="K23" s="242">
        <v>2025</v>
      </c>
      <c r="L23" s="242">
        <v>9</v>
      </c>
      <c r="M23" s="242" t="s">
        <v>1102</v>
      </c>
      <c r="N23" s="248" t="str">
        <f xml:space="preserve">
IFERROR(
VLOOKUP(
Table_VayNo_LichTra[[#This Row],[Khoản vay]],
Table_VayNo[],
COUNTA(Table_VayNo[[#Headers],[Mã khoản vay]:[Tần suất trả nợ]]),
0),
0)</f>
        <v>Một lần</v>
      </c>
      <c r="O23" s="306">
        <f xml:space="preserve">
IFERROR(
VLOOKUP(
Table_VayNo_LichTra[[#This Row],[Khoản vay]],
Table_VayNo[],
COUNTA(Table_VayNo[[#Headers],[Mã khoản vay]:[Ngày vay]]),
0),
0)</f>
        <v>45869</v>
      </c>
      <c r="P23" s="306">
        <f xml:space="preserve">
IFERROR(
VLOOKUP(
Table_VayNo_LichTra[[#This Row],[Khoản vay]],
Table_VayNo[],
COUNTA(Table_VayNo[[#Headers],[Mã khoản vay]:[Bắt đầu trả gốc]]),
0),
0)</f>
        <v>0</v>
      </c>
      <c r="Q23" s="306">
        <f xml:space="preserve">
IFERROR(
VLOOKUP(
Table_VayNo_LichTra[[#This Row],[Khoản vay]],
Table_VayNo[],
COUNTA(Table_VayNo[[#Headers],[Mã khoản vay]:[Kết thúc trả gốc]]),
0),
0)</f>
        <v>45960</v>
      </c>
      <c r="R23" s="456">
        <f xml:space="preserve">
IFERROR(
VLOOKUP(
Table_VayNo_LichTra[[#This Row],[Khoản vay]], Table_VayNo[],COUNTA(Table_VayNo[[#Headers],[Mã khoản vay]:[Lãi suất (năm)]]),0),
0)</f>
        <v>0.06</v>
      </c>
      <c r="S2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3" s="48">
        <f>Table_VayNo_LichTra[[#This Row],[Lãi vay]]+Table_VayNo_LichTra[[#This Row],[Trả gốc trong kỳ]]</f>
        <v>500000</v>
      </c>
      <c r="X23" s="48">
        <f>Table_VayNo_LichTra[[#This Row],[Phân bổ lãi tháng]]</f>
        <v>500000</v>
      </c>
      <c r="Y23"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45931</v>
      </c>
      <c r="Z23" s="48">
        <f xml:space="preserve">
IF(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)),0)&lt; 0, 0,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f>
        <v>1000000</v>
      </c>
      <c r="AA23" s="242"/>
    </row>
    <row r="24" spans="2:27" ht="18" customHeight="1" x14ac:dyDescent="0.3">
      <c r="B24" s="512">
        <v>45713</v>
      </c>
      <c r="C24" s="511">
        <v>1666666666.6666667</v>
      </c>
      <c r="D24" s="511">
        <v>500000000</v>
      </c>
      <c r="E24" s="511">
        <v>2166666666.666667</v>
      </c>
      <c r="G24" s="98" t="s">
        <v>1105</v>
      </c>
      <c r="H24" s="511">
        <v>52000000</v>
      </c>
      <c r="J24" s="49">
        <f t="shared" si="0"/>
        <v>45870</v>
      </c>
      <c r="K24" s="242">
        <v>2025</v>
      </c>
      <c r="L24" s="242">
        <v>8</v>
      </c>
      <c r="M24" s="242" t="s">
        <v>1102</v>
      </c>
      <c r="N24" s="248" t="str">
        <f xml:space="preserve">
IFERROR(
VLOOKUP(
Table_VayNo_LichTra[[#This Row],[Khoản vay]],
Table_VayNo[],
COUNTA(Table_VayNo[[#Headers],[Mã khoản vay]:[Tần suất trả nợ]]),
0),
0)</f>
        <v>Một lần</v>
      </c>
      <c r="O24" s="306">
        <f xml:space="preserve">
IFERROR(
VLOOKUP(
Table_VayNo_LichTra[[#This Row],[Khoản vay]],
Table_VayNo[],
COUNTA(Table_VayNo[[#Headers],[Mã khoản vay]:[Ngày vay]]),
0),
0)</f>
        <v>45869</v>
      </c>
      <c r="P24" s="306">
        <f xml:space="preserve">
IFERROR(
VLOOKUP(
Table_VayNo_LichTra[[#This Row],[Khoản vay]],
Table_VayNo[],
COUNTA(Table_VayNo[[#Headers],[Mã khoản vay]:[Bắt đầu trả gốc]]),
0),
0)</f>
        <v>0</v>
      </c>
      <c r="Q24" s="306">
        <f xml:space="preserve">
IFERROR(
VLOOKUP(
Table_VayNo_LichTra[[#This Row],[Khoản vay]],
Table_VayNo[],
COUNTA(Table_VayNo[[#Headers],[Mã khoản vay]:[Kết thúc trả gốc]]),
0),
0)</f>
        <v>45960</v>
      </c>
      <c r="R24" s="456">
        <f xml:space="preserve">
IFERROR(
VLOOKUP(
Table_VayNo_LichTra[[#This Row],[Khoản vay]], Table_VayNo[],COUNTA(Table_VayNo[[#Headers],[Mã khoản vay]:[Lãi suất (năm)]]),0),
0)</f>
        <v>0.06</v>
      </c>
      <c r="S2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4" s="48">
        <f>Table_VayNo_LichTra[[#This Row],[Lãi vay]]+Table_VayNo_LichTra[[#This Row],[Trả gốc trong kỳ]]</f>
        <v>500000</v>
      </c>
      <c r="X24" s="48">
        <f>Table_VayNo_LichTra[[#This Row],[Phân bổ lãi tháng]]</f>
        <v>500000</v>
      </c>
      <c r="Y24"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45900</v>
      </c>
      <c r="Z24" s="48">
        <f xml:space="preserve">
IF(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)),0)&lt; 0, 0,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f>
        <v>500000</v>
      </c>
      <c r="AA24" s="242"/>
    </row>
    <row r="25" spans="2:27" ht="16.5" x14ac:dyDescent="0.3">
      <c r="B25" s="513" t="s">
        <v>1117</v>
      </c>
      <c r="C25" s="511">
        <v>33333333.333333332</v>
      </c>
      <c r="D25" s="511">
        <v>1166666.6666666667</v>
      </c>
      <c r="E25" s="511">
        <v>34500000</v>
      </c>
      <c r="G25" s="98" t="s">
        <v>1102</v>
      </c>
      <c r="H25" s="511">
        <v>1500000</v>
      </c>
      <c r="J25" s="49">
        <f t="shared" si="0"/>
        <v>46357</v>
      </c>
      <c r="K25" s="242">
        <v>2026</v>
      </c>
      <c r="L25" s="242"/>
      <c r="M25" s="242" t="s">
        <v>1105</v>
      </c>
      <c r="N25" s="248" t="str">
        <f xml:space="preserve">
IFERROR(
VLOOKUP(
Table_VayNo_LichTra[[#This Row],[Khoản vay]],
Table_VayNo[],
COUNTA(Table_VayNo[[#Headers],[Mã khoản vay]:[Tần suất trả nợ]]),
0),
0)</f>
        <v>Một lần</v>
      </c>
      <c r="O25" s="306">
        <f xml:space="preserve">
IFERROR(
VLOOKUP(
Table_VayNo_LichTra[[#This Row],[Khoản vay]],
Table_VayNo[],
COUNTA(Table_VayNo[[#Headers],[Mã khoản vay]:[Ngày vay]]),
0),
0)</f>
        <v>45792</v>
      </c>
      <c r="P25" s="306">
        <f xml:space="preserve">
IFERROR(
VLOOKUP(
Table_VayNo_LichTra[[#This Row],[Khoản vay]],
Table_VayNo[],
COUNTA(Table_VayNo[[#Headers],[Mã khoản vay]:[Bắt đầu trả gốc]]),
0),
0)</f>
        <v>0</v>
      </c>
      <c r="Q25" s="306">
        <f xml:space="preserve">
IFERROR(
VLOOKUP(
Table_VayNo_LichTra[[#This Row],[Khoản vay]],
Table_VayNo[],
COUNTA(Table_VayNo[[#Headers],[Mã khoản vay]:[Kết thúc trả gốc]]),
0),
0)</f>
        <v>46157</v>
      </c>
      <c r="R25" s="456">
        <f xml:space="preserve">
IFERROR(
VLOOKUP(
Table_VayNo_LichTra[[#This Row],[Khoản vay]], Table_VayNo[],COUNTA(Table_VayNo[[#Headers],[Mã khoản vay]:[Lãi suất (năm)]]),0),
0)</f>
        <v>0.08</v>
      </c>
      <c r="S25"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T25"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U25"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V25"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52000000</v>
      </c>
      <c r="W25" s="48">
        <f>Table_VayNo_LichTra[[#This Row],[Lãi vay]]+Table_VayNo_LichTra[[#This Row],[Trả gốc trong kỳ]]</f>
        <v>702000000</v>
      </c>
      <c r="X25" s="48">
        <f>Table_VayNo_LichTra[[#This Row],[Phân bổ lãi tháng]]</f>
        <v>52000000</v>
      </c>
      <c r="Y25"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46157</v>
      </c>
      <c r="Z25" s="48">
        <f xml:space="preserve">
IF(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)),0)&lt; 0, 0,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f>
        <v>702000000</v>
      </c>
      <c r="AA25" s="242"/>
    </row>
    <row r="26" spans="2:27" ht="16.5" x14ac:dyDescent="0.3">
      <c r="B26" s="512">
        <v>45748</v>
      </c>
      <c r="C26" s="511">
        <v>33333333.333333332</v>
      </c>
      <c r="D26" s="511">
        <v>1166666.6666666667</v>
      </c>
      <c r="E26" s="511">
        <v>34500000</v>
      </c>
      <c r="G26" s="98" t="s">
        <v>1112</v>
      </c>
      <c r="H26" s="511">
        <v>890916666.66666663</v>
      </c>
      <c r="J26" s="49">
        <f t="shared" si="0"/>
        <v>45901</v>
      </c>
      <c r="K26" s="242">
        <v>2025</v>
      </c>
      <c r="L26" s="242">
        <v>9</v>
      </c>
      <c r="M26" s="242" t="s">
        <v>1107</v>
      </c>
      <c r="N26" s="248" t="str">
        <f xml:space="preserve">
IFERROR(
VLOOKUP(
Table_VayNo_LichTra[[#This Row],[Khoản vay]],
Table_VayNo[],
COUNTA(Table_VayNo[[#Headers],[Mã khoản vay]:[Tần suất trả nợ]]),
0),
0)</f>
        <v>Theo tháng</v>
      </c>
      <c r="O26" s="306">
        <f xml:space="preserve">
IFERROR(
VLOOKUP(
Table_VayNo_LichTra[[#This Row],[Khoản vay]],
Table_VayNo[],
COUNTA(Table_VayNo[[#Headers],[Mã khoản vay]:[Ngày vay]]),
0),
0)</f>
        <v>45718</v>
      </c>
      <c r="P26" s="306">
        <f xml:space="preserve">
IFERROR(
VLOOKUP(
Table_VayNo_LichTra[[#This Row],[Khoản vay]],
Table_VayNo[],
COUNTA(Table_VayNo[[#Headers],[Mã khoản vay]:[Bắt đầu trả gốc]]),
0),
0)</f>
        <v>45749</v>
      </c>
      <c r="Q26" s="306">
        <f xml:space="preserve">
IFERROR(
VLOOKUP(
Table_VayNo_LichTra[[#This Row],[Khoản vay]],
Table_VayNo[],
COUNTA(Table_VayNo[[#Headers],[Mã khoản vay]:[Kết thúc trả gốc]]),
0),
0)</f>
        <v>45901</v>
      </c>
      <c r="R26" s="456">
        <f xml:space="preserve">
IFERROR(
VLOOKUP(
Table_VayNo_LichTra[[#This Row],[Khoản vay]], Table_VayNo[],COUNTA(Table_VayNo[[#Headers],[Mã khoản vay]:[Lãi suất (năm)]]),0),
0)</f>
        <v>7.0000000000000007E-2</v>
      </c>
      <c r="S26"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T26"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6"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V26"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194444.44444444453</v>
      </c>
      <c r="W26" s="48">
        <f>Table_VayNo_LichTra[[#This Row],[Lãi vay]]+Table_VayNo_LichTra[[#This Row],[Trả gốc trong kỳ]]</f>
        <v>33527777.777777776</v>
      </c>
      <c r="X26" s="48">
        <f>Table_VayNo_LichTra[[#This Row],[Phân bổ lãi tháng]]</f>
        <v>194444.44444444453</v>
      </c>
      <c r="Y26"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45901</v>
      </c>
      <c r="Z26" s="48">
        <f xml:space="preserve">
IF(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)),0)&lt; 0, 0,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f>
        <v>204083333.33333331</v>
      </c>
      <c r="AA26" s="242"/>
    </row>
    <row r="27" spans="2:27" ht="16.5" x14ac:dyDescent="0.3">
      <c r="B27" s="513" t="s">
        <v>1118</v>
      </c>
      <c r="C27" s="511">
        <v>33333333.333333332</v>
      </c>
      <c r="D27" s="511">
        <v>972222.22222222236</v>
      </c>
      <c r="E27" s="511">
        <v>34305555.555555552</v>
      </c>
      <c r="J27" s="49">
        <f t="shared" si="0"/>
        <v>45870</v>
      </c>
      <c r="K27" s="242">
        <v>2025</v>
      </c>
      <c r="L27" s="242">
        <v>8</v>
      </c>
      <c r="M27" s="242" t="s">
        <v>1107</v>
      </c>
      <c r="N27" s="248" t="str">
        <f xml:space="preserve">
IFERROR(
VLOOKUP(
Table_VayNo_LichTra[[#This Row],[Khoản vay]],
Table_VayNo[],
COUNTA(Table_VayNo[[#Headers],[Mã khoản vay]:[Tần suất trả nợ]]),
0),
0)</f>
        <v>Theo tháng</v>
      </c>
      <c r="O27" s="306">
        <f xml:space="preserve">
IFERROR(
VLOOKUP(
Table_VayNo_LichTra[[#This Row],[Khoản vay]],
Table_VayNo[],
COUNTA(Table_VayNo[[#Headers],[Mã khoản vay]:[Ngày vay]]),
0),
0)</f>
        <v>45718</v>
      </c>
      <c r="P27" s="306">
        <f xml:space="preserve">
IFERROR(
VLOOKUP(
Table_VayNo_LichTra[[#This Row],[Khoản vay]],
Table_VayNo[],
COUNTA(Table_VayNo[[#Headers],[Mã khoản vay]:[Bắt đầu trả gốc]]),
0),
0)</f>
        <v>45749</v>
      </c>
      <c r="Q27" s="306">
        <f xml:space="preserve">
IFERROR(
VLOOKUP(
Table_VayNo_LichTra[[#This Row],[Khoản vay]],
Table_VayNo[],
COUNTA(Table_VayNo[[#Headers],[Mã khoản vay]:[Kết thúc trả gốc]]),
0),
0)</f>
        <v>45901</v>
      </c>
      <c r="R27" s="456">
        <f xml:space="preserve">
IFERROR(
VLOOKUP(
Table_VayNo_LichTra[[#This Row],[Khoản vay]], Table_VayNo[],COUNTA(Table_VayNo[[#Headers],[Mã khoản vay]:[Lãi suất (năm)]]),0),
0)</f>
        <v>7.0000000000000007E-2</v>
      </c>
      <c r="S27"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T27"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7"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V27"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388888.88888888899</v>
      </c>
      <c r="W27" s="48">
        <f>Table_VayNo_LichTra[[#This Row],[Lãi vay]]+Table_VayNo_LichTra[[#This Row],[Trả gốc trong kỳ]]</f>
        <v>33722222.222222224</v>
      </c>
      <c r="X27" s="48">
        <f>Table_VayNo_LichTra[[#This Row],[Phân bổ lãi tháng]]</f>
        <v>388888.88888888899</v>
      </c>
      <c r="Y27"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45870</v>
      </c>
      <c r="Z27" s="48">
        <f xml:space="preserve">
IF(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)),0)&lt; 0, 0,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f>
        <v>170555555.55555555</v>
      </c>
      <c r="AA27" s="242"/>
    </row>
    <row r="28" spans="2:27" ht="16.5" x14ac:dyDescent="0.3">
      <c r="B28" s="512">
        <v>45778</v>
      </c>
      <c r="C28" s="511">
        <v>33333333.333333332</v>
      </c>
      <c r="D28" s="511">
        <v>972222.22222222236</v>
      </c>
      <c r="E28" s="511">
        <v>34305555.555555552</v>
      </c>
      <c r="J28" s="49">
        <f t="shared" si="0"/>
        <v>45839</v>
      </c>
      <c r="K28" s="242">
        <v>2025</v>
      </c>
      <c r="L28" s="242">
        <v>7</v>
      </c>
      <c r="M28" s="242" t="s">
        <v>1107</v>
      </c>
      <c r="N28" s="248" t="str">
        <f xml:space="preserve">
IFERROR(
VLOOKUP(
Table_VayNo_LichTra[[#This Row],[Khoản vay]],
Table_VayNo[],
COUNTA(Table_VayNo[[#Headers],[Mã khoản vay]:[Tần suất trả nợ]]),
0),
0)</f>
        <v>Theo tháng</v>
      </c>
      <c r="O28" s="306">
        <f xml:space="preserve">
IFERROR(
VLOOKUP(
Table_VayNo_LichTra[[#This Row],[Khoản vay]],
Table_VayNo[],
COUNTA(Table_VayNo[[#Headers],[Mã khoản vay]:[Ngày vay]]),
0),
0)</f>
        <v>45718</v>
      </c>
      <c r="P28" s="306">
        <f xml:space="preserve">
IFERROR(
VLOOKUP(
Table_VayNo_LichTra[[#This Row],[Khoản vay]],
Table_VayNo[],
COUNTA(Table_VayNo[[#Headers],[Mã khoản vay]:[Bắt đầu trả gốc]]),
0),
0)</f>
        <v>45749</v>
      </c>
      <c r="Q28" s="306">
        <f xml:space="preserve">
IFERROR(
VLOOKUP(
Table_VayNo_LichTra[[#This Row],[Khoản vay]],
Table_VayNo[],
COUNTA(Table_VayNo[[#Headers],[Mã khoản vay]:[Kết thúc trả gốc]]),
0),
0)</f>
        <v>45901</v>
      </c>
      <c r="R28" s="456">
        <f xml:space="preserve">
IFERROR(
VLOOKUP(
Table_VayNo_LichTra[[#This Row],[Khoản vay]], Table_VayNo[],COUNTA(Table_VayNo[[#Headers],[Mã khoản vay]:[Lãi suất (năm)]]),0),
0)</f>
        <v>7.0000000000000007E-2</v>
      </c>
      <c r="S28"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8"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8"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V28"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583333.33333333337</v>
      </c>
      <c r="W28" s="48">
        <f>Table_VayNo_LichTra[[#This Row],[Lãi vay]]+Table_VayNo_LichTra[[#This Row],[Trả gốc trong kỳ]]</f>
        <v>33916666.666666664</v>
      </c>
      <c r="X28" s="48">
        <f>Table_VayNo_LichTra[[#This Row],[Phân bổ lãi tháng]]</f>
        <v>583333.33333333337</v>
      </c>
      <c r="Y28"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45839</v>
      </c>
      <c r="Z28" s="48">
        <f xml:space="preserve">
IF(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)),0)&lt; 0, 0,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f>
        <v>136833333.33333331</v>
      </c>
      <c r="AA28" s="242"/>
    </row>
    <row r="29" spans="2:27" ht="16.5" x14ac:dyDescent="0.3">
      <c r="B29" s="513" t="s">
        <v>1119</v>
      </c>
      <c r="C29" s="511">
        <v>33333333.333333332</v>
      </c>
      <c r="D29" s="511">
        <v>777777.77777777798</v>
      </c>
      <c r="E29" s="511">
        <v>34111111.111111112</v>
      </c>
      <c r="J29" s="49">
        <f t="shared" si="0"/>
        <v>45809</v>
      </c>
      <c r="K29" s="242">
        <v>2025</v>
      </c>
      <c r="L29" s="242">
        <v>6</v>
      </c>
      <c r="M29" s="242" t="s">
        <v>1107</v>
      </c>
      <c r="N29" s="248" t="str">
        <f xml:space="preserve">
IFERROR(
VLOOKUP(
Table_VayNo_LichTra[[#This Row],[Khoản vay]],
Table_VayNo[],
COUNTA(Table_VayNo[[#Headers],[Mã khoản vay]:[Tần suất trả nợ]]),
0),
0)</f>
        <v>Theo tháng</v>
      </c>
      <c r="O29" s="306">
        <f xml:space="preserve">
IFERROR(
VLOOKUP(
Table_VayNo_LichTra[[#This Row],[Khoản vay]],
Table_VayNo[],
COUNTA(Table_VayNo[[#Headers],[Mã khoản vay]:[Ngày vay]]),
0),
0)</f>
        <v>45718</v>
      </c>
      <c r="P29" s="306">
        <f xml:space="preserve">
IFERROR(
VLOOKUP(
Table_VayNo_LichTra[[#This Row],[Khoản vay]],
Table_VayNo[],
COUNTA(Table_VayNo[[#Headers],[Mã khoản vay]:[Bắt đầu trả gốc]]),
0),
0)</f>
        <v>45749</v>
      </c>
      <c r="Q29" s="306">
        <f xml:space="preserve">
IFERROR(
VLOOKUP(
Table_VayNo_LichTra[[#This Row],[Khoản vay]],
Table_VayNo[],
COUNTA(Table_VayNo[[#Headers],[Mã khoản vay]:[Kết thúc trả gốc]]),
0),
0)</f>
        <v>45901</v>
      </c>
      <c r="R29" s="456">
        <f xml:space="preserve">
IFERROR(
VLOOKUP(
Table_VayNo_LichTra[[#This Row],[Khoản vay]], Table_VayNo[],COUNTA(Table_VayNo[[#Headers],[Mã khoản vay]:[Lãi suất (năm)]]),0),
0)</f>
        <v>7.0000000000000007E-2</v>
      </c>
      <c r="S29"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T29"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9"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V29"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777777.77777777798</v>
      </c>
      <c r="W29" s="48">
        <f>Table_VayNo_LichTra[[#This Row],[Lãi vay]]+Table_VayNo_LichTra[[#This Row],[Trả gốc trong kỳ]]</f>
        <v>34111111.111111112</v>
      </c>
      <c r="X29" s="48">
        <f>Table_VayNo_LichTra[[#This Row],[Phân bổ lãi tháng]]</f>
        <v>777777.77777777798</v>
      </c>
      <c r="Y29"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45809</v>
      </c>
      <c r="Z29" s="48">
        <f xml:space="preserve">
IF(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)),0)&lt; 0, 0,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f>
        <v>102916666.66666666</v>
      </c>
      <c r="AA29" s="242"/>
    </row>
    <row r="30" spans="2:27" ht="16.5" x14ac:dyDescent="0.3">
      <c r="B30" s="512">
        <v>45809</v>
      </c>
      <c r="C30" s="511">
        <v>33333333.333333332</v>
      </c>
      <c r="D30" s="511">
        <v>777777.77777777798</v>
      </c>
      <c r="E30" s="511">
        <v>34111111.111111112</v>
      </c>
      <c r="J30" s="49">
        <f t="shared" si="0"/>
        <v>45778</v>
      </c>
      <c r="K30" s="242">
        <v>2025</v>
      </c>
      <c r="L30" s="242">
        <v>5</v>
      </c>
      <c r="M30" s="242" t="s">
        <v>1107</v>
      </c>
      <c r="N30" s="248" t="str">
        <f xml:space="preserve">
IFERROR(
VLOOKUP(
Table_VayNo_LichTra[[#This Row],[Khoản vay]],
Table_VayNo[],
COUNTA(Table_VayNo[[#Headers],[Mã khoản vay]:[Tần suất trả nợ]]),
0),
0)</f>
        <v>Theo tháng</v>
      </c>
      <c r="O30" s="306">
        <f xml:space="preserve">
IFERROR(
VLOOKUP(
Table_VayNo_LichTra[[#This Row],[Khoản vay]],
Table_VayNo[],
COUNTA(Table_VayNo[[#Headers],[Mã khoản vay]:[Ngày vay]]),
0),
0)</f>
        <v>45718</v>
      </c>
      <c r="P30" s="306">
        <f xml:space="preserve">
IFERROR(
VLOOKUP(
Table_VayNo_LichTra[[#This Row],[Khoản vay]],
Table_VayNo[],
COUNTA(Table_VayNo[[#Headers],[Mã khoản vay]:[Bắt đầu trả gốc]]),
0),
0)</f>
        <v>45749</v>
      </c>
      <c r="Q30" s="306">
        <f xml:space="preserve">
IFERROR(
VLOOKUP(
Table_VayNo_LichTra[[#This Row],[Khoản vay]],
Table_VayNo[],
COUNTA(Table_VayNo[[#Headers],[Mã khoản vay]:[Kết thúc trả gốc]]),
0),
0)</f>
        <v>45901</v>
      </c>
      <c r="R30" s="456">
        <f xml:space="preserve">
IFERROR(
VLOOKUP(
Table_VayNo_LichTra[[#This Row],[Khoản vay]], Table_VayNo[],COUNTA(Table_VayNo[[#Headers],[Mã khoản vay]:[Lãi suất (năm)]]),0),
0)</f>
        <v>7.0000000000000007E-2</v>
      </c>
      <c r="S30"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T30"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0"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V30"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972222.22222222236</v>
      </c>
      <c r="W30" s="48">
        <f>Table_VayNo_LichTra[[#This Row],[Lãi vay]]+Table_VayNo_LichTra[[#This Row],[Trả gốc trong kỳ]]</f>
        <v>34305555.555555552</v>
      </c>
      <c r="X30" s="48">
        <f>Table_VayNo_LichTra[[#This Row],[Phân bổ lãi tháng]]</f>
        <v>972222.22222222236</v>
      </c>
      <c r="Y30"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45778</v>
      </c>
      <c r="Z30" s="48">
        <f xml:space="preserve">
IF(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)),0)&lt; 0, 0,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f>
        <v>68805555.555555552</v>
      </c>
      <c r="AA30" s="242"/>
    </row>
    <row r="31" spans="2:27" ht="16.5" x14ac:dyDescent="0.3">
      <c r="B31" s="513" t="s">
        <v>1120</v>
      </c>
      <c r="C31" s="511">
        <v>33333333.333333332</v>
      </c>
      <c r="D31" s="511">
        <v>583333.33333333337</v>
      </c>
      <c r="E31" s="511">
        <v>33916666.666666664</v>
      </c>
      <c r="G31"/>
      <c r="H31"/>
      <c r="J31" s="49">
        <f t="shared" si="0"/>
        <v>45748</v>
      </c>
      <c r="K31" s="242">
        <v>2025</v>
      </c>
      <c r="L31" s="242">
        <v>4</v>
      </c>
      <c r="M31" s="242" t="s">
        <v>1107</v>
      </c>
      <c r="N31" s="248" t="str">
        <f xml:space="preserve">
IFERROR(
VLOOKUP(
Table_VayNo_LichTra[[#This Row],[Khoản vay]],
Table_VayNo[],
COUNTA(Table_VayNo[[#Headers],[Mã khoản vay]:[Tần suất trả nợ]]),
0),
0)</f>
        <v>Theo tháng</v>
      </c>
      <c r="O31" s="306">
        <f xml:space="preserve">
IFERROR(
VLOOKUP(
Table_VayNo_LichTra[[#This Row],[Khoản vay]],
Table_VayNo[],
COUNTA(Table_VayNo[[#Headers],[Mã khoản vay]:[Ngày vay]]),
0),
0)</f>
        <v>45718</v>
      </c>
      <c r="P31" s="306">
        <f xml:space="preserve">
IFERROR(
VLOOKUP(
Table_VayNo_LichTra[[#This Row],[Khoản vay]],
Table_VayNo[],
COUNTA(Table_VayNo[[#Headers],[Mã khoản vay]:[Bắt đầu trả gốc]]),
0),
0)</f>
        <v>45749</v>
      </c>
      <c r="Q31" s="306">
        <f xml:space="preserve">
IFERROR(
VLOOKUP(
Table_VayNo_LichTra[[#This Row],[Khoản vay]],
Table_VayNo[],
COUNTA(Table_VayNo[[#Headers],[Mã khoản vay]:[Kết thúc trả gốc]]),
0),
0)</f>
        <v>45901</v>
      </c>
      <c r="R31" s="456">
        <f xml:space="preserve">
IFERROR(
VLOOKUP(
Table_VayNo_LichTra[[#This Row],[Khoản vay]], Table_VayNo[],COUNTA(Table_VayNo[[#Headers],[Mã khoản vay]:[Lãi suất (năm)]]),0),
0)</f>
        <v>7.0000000000000007E-2</v>
      </c>
      <c r="S31"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T31"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1"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V31"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1166666.6666666667</v>
      </c>
      <c r="W31" s="48">
        <f>Table_VayNo_LichTra[[#This Row],[Lãi vay]]+Table_VayNo_LichTra[[#This Row],[Trả gốc trong kỳ]]</f>
        <v>34500000</v>
      </c>
      <c r="X31" s="48">
        <f>Table_VayNo_LichTra[[#This Row],[Phân bổ lãi tháng]]</f>
        <v>1166666.6666666667</v>
      </c>
      <c r="Y31"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45748</v>
      </c>
      <c r="Z31" s="48">
        <f xml:space="preserve">
IF(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)),0)&lt; 0, 0,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f>
        <v>34500000</v>
      </c>
      <c r="AA31" s="242"/>
    </row>
    <row r="32" spans="2:27" ht="16.5" x14ac:dyDescent="0.3">
      <c r="B32" s="512">
        <v>45839</v>
      </c>
      <c r="C32" s="511">
        <v>33333333.333333332</v>
      </c>
      <c r="D32" s="511">
        <v>583333.33333333337</v>
      </c>
      <c r="E32" s="511">
        <v>33916666.666666664</v>
      </c>
      <c r="G32"/>
      <c r="H32"/>
      <c r="J32" s="49">
        <f t="shared" si="0"/>
        <v>46722</v>
      </c>
      <c r="K32" s="242">
        <v>2027</v>
      </c>
      <c r="L32" s="242"/>
      <c r="M32" s="242" t="s">
        <v>1110</v>
      </c>
      <c r="N32" s="248" t="str">
        <f xml:space="preserve">
IFERROR(
VLOOKUP(
Table_VayNo_LichTra[[#This Row],[Khoản vay]],
Table_VayNo[],
COUNTA(Table_VayNo[[#Headers],[Mã khoản vay]:[Tần suất trả nợ]]),
0),
0)</f>
        <v>Theo năm</v>
      </c>
      <c r="O32" s="306">
        <f xml:space="preserve">
IFERROR(
VLOOKUP(
Table_VayNo_LichTra[[#This Row],[Khoản vay]],
Table_VayNo[],
COUNTA(Table_VayNo[[#Headers],[Mã khoản vay]:[Ngày vay]]),
0),
0)</f>
        <v>45346</v>
      </c>
      <c r="P32" s="306">
        <f xml:space="preserve">
IFERROR(
VLOOKUP(
Table_VayNo_LichTra[[#This Row],[Khoản vay]],
Table_VayNo[],
COUNTA(Table_VayNo[[#Headers],[Mã khoản vay]:[Bắt đầu trả gốc]]),
0),
0)</f>
        <v>45712</v>
      </c>
      <c r="Q32" s="306">
        <f xml:space="preserve">
IFERROR(
VLOOKUP(
Table_VayNo_LichTra[[#This Row],[Khoản vay]],
Table_VayNo[],
COUNTA(Table_VayNo[[#Headers],[Mã khoản vay]:[Kết thúc trả gốc]]),
0),
0)</f>
        <v>46443</v>
      </c>
      <c r="R32" s="456">
        <f xml:space="preserve">
IFERROR(
VLOOKUP(
Table_VayNo_LichTra[[#This Row],[Khoản vay]], Table_VayNo[],COUNTA(Table_VayNo[[#Headers],[Mã khoản vay]:[Lãi suất (năm)]]),0),
0)</f>
        <v>0.1</v>
      </c>
      <c r="S3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T3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U3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V3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2314814.8148148148</v>
      </c>
      <c r="W32" s="48">
        <f>Table_VayNo_LichTra[[#This Row],[Lãi vay]]+Table_VayNo_LichTra[[#This Row],[Trả gốc trong kỳ]]</f>
        <v>1694444444.4444442</v>
      </c>
      <c r="X32" s="48">
        <f>Table_VayNo_LichTra[[#This Row],[Phân bổ lãi tháng]]</f>
        <v>2314814.8148148148</v>
      </c>
      <c r="Y32"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46443</v>
      </c>
      <c r="Z32" s="48">
        <f xml:space="preserve">
IF(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)),0)&lt; 0, 0,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f>
        <v>5861111111.1111107</v>
      </c>
      <c r="AA32" s="242"/>
    </row>
    <row r="33" spans="2:27" ht="16.5" x14ac:dyDescent="0.3">
      <c r="B33" s="513" t="s">
        <v>1121</v>
      </c>
      <c r="C33" s="511">
        <v>33333333.333333332</v>
      </c>
      <c r="D33" s="511">
        <v>888888.88888888899</v>
      </c>
      <c r="E33" s="511">
        <v>34222222.222222224</v>
      </c>
      <c r="G33"/>
      <c r="H33"/>
      <c r="J33" s="49">
        <f t="shared" si="0"/>
        <v>46357</v>
      </c>
      <c r="K33" s="242">
        <v>2026</v>
      </c>
      <c r="L33" s="242"/>
      <c r="M33" s="242" t="s">
        <v>1110</v>
      </c>
      <c r="N33" s="248" t="str">
        <f xml:space="preserve">
IFERROR(
VLOOKUP(
Table_VayNo_LichTra[[#This Row],[Khoản vay]],
Table_VayNo[],
COUNTA(Table_VayNo[[#Headers],[Mã khoản vay]:[Tần suất trả nợ]]),
0),
0)</f>
        <v>Theo năm</v>
      </c>
      <c r="O33" s="306">
        <f xml:space="preserve">
IFERROR(
VLOOKUP(
Table_VayNo_LichTra[[#This Row],[Khoản vay]],
Table_VayNo[],
COUNTA(Table_VayNo[[#Headers],[Mã khoản vay]:[Ngày vay]]),
0),
0)</f>
        <v>45346</v>
      </c>
      <c r="P33" s="306">
        <f xml:space="preserve">
IFERROR(
VLOOKUP(
Table_VayNo_LichTra[[#This Row],[Khoản vay]],
Table_VayNo[],
COUNTA(Table_VayNo[[#Headers],[Mã khoản vay]:[Bắt đầu trả gốc]]),
0),
0)</f>
        <v>45712</v>
      </c>
      <c r="Q33" s="306">
        <f xml:space="preserve">
IFERROR(
VLOOKUP(
Table_VayNo_LichTra[[#This Row],[Khoản vay]],
Table_VayNo[],
COUNTA(Table_VayNo[[#Headers],[Mã khoản vay]:[Kết thúc trả gốc]]),
0),
0)</f>
        <v>46443</v>
      </c>
      <c r="R33" s="456">
        <f xml:space="preserve">
IFERROR(
VLOOKUP(
Table_VayNo_LichTra[[#This Row],[Khoản vay]], Table_VayNo[],COUNTA(Table_VayNo[[#Headers],[Mã khoản vay]:[Lãi suất (năm)]]),0),
0)</f>
        <v>0.1</v>
      </c>
      <c r="S3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T3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V3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27777777.777777776</v>
      </c>
      <c r="W33" s="48">
        <f>Table_VayNo_LichTra[[#This Row],[Lãi vay]]+Table_VayNo_LichTra[[#This Row],[Trả gốc trong kỳ]]</f>
        <v>2000000000</v>
      </c>
      <c r="X33" s="48">
        <f>Table_VayNo_LichTra[[#This Row],[Phân bổ lãi tháng]]</f>
        <v>27777777.777777776</v>
      </c>
      <c r="Y33"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46078</v>
      </c>
      <c r="Z33" s="48">
        <f xml:space="preserve">
IF(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)),0)&lt; 0, 0,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f>
        <v>4166666666.666667</v>
      </c>
      <c r="AA33" s="242"/>
    </row>
    <row r="34" spans="2:27" ht="16.5" x14ac:dyDescent="0.3">
      <c r="B34" s="512">
        <v>45870</v>
      </c>
      <c r="C34" s="511">
        <v>33333333.333333332</v>
      </c>
      <c r="D34" s="511">
        <v>388888.88888888899</v>
      </c>
      <c r="E34" s="511">
        <v>33722222.222222224</v>
      </c>
      <c r="G34"/>
      <c r="H34"/>
      <c r="J34" s="49">
        <f t="shared" si="0"/>
        <v>45992</v>
      </c>
      <c r="K34" s="242">
        <v>2025</v>
      </c>
      <c r="L34" s="242"/>
      <c r="M34" s="242" t="s">
        <v>1110</v>
      </c>
      <c r="N34" s="248" t="str">
        <f xml:space="preserve">
IFERROR(
VLOOKUP(
Table_VayNo_LichTra[[#This Row],[Khoản vay]],
Table_VayNo[],
COUNTA(Table_VayNo[[#Headers],[Mã khoản vay]:[Tần suất trả nợ]]),
0),
0)</f>
        <v>Theo năm</v>
      </c>
      <c r="O34" s="306">
        <f xml:space="preserve">
IFERROR(
VLOOKUP(
Table_VayNo_LichTra[[#This Row],[Khoản vay]],
Table_VayNo[],
COUNTA(Table_VayNo[[#Headers],[Mã khoản vay]:[Ngày vay]]),
0),
0)</f>
        <v>45346</v>
      </c>
      <c r="P34" s="306">
        <f xml:space="preserve">
IFERROR(
VLOOKUP(
Table_VayNo_LichTra[[#This Row],[Khoản vay]],
Table_VayNo[],
COUNTA(Table_VayNo[[#Headers],[Mã khoản vay]:[Bắt đầu trả gốc]]),
0),
0)</f>
        <v>45712</v>
      </c>
      <c r="Q34" s="306">
        <f xml:space="preserve">
IFERROR(
VLOOKUP(
Table_VayNo_LichTra[[#This Row],[Khoản vay]],
Table_VayNo[],
COUNTA(Table_VayNo[[#Headers],[Mã khoản vay]:[Kết thúc trả gốc]]),
0),
0)</f>
        <v>46443</v>
      </c>
      <c r="R34" s="456">
        <f xml:space="preserve">
IFERROR(
VLOOKUP(
Table_VayNo_LichTra[[#This Row],[Khoản vay]], Table_VayNo[],COUNTA(Table_VayNo[[#Headers],[Mã khoản vay]:[Lãi suất (năm)]]),0),
0)</f>
        <v>0.1</v>
      </c>
      <c r="S3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T3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V3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41666666.666666664</v>
      </c>
      <c r="W34" s="48">
        <f>Table_VayNo_LichTra[[#This Row],[Lãi vay]]+Table_VayNo_LichTra[[#This Row],[Trả gốc trong kỳ]]</f>
        <v>2166666666.666667</v>
      </c>
      <c r="X34" s="48">
        <f>Table_VayNo_LichTra[[#This Row],[Phân bổ lãi tháng]]</f>
        <v>41666666.666666664</v>
      </c>
      <c r="Y34"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45713</v>
      </c>
      <c r="Z34" s="48">
        <f xml:space="preserve">
IF(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)),0)&lt; 0, 0,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f>
        <v>2166666666.666667</v>
      </c>
      <c r="AA34" s="242"/>
    </row>
    <row r="35" spans="2:27" ht="16.5" x14ac:dyDescent="0.3">
      <c r="B35" s="512">
        <v>45900</v>
      </c>
      <c r="C35" s="511">
        <v>0</v>
      </c>
      <c r="D35" s="511">
        <v>500000</v>
      </c>
      <c r="E35" s="511">
        <v>500000</v>
      </c>
      <c r="G35"/>
      <c r="H35"/>
    </row>
    <row r="36" spans="2:27" ht="16.5" x14ac:dyDescent="0.3">
      <c r="B36" s="513" t="s">
        <v>1122</v>
      </c>
      <c r="C36" s="511">
        <v>33333333.333333332</v>
      </c>
      <c r="D36" s="511">
        <v>194444.44444444453</v>
      </c>
      <c r="E36" s="511">
        <v>33527777.777777776</v>
      </c>
      <c r="G36"/>
      <c r="H36"/>
    </row>
    <row r="37" spans="2:27" ht="16.5" x14ac:dyDescent="0.3">
      <c r="B37" s="512">
        <v>45901</v>
      </c>
      <c r="C37" s="511">
        <v>33333333.333333332</v>
      </c>
      <c r="D37" s="511">
        <v>194444.44444444453</v>
      </c>
      <c r="E37" s="511">
        <v>33527777.777777776</v>
      </c>
      <c r="G37"/>
      <c r="H37"/>
    </row>
    <row r="38" spans="2:27" ht="16.5" x14ac:dyDescent="0.3">
      <c r="B38" s="513" t="s">
        <v>1123</v>
      </c>
      <c r="C38" s="511">
        <v>100000000</v>
      </c>
      <c r="D38" s="511">
        <v>1000000</v>
      </c>
      <c r="E38" s="511">
        <v>101000000</v>
      </c>
      <c r="G38"/>
      <c r="H38"/>
    </row>
    <row r="39" spans="2:27" ht="16.5" x14ac:dyDescent="0.3">
      <c r="B39" s="512">
        <v>45931</v>
      </c>
      <c r="C39" s="511">
        <v>0</v>
      </c>
      <c r="D39" s="511">
        <v>500000</v>
      </c>
      <c r="E39" s="511">
        <v>500000</v>
      </c>
      <c r="G39"/>
      <c r="H39"/>
      <c r="T39" s="22"/>
    </row>
    <row r="40" spans="2:27" ht="16.5" x14ac:dyDescent="0.3">
      <c r="B40" s="512">
        <v>45961</v>
      </c>
      <c r="C40" s="511">
        <v>100000000</v>
      </c>
      <c r="D40" s="511">
        <v>500000</v>
      </c>
      <c r="E40" s="511">
        <v>100500000</v>
      </c>
      <c r="G40"/>
      <c r="H40"/>
    </row>
    <row r="41" spans="2:27" ht="16.5" x14ac:dyDescent="0.3">
      <c r="B41" s="98" t="s">
        <v>1114</v>
      </c>
      <c r="C41" s="511">
        <v>2316666666.666667</v>
      </c>
      <c r="D41" s="511">
        <v>385333333.33333331</v>
      </c>
      <c r="E41" s="511">
        <v>2702000000</v>
      </c>
      <c r="G41"/>
      <c r="H41"/>
    </row>
    <row r="42" spans="2:27" ht="16.5" x14ac:dyDescent="0.3">
      <c r="B42" s="513" t="s">
        <v>1116</v>
      </c>
      <c r="C42" s="511">
        <v>1666666666.6666667</v>
      </c>
      <c r="D42" s="511">
        <v>333333333.33333331</v>
      </c>
      <c r="E42" s="511">
        <v>2000000000</v>
      </c>
      <c r="G42"/>
      <c r="H42"/>
      <c r="W42" s="211"/>
    </row>
    <row r="43" spans="2:27" ht="16.5" x14ac:dyDescent="0.3">
      <c r="B43" s="512">
        <v>46078</v>
      </c>
      <c r="C43" s="511">
        <v>1666666666.6666667</v>
      </c>
      <c r="D43" s="511">
        <v>333333333.33333331</v>
      </c>
      <c r="E43" s="511">
        <v>2000000000</v>
      </c>
      <c r="T43" s="211"/>
    </row>
    <row r="44" spans="2:27" ht="16.5" x14ac:dyDescent="0.3">
      <c r="B44" s="513" t="s">
        <v>1118</v>
      </c>
      <c r="C44" s="511">
        <v>650000000</v>
      </c>
      <c r="D44" s="511">
        <v>52000000</v>
      </c>
      <c r="E44" s="511">
        <v>702000000</v>
      </c>
    </row>
    <row r="45" spans="2:27" ht="16.5" x14ac:dyDescent="0.3">
      <c r="B45" s="512">
        <v>46157</v>
      </c>
      <c r="C45" s="511">
        <v>650000000</v>
      </c>
      <c r="D45" s="511">
        <v>52000000</v>
      </c>
      <c r="E45" s="511">
        <v>702000000</v>
      </c>
    </row>
    <row r="46" spans="2:27" ht="16.5" x14ac:dyDescent="0.3">
      <c r="B46" s="98" t="s">
        <v>1115</v>
      </c>
      <c r="C46" s="511">
        <v>1666666666.6666665</v>
      </c>
      <c r="D46" s="511">
        <v>27777777.777777776</v>
      </c>
      <c r="E46" s="511">
        <v>1694444444.4444442</v>
      </c>
      <c r="U46" s="211"/>
      <c r="X46" s="211"/>
    </row>
    <row r="47" spans="2:27" ht="16.5" x14ac:dyDescent="0.3">
      <c r="B47" s="513" t="s">
        <v>1116</v>
      </c>
      <c r="C47" s="511">
        <v>1666666666.6666665</v>
      </c>
      <c r="D47" s="511">
        <v>27777777.777777776</v>
      </c>
      <c r="E47" s="511">
        <v>1694444444.4444442</v>
      </c>
    </row>
    <row r="48" spans="2:27" ht="16.5" x14ac:dyDescent="0.3">
      <c r="B48" s="512">
        <v>46443</v>
      </c>
      <c r="C48" s="511">
        <v>1666666666.6666665</v>
      </c>
      <c r="D48" s="511">
        <v>27777777.777777776</v>
      </c>
      <c r="E48" s="511">
        <v>1694444444.4444442</v>
      </c>
    </row>
    <row r="49" spans="2:5" ht="16.5" x14ac:dyDescent="0.3">
      <c r="B49" s="98" t="s">
        <v>1112</v>
      </c>
      <c r="C49" s="511">
        <v>5950000000</v>
      </c>
      <c r="D49" s="511">
        <v>918694444.44444442</v>
      </c>
      <c r="E49" s="511">
        <v>6868694444.4444447</v>
      </c>
    </row>
    <row r="50" spans="2:5" ht="16.5" x14ac:dyDescent="0.3"/>
    <row r="51" spans="2:5" ht="16.5" x14ac:dyDescent="0.3"/>
    <row r="52" spans="2:5" ht="16.5" x14ac:dyDescent="0.3"/>
    <row r="53" spans="2:5" ht="16.5" x14ac:dyDescent="0.3"/>
  </sheetData>
  <sheetProtection algorithmName="SHA-512" hashValue="zRmZrTNULWTfFx2ysxllRf1ON1Ue276t7wLY3xbfR6kzOawrEbIBkJTRGrGobrQb1uhaWrMTmyB61X9FWtwc1A==" saltValue="W79sdcASLdEBbHUSXxb4ww==" spinCount="100000" sheet="1" scenarios="1" formatCells="0" formatColumns="0" formatRows="0" insertColumns="0" insertRows="0" deleteColumns="0" deleteRows="0" sort="0" autoFilter="0" pivotTables="0"/>
  <dataValidations disablePrompts="1" count="1">
    <dataValidation type="list" errorStyle="warning" allowBlank="1" showInputMessage="1" sqref="M22:M34"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8" r:id="rId5" name="Option Button 6">
              <controlPr defaultSize="0" autoFill="0" autoLine="0" autoPict="0" macro="[0]!DoiDonViHienThi">
                <anchor moveWithCells="1">
                  <from>
                    <xdr:col>19</xdr:col>
                    <xdr:colOff>219075</xdr:colOff>
                    <xdr:row>0</xdr:row>
                    <xdr:rowOff>142875</xdr:rowOff>
                  </from>
                  <to>
                    <xdr:col>19</xdr:col>
                    <xdr:colOff>809625</xdr:colOff>
                    <xdr:row>1</xdr:row>
                    <xdr:rowOff>133350</xdr:rowOff>
                  </to>
                </anchor>
              </controlPr>
            </control>
          </mc:Choice>
        </mc:AlternateContent>
        <mc:AlternateContent xmlns:mc="http://schemas.openxmlformats.org/markup-compatibility/2006">
          <mc:Choice Requires="x14">
            <control shapeId="64519" r:id="rId6" name="Option Button 7">
              <controlPr defaultSize="0" autoFill="0" autoLine="0" autoPict="0" macro="[0]!DoiDonViHienThi">
                <anchor moveWithCells="1">
                  <from>
                    <xdr:col>19</xdr:col>
                    <xdr:colOff>685800</xdr:colOff>
                    <xdr:row>0</xdr:row>
                    <xdr:rowOff>142875</xdr:rowOff>
                  </from>
                  <to>
                    <xdr:col>20</xdr:col>
                    <xdr:colOff>361950</xdr:colOff>
                    <xdr:row>1</xdr:row>
                    <xdr:rowOff>133350</xdr:rowOff>
                  </to>
                </anchor>
              </controlPr>
            </control>
          </mc:Choice>
        </mc:AlternateContent>
        <mc:AlternateContent xmlns:mc="http://schemas.openxmlformats.org/markup-compatibility/2006">
          <mc:Choice Requires="x14">
            <control shapeId="64520" r:id="rId7" name="Option Button 8">
              <controlPr defaultSize="0" autoFill="0" autoLine="0" autoPict="0" macro="[0]!DoiDonViHienThi">
                <anchor moveWithCells="1">
                  <from>
                    <xdr:col>20</xdr:col>
                    <xdr:colOff>238125</xdr:colOff>
                    <xdr:row>0</xdr:row>
                    <xdr:rowOff>142875</xdr:rowOff>
                  </from>
                  <to>
                    <xdr:col>20</xdr:col>
                    <xdr:colOff>828675</xdr:colOff>
                    <xdr:row>1</xdr:row>
                    <xdr:rowOff>133350</xdr:rowOff>
                  </to>
                </anchor>
              </controlPr>
            </control>
          </mc:Choice>
        </mc:AlternateContent>
        <mc:AlternateContent xmlns:mc="http://schemas.openxmlformats.org/markup-compatibility/2006">
          <mc:Choice Requires="x14">
            <control shapeId="64521" r:id="rId8" name="Option Button 9">
              <controlPr defaultSize="0" autoFill="0" autoLine="0" autoPict="0" macro="[0]!DoiDonViHienThi">
                <anchor moveWithCells="1">
                  <from>
                    <xdr:col>20</xdr:col>
                    <xdr:colOff>714375</xdr:colOff>
                    <xdr:row>0</xdr:row>
                    <xdr:rowOff>142875</xdr:rowOff>
                  </from>
                  <to>
                    <xdr:col>20</xdr:col>
                    <xdr:colOff>1066800</xdr:colOff>
                    <xdr:row>1</xdr:row>
                    <xdr:rowOff>133350</xdr:rowOff>
                  </to>
                </anchor>
              </controlPr>
            </control>
          </mc:Choice>
        </mc:AlternateContent>
        <mc:AlternateContent xmlns:mc="http://schemas.openxmlformats.org/markup-compatibility/2006">
          <mc:Choice Requires="x14">
            <control shapeId="64522" r:id="rId9" name="Group Box 10">
              <controlPr defaultSize="0" autoFill="0" autoPict="0">
                <anchor moveWithCells="1">
                  <from>
                    <xdr:col>19</xdr:col>
                    <xdr:colOff>104775</xdr:colOff>
                    <xdr:row>0</xdr:row>
                    <xdr:rowOff>95250</xdr:rowOff>
                  </from>
                  <to>
                    <xdr:col>21</xdr:col>
                    <xdr:colOff>85725</xdr:colOff>
                    <xdr:row>1</xdr:row>
                    <xdr:rowOff>171450</xdr:rowOff>
                  </to>
                </anchor>
              </controlPr>
            </control>
          </mc:Choice>
        </mc:AlternateContent>
        <mc:AlternateContent xmlns:mc="http://schemas.openxmlformats.org/markup-compatibility/2006">
          <mc:Choice Requires="x14">
            <control shapeId="64523" r:id="rId10" name="Group Box 11">
              <controlPr defaultSize="0" autoFill="0" autoPict="0">
                <anchor moveWithCells="1">
                  <from>
                    <xdr:col>17</xdr:col>
                    <xdr:colOff>95250</xdr:colOff>
                    <xdr:row>0</xdr:row>
                    <xdr:rowOff>95250</xdr:rowOff>
                  </from>
                  <to>
                    <xdr:col>19</xdr:col>
                    <xdr:colOff>57150</xdr:colOff>
                    <xdr:row>1</xdr:row>
                    <xdr:rowOff>171450</xdr:rowOff>
                  </to>
                </anchor>
              </controlPr>
            </control>
          </mc:Choice>
        </mc:AlternateContent>
        <mc:AlternateContent xmlns:mc="http://schemas.openxmlformats.org/markup-compatibility/2006">
          <mc:Choice Requires="x14">
            <control shapeId="64524" r:id="rId11" name="Button 12">
              <controlPr defaultSize="0" autoFill="0" autoPict="0" macro="[0]!NhanNghin">
                <anchor moveWithCells="1">
                  <from>
                    <xdr:col>17</xdr:col>
                    <xdr:colOff>180975</xdr:colOff>
                    <xdr:row>0</xdr:row>
                    <xdr:rowOff>190500</xdr:rowOff>
                  </from>
                  <to>
                    <xdr:col>17</xdr:col>
                    <xdr:colOff>647700</xdr:colOff>
                    <xdr:row>1</xdr:row>
                    <xdr:rowOff>76200</xdr:rowOff>
                  </to>
                </anchor>
              </controlPr>
            </control>
          </mc:Choice>
        </mc:AlternateContent>
        <mc:AlternateContent xmlns:mc="http://schemas.openxmlformats.org/markup-compatibility/2006">
          <mc:Choice Requires="x14">
            <control shapeId="64525" r:id="rId12" name="Button 13">
              <controlPr defaultSize="0" autoFill="0" autoPict="0" macro="[0]!NhanTrieu">
                <anchor moveWithCells="1">
                  <from>
                    <xdr:col>17</xdr:col>
                    <xdr:colOff>695325</xdr:colOff>
                    <xdr:row>0</xdr:row>
                    <xdr:rowOff>190500</xdr:rowOff>
                  </from>
                  <to>
                    <xdr:col>18</xdr:col>
                    <xdr:colOff>409575</xdr:colOff>
                    <xdr:row>1</xdr:row>
                    <xdr:rowOff>76200</xdr:rowOff>
                  </to>
                </anchor>
              </controlPr>
            </control>
          </mc:Choice>
        </mc:AlternateContent>
        <mc:AlternateContent xmlns:mc="http://schemas.openxmlformats.org/markup-compatibility/2006">
          <mc:Choice Requires="x14">
            <control shapeId="64526" r:id="rId13" name="Button 14">
              <controlPr defaultSize="0" autoFill="0" autoPict="0" macro="[0]!NhanTy">
                <anchor moveWithCells="1">
                  <from>
                    <xdr:col>18</xdr:col>
                    <xdr:colOff>457200</xdr:colOff>
                    <xdr:row>0</xdr:row>
                    <xdr:rowOff>190500</xdr:rowOff>
                  </from>
                  <to>
                    <xdr:col>18</xdr:col>
                    <xdr:colOff>923925</xdr:colOff>
                    <xdr:row>1</xdr:row>
                    <xdr:rowOff>76200</xdr:rowOff>
                  </to>
                </anchor>
              </controlPr>
            </control>
          </mc:Choice>
        </mc:AlternateContent>
        <mc:AlternateContent xmlns:mc="http://schemas.openxmlformats.org/markup-compatibility/2006">
          <mc:Choice Requires="x14">
            <control shapeId="64527" r:id="rId14" name="Button 15">
              <controlPr defaultSize="0" print="0" autoFill="0" autoPict="0" macro="[0]!AddRow">
                <anchor moveWithCells="1">
                  <from>
                    <xdr:col>9</xdr:col>
                    <xdr:colOff>47625</xdr:colOff>
                    <xdr:row>0</xdr:row>
                    <xdr:rowOff>161925</xdr:rowOff>
                  </from>
                  <to>
                    <xdr:col>10</xdr:col>
                    <xdr:colOff>57150</xdr:colOff>
                    <xdr:row>1</xdr:row>
                    <xdr:rowOff>133350</xdr:rowOff>
                  </to>
                </anchor>
              </controlPr>
            </control>
          </mc:Choice>
        </mc:AlternateContent>
        <mc:AlternateContent xmlns:mc="http://schemas.openxmlformats.org/markup-compatibility/2006">
          <mc:Choice Requires="x14">
            <control shapeId="64528" r:id="rId15" name="Button 16">
              <controlPr defaultSize="0" print="0" autoFill="0" autoPict="0" macro="[0]!DeleteRow">
                <anchor moveWithCells="1">
                  <from>
                    <xdr:col>10</xdr:col>
                    <xdr:colOff>95250</xdr:colOff>
                    <xdr:row>0</xdr:row>
                    <xdr:rowOff>161925</xdr:rowOff>
                  </from>
                  <to>
                    <xdr:col>11</xdr:col>
                    <xdr:colOff>95250</xdr:colOff>
                    <xdr:row>1</xdr:row>
                    <xdr:rowOff>133350</xdr:rowOff>
                  </to>
                </anchor>
              </controlPr>
            </control>
          </mc:Choice>
        </mc:AlternateContent>
        <mc:AlternateContent xmlns:mc="http://schemas.openxmlformats.org/markup-compatibility/2006">
          <mc:Choice Requires="x14">
            <control shapeId="64529" r:id="rId16" name="Button 17">
              <controlPr defaultSize="0" print="0" autoFill="0" autoPict="0" macro="[0]!AddColumn">
                <anchor moveWithCells="1">
                  <from>
                    <xdr:col>26</xdr:col>
                    <xdr:colOff>9525</xdr:colOff>
                    <xdr:row>0</xdr:row>
                    <xdr:rowOff>152400</xdr:rowOff>
                  </from>
                  <to>
                    <xdr:col>26</xdr:col>
                    <xdr:colOff>400050</xdr:colOff>
                    <xdr:row>1</xdr:row>
                    <xdr:rowOff>123825</xdr:rowOff>
                  </to>
                </anchor>
              </controlPr>
            </control>
          </mc:Choice>
        </mc:AlternateContent>
        <mc:AlternateContent xmlns:mc="http://schemas.openxmlformats.org/markup-compatibility/2006">
          <mc:Choice Requires="x14">
            <control shapeId="64530" r:id="rId17" name="Button 18">
              <controlPr defaultSize="0" print="0" autoFill="0" autoPict="0" macro="[0]!DeleteColumn">
                <anchor moveWithCells="1">
                  <from>
                    <xdr:col>26</xdr:col>
                    <xdr:colOff>428625</xdr:colOff>
                    <xdr:row>0</xdr:row>
                    <xdr:rowOff>152400</xdr:rowOff>
                  </from>
                  <to>
                    <xdr:col>27</xdr:col>
                    <xdr:colOff>161925</xdr:colOff>
                    <xdr:row>1</xdr:row>
                    <xdr:rowOff>123825</xdr:rowOff>
                  </to>
                </anchor>
              </controlPr>
            </control>
          </mc:Choice>
        </mc:AlternateContent>
        <mc:AlternateContent xmlns:mc="http://schemas.openxmlformats.org/markup-compatibility/2006">
          <mc:Choice Requires="x14">
            <control shapeId="64533" r:id="rId18" name="Button 21">
              <controlPr defaultSize="0" print="0" autoFill="0" autoPict="0" macro="[0]!RefreshTables">
                <anchor moveWithCells="1">
                  <from>
                    <xdr:col>23</xdr:col>
                    <xdr:colOff>752475</xdr:colOff>
                    <xdr:row>3</xdr:row>
                    <xdr:rowOff>123825</xdr:rowOff>
                  </from>
                  <to>
                    <xdr:col>24</xdr:col>
                    <xdr:colOff>76200</xdr:colOff>
                    <xdr:row>4</xdr:row>
                    <xdr:rowOff>152400</xdr:rowOff>
                  </to>
                </anchor>
              </controlPr>
            </control>
          </mc:Choice>
        </mc:AlternateContent>
      </controls>
    </mc:Choice>
  </mc:AlternateContent>
  <tableParts count="1">
    <tablePart r:id="rId19"/>
  </tableParts>
  <extLst>
    <ext xmlns:x14="http://schemas.microsoft.com/office/spreadsheetml/2009/9/main" uri="{78C0D931-6437-407d-A8EE-F0AAD7539E65}">
      <x14:conditionalFormattings>
        <x14:conditionalFormatting xmlns:xm="http://schemas.microsoft.com/office/excel/2006/main">
          <x14:cfRule type="expression" priority="2" id="{1F6BE193-6CB9-4679-8ADD-7EE0794EF0FB}">
            <xm:f>Security!$A$1="NO VBA"</xm:f>
            <x14:dxf>
              <font>
                <color theme="0"/>
              </font>
              <border>
                <vertical/>
                <horizontal/>
              </border>
            </x14:dxf>
          </x14:cfRule>
          <xm:sqref>P39:Z1048576 J39:N1048576 J22:J34 N22:AA34 J21:X21 AB21:XFD1048576 AA21 J1:XFD20</xm:sqref>
        </x14:conditionalFormatting>
        <x14:conditionalFormatting xmlns:xm="http://schemas.microsoft.com/office/excel/2006/main">
          <x14:cfRule type="expression" priority="1" id="{E13DC5E0-ECDA-46FA-B029-B66ABDE8FA5F}">
            <xm:f>Security!$A$1="NO VBA"</xm:f>
            <x14:dxf>
              <font>
                <color theme="0"/>
              </font>
              <border>
                <vertical/>
                <horizontal/>
              </border>
            </x14:dxf>
          </x14:cfRule>
          <xm:sqref>Z21</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E644E-A5CD-4441-92B4-258602470651}">
  <sheetPr codeName="Sheet21">
    <tabColor theme="9"/>
  </sheetPr>
  <dimension ref="B1:K4"/>
  <sheetViews>
    <sheetView showGridLines="0" workbookViewId="0">
      <selection activeCell="F5" sqref="F5"/>
    </sheetView>
  </sheetViews>
  <sheetFormatPr defaultRowHeight="18" customHeight="1" outlineLevelCol="1" x14ac:dyDescent="0.3"/>
  <cols>
    <col min="1" max="1" width="9.625" style="7" customWidth="1"/>
    <col min="2" max="2" width="5.875" style="7" bestFit="1" customWidth="1"/>
    <col min="3" max="3" width="6" style="7" bestFit="1" customWidth="1"/>
    <col min="4" max="4" width="7.125" style="7" bestFit="1" customWidth="1"/>
    <col min="5" max="5" width="16.125" style="7" customWidth="1"/>
    <col min="6" max="6" width="9.5" style="38" customWidth="1" outlineLevel="1"/>
    <col min="7" max="7" width="8.5" style="7" customWidth="1" outlineLevel="1"/>
    <col min="8" max="8" width="15.5" style="7" customWidth="1" outlineLevel="1"/>
    <col min="9" max="9" width="13" style="7" customWidth="1" outlineLevel="1"/>
    <col min="10" max="10" width="6.75" style="7" bestFit="1" customWidth="1"/>
    <col min="11" max="11" width="8.625" style="7" bestFit="1" customWidth="1"/>
    <col min="12" max="16384" width="9" style="7"/>
  </cols>
  <sheetData>
    <row r="1" spans="2:11" ht="29.25" customHeight="1" x14ac:dyDescent="0.3">
      <c r="B1" s="242"/>
      <c r="C1" s="242"/>
      <c r="D1" s="242"/>
      <c r="E1" s="242"/>
      <c r="F1" s="243"/>
      <c r="G1" s="242"/>
      <c r="H1" s="242"/>
      <c r="I1" s="242"/>
      <c r="J1" s="242"/>
      <c r="K1" s="242"/>
    </row>
    <row r="2" spans="2:11" ht="18" customHeight="1" x14ac:dyDescent="0.3">
      <c r="B2" s="242"/>
      <c r="C2" s="242"/>
      <c r="D2" s="242"/>
      <c r="E2" s="242"/>
      <c r="F2" s="242"/>
      <c r="G2" s="242"/>
      <c r="H2" s="242"/>
      <c r="I2" s="242"/>
      <c r="J2" s="242"/>
      <c r="K2" s="242"/>
    </row>
    <row r="3" spans="2:11" ht="18" customHeight="1" x14ac:dyDescent="0.3">
      <c r="B3" s="7" t="s">
        <v>3</v>
      </c>
      <c r="C3" s="7" t="s">
        <v>2</v>
      </c>
      <c r="D3" s="7" t="s">
        <v>1</v>
      </c>
      <c r="E3" s="7" t="s">
        <v>664</v>
      </c>
      <c r="F3" s="46" t="s">
        <v>665</v>
      </c>
      <c r="G3" s="46" t="s">
        <v>666</v>
      </c>
      <c r="H3" s="46" t="s">
        <v>553</v>
      </c>
      <c r="I3" s="46" t="s">
        <v>667</v>
      </c>
      <c r="J3" s="7" t="s">
        <v>883</v>
      </c>
      <c r="K3" s="7" t="s">
        <v>1253</v>
      </c>
    </row>
    <row r="4" spans="2:11" ht="18" customHeight="1" x14ac:dyDescent="0.3">
      <c r="B4" s="49">
        <f>IFERROR(
IF(ISBLANK(D4),
DATE(C4,12,1),
DATE(C4,D4,1)),0)</f>
        <v>336</v>
      </c>
      <c r="C4" s="242"/>
      <c r="D4" s="242"/>
      <c r="E4" s="242"/>
      <c r="F4" s="48" cm="1">
        <f t="array" ref="F4">IFERROR(
SUM(_xlfn._xlws.FILTER(Table_DauTu[Giá trị đầu tư],
(Table_DauTu[Mã khoản đầu tư]=Table_DauTu_LichThu[[#This Row],[Tài sản đầu tư]])*
(Table_DauTu[Kỳ đáo hạn]=Table_DauTu_LichThu[[#This Row],[Kỳ]])
)),0)</f>
        <v>0</v>
      </c>
      <c r="G4" s="48" cm="1">
        <f t="array" ref="G4">IFERROR(
SUM(_xlfn._xlws.FILTER(Table_DauTu[Lãi hàng tháng],
(Table_DauTu[Mã khoản đầu tư]=Table_DauTu_LichThu[[#This Row],[Tài sản đầu tư]])*
(Table_DauTu[Kỳ đầu tư] &lt; Table_DauTu_LichThu[[#This Row],[Kỳ]]) *
(Table_DauTu[Kỳ đáo hạn] &gt;= Table_DauTu_LichThu[[#This Row],[Kỳ]])
)),0)</f>
        <v>0</v>
      </c>
      <c r="H4" s="48">
        <f>+Table_DauTu_LichThu[[#This Row],[Nhận lãi]]+Table_DauTu_LichThu[[#This Row],[Nhận gốc]]</f>
        <v>0</v>
      </c>
      <c r="I4" s="48">
        <f>+Table_DauTu_LichThu[[#This Row],[Nhận lãi]]</f>
        <v>0</v>
      </c>
      <c r="J4" s="307"/>
      <c r="K4" s="308" cm="1">
        <f t="array" ref="K4">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f>
        <v>0</v>
      </c>
    </row>
  </sheetData>
  <sheetProtection algorithmName="SHA-512" hashValue="6G8nFG0BZphCYkdU+rsWtxI7Nb8SAAnkZfoKfoeFYjTRldXiGRCOvL63AHV7BgztK4kcfaAmggN2y6zvaG+XCw==" saltValue="zT2qRJ2DkARnBzoSeGtwtg==" spinCount="100000" sheet="1" scenarios="1" formatCells="0" formatColumns="0" formatRows="0" insertColumns="0" insertRows="0" deleteColumns="0" deleteRows="0" sort="0" autoFilter="0" pivotTables="0"/>
  <phoneticPr fontId="14" type="noConversion"/>
  <dataValidations count="1">
    <dataValidation type="list" errorStyle="warning" allowBlank="1" showInputMessage="1" sqref="E4" xr:uid="{4CA2B024-81E6-4432-B571-6C511188A1EF}">
      <formula1>MaDauTu</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42" r:id="rId3" name="Option Button 6">
              <controlPr defaultSize="0" autoFill="0" autoLine="0" autoPict="0" macro="[0]!DoiDonViHienThi">
                <anchor moveWithCells="1">
                  <from>
                    <xdr:col>4</xdr:col>
                    <xdr:colOff>428625</xdr:colOff>
                    <xdr:row>0</xdr:row>
                    <xdr:rowOff>152400</xdr:rowOff>
                  </from>
                  <to>
                    <xdr:col>4</xdr:col>
                    <xdr:colOff>1019175</xdr:colOff>
                    <xdr:row>1</xdr:row>
                    <xdr:rowOff>57150</xdr:rowOff>
                  </to>
                </anchor>
              </controlPr>
            </control>
          </mc:Choice>
        </mc:AlternateContent>
        <mc:AlternateContent xmlns:mc="http://schemas.openxmlformats.org/markup-compatibility/2006">
          <mc:Choice Requires="x14">
            <control shapeId="65543" r:id="rId4" name="Option Button 7">
              <controlPr defaultSize="0" autoFill="0" autoLine="0" autoPict="0" macro="[0]!DoiDonViHienThi">
                <anchor moveWithCells="1">
                  <from>
                    <xdr:col>4</xdr:col>
                    <xdr:colOff>895350</xdr:colOff>
                    <xdr:row>0</xdr:row>
                    <xdr:rowOff>152400</xdr:rowOff>
                  </from>
                  <to>
                    <xdr:col>5</xdr:col>
                    <xdr:colOff>257175</xdr:colOff>
                    <xdr:row>1</xdr:row>
                    <xdr:rowOff>57150</xdr:rowOff>
                  </to>
                </anchor>
              </controlPr>
            </control>
          </mc:Choice>
        </mc:AlternateContent>
        <mc:AlternateContent xmlns:mc="http://schemas.openxmlformats.org/markup-compatibility/2006">
          <mc:Choice Requires="x14">
            <control shapeId="65544" r:id="rId5" name="Option Button 8">
              <controlPr defaultSize="0" autoFill="0" autoLine="0" autoPict="0" macro="[0]!DoiDonViHienThi">
                <anchor moveWithCells="1">
                  <from>
                    <xdr:col>5</xdr:col>
                    <xdr:colOff>133350</xdr:colOff>
                    <xdr:row>0</xdr:row>
                    <xdr:rowOff>152400</xdr:rowOff>
                  </from>
                  <to>
                    <xdr:col>6</xdr:col>
                    <xdr:colOff>0</xdr:colOff>
                    <xdr:row>1</xdr:row>
                    <xdr:rowOff>57150</xdr:rowOff>
                  </to>
                </anchor>
              </controlPr>
            </control>
          </mc:Choice>
        </mc:AlternateContent>
        <mc:AlternateContent xmlns:mc="http://schemas.openxmlformats.org/markup-compatibility/2006">
          <mc:Choice Requires="x14">
            <control shapeId="65545" r:id="rId6" name="Option Button 9">
              <controlPr defaultSize="0" autoFill="0" autoLine="0" autoPict="0" macro="[0]!DoiDonViHienThi">
                <anchor moveWithCells="1">
                  <from>
                    <xdr:col>5</xdr:col>
                    <xdr:colOff>609600</xdr:colOff>
                    <xdr:row>0</xdr:row>
                    <xdr:rowOff>152400</xdr:rowOff>
                  </from>
                  <to>
                    <xdr:col>6</xdr:col>
                    <xdr:colOff>238125</xdr:colOff>
                    <xdr:row>1</xdr:row>
                    <xdr:rowOff>57150</xdr:rowOff>
                  </to>
                </anchor>
              </controlPr>
            </control>
          </mc:Choice>
        </mc:AlternateContent>
        <mc:AlternateContent xmlns:mc="http://schemas.openxmlformats.org/markup-compatibility/2006">
          <mc:Choice Requires="x14">
            <control shapeId="65546" r:id="rId7" name="Group Box 10">
              <controlPr defaultSize="0" autoFill="0" autoPict="0">
                <anchor moveWithCells="1">
                  <from>
                    <xdr:col>4</xdr:col>
                    <xdr:colOff>314325</xdr:colOff>
                    <xdr:row>0</xdr:row>
                    <xdr:rowOff>104775</xdr:rowOff>
                  </from>
                  <to>
                    <xdr:col>6</xdr:col>
                    <xdr:colOff>352425</xdr:colOff>
                    <xdr:row>1</xdr:row>
                    <xdr:rowOff>95250</xdr:rowOff>
                  </to>
                </anchor>
              </controlPr>
            </control>
          </mc:Choice>
        </mc:AlternateContent>
        <mc:AlternateContent xmlns:mc="http://schemas.openxmlformats.org/markup-compatibility/2006">
          <mc:Choice Requires="x14">
            <control shapeId="65547" r:id="rId8" name="Group Box 11">
              <controlPr defaultSize="0" autoFill="0" autoPict="0">
                <anchor moveWithCells="1">
                  <from>
                    <xdr:col>1</xdr:col>
                    <xdr:colOff>57150</xdr:colOff>
                    <xdr:row>0</xdr:row>
                    <xdr:rowOff>104775</xdr:rowOff>
                  </from>
                  <to>
                    <xdr:col>4</xdr:col>
                    <xdr:colOff>266700</xdr:colOff>
                    <xdr:row>1</xdr:row>
                    <xdr:rowOff>95250</xdr:rowOff>
                  </to>
                </anchor>
              </controlPr>
            </control>
          </mc:Choice>
        </mc:AlternateContent>
        <mc:AlternateContent xmlns:mc="http://schemas.openxmlformats.org/markup-compatibility/2006">
          <mc:Choice Requires="x14">
            <control shapeId="65548" r:id="rId9" name="Button 12">
              <controlPr defaultSize="0" autoFill="0" autoPict="0" macro="[0]!NhanNghin">
                <anchor moveWithCells="1">
                  <from>
                    <xdr:col>1</xdr:col>
                    <xdr:colOff>142875</xdr:colOff>
                    <xdr:row>0</xdr:row>
                    <xdr:rowOff>200025</xdr:rowOff>
                  </from>
                  <to>
                    <xdr:col>2</xdr:col>
                    <xdr:colOff>161925</xdr:colOff>
                    <xdr:row>1</xdr:row>
                    <xdr:rowOff>0</xdr:rowOff>
                  </to>
                </anchor>
              </controlPr>
            </control>
          </mc:Choice>
        </mc:AlternateContent>
        <mc:AlternateContent xmlns:mc="http://schemas.openxmlformats.org/markup-compatibility/2006">
          <mc:Choice Requires="x14">
            <control shapeId="65549" r:id="rId10" name="Button 13">
              <controlPr defaultSize="0" autoFill="0" autoPict="0" macro="[0]!NhanTrieu">
                <anchor moveWithCells="1">
                  <from>
                    <xdr:col>2</xdr:col>
                    <xdr:colOff>209550</xdr:colOff>
                    <xdr:row>0</xdr:row>
                    <xdr:rowOff>200025</xdr:rowOff>
                  </from>
                  <to>
                    <xdr:col>3</xdr:col>
                    <xdr:colOff>219075</xdr:colOff>
                    <xdr:row>1</xdr:row>
                    <xdr:rowOff>0</xdr:rowOff>
                  </to>
                </anchor>
              </controlPr>
            </control>
          </mc:Choice>
        </mc:AlternateContent>
        <mc:AlternateContent xmlns:mc="http://schemas.openxmlformats.org/markup-compatibility/2006">
          <mc:Choice Requires="x14">
            <control shapeId="65550" r:id="rId11" name="Button 14">
              <controlPr defaultSize="0" autoFill="0" autoPict="0" macro="[0]!NhanTy">
                <anchor moveWithCells="1">
                  <from>
                    <xdr:col>3</xdr:col>
                    <xdr:colOff>266700</xdr:colOff>
                    <xdr:row>0</xdr:row>
                    <xdr:rowOff>200025</xdr:rowOff>
                  </from>
                  <to>
                    <xdr:col>4</xdr:col>
                    <xdr:colOff>190500</xdr:colOff>
                    <xdr:row>1</xdr:row>
                    <xdr:rowOff>0</xdr:rowOff>
                  </to>
                </anchor>
              </controlPr>
            </control>
          </mc:Choice>
        </mc:AlternateContent>
        <mc:AlternateContent xmlns:mc="http://schemas.openxmlformats.org/markup-compatibility/2006">
          <mc:Choice Requires="x14">
            <control shapeId="65551" r:id="rId12" name="Button 15">
              <controlPr defaultSize="0" print="0" autoFill="0" autoPict="0" macro="[0]!AddRow">
                <anchor moveWithCells="1">
                  <from>
                    <xdr:col>7</xdr:col>
                    <xdr:colOff>47625</xdr:colOff>
                    <xdr:row>0</xdr:row>
                    <xdr:rowOff>142875</xdr:rowOff>
                  </from>
                  <to>
                    <xdr:col>7</xdr:col>
                    <xdr:colOff>523875</xdr:colOff>
                    <xdr:row>1</xdr:row>
                    <xdr:rowOff>28575</xdr:rowOff>
                  </to>
                </anchor>
              </controlPr>
            </control>
          </mc:Choice>
        </mc:AlternateContent>
        <mc:AlternateContent xmlns:mc="http://schemas.openxmlformats.org/markup-compatibility/2006">
          <mc:Choice Requires="x14">
            <control shapeId="65552" r:id="rId13" name="Button 16">
              <controlPr defaultSize="0" print="0" autoFill="0" autoPict="0" macro="[0]!DeleteRow">
                <anchor moveWithCells="1">
                  <from>
                    <xdr:col>7</xdr:col>
                    <xdr:colOff>561975</xdr:colOff>
                    <xdr:row>0</xdr:row>
                    <xdr:rowOff>142875</xdr:rowOff>
                  </from>
                  <to>
                    <xdr:col>7</xdr:col>
                    <xdr:colOff>1038225</xdr:colOff>
                    <xdr:row>1</xdr:row>
                    <xdr:rowOff>28575</xdr:rowOff>
                  </to>
                </anchor>
              </controlPr>
            </control>
          </mc:Choice>
        </mc:AlternateContent>
        <mc:AlternateContent xmlns:mc="http://schemas.openxmlformats.org/markup-compatibility/2006">
          <mc:Choice Requires="x14">
            <control shapeId="65553" r:id="rId14" name="Button 17">
              <controlPr defaultSize="0" print="0" autoFill="0" autoPict="0" macro="[0]!AddColumn">
                <anchor moveWithCells="1">
                  <from>
                    <xdr:col>9</xdr:col>
                    <xdr:colOff>66675</xdr:colOff>
                    <xdr:row>0</xdr:row>
                    <xdr:rowOff>133350</xdr:rowOff>
                  </from>
                  <to>
                    <xdr:col>10</xdr:col>
                    <xdr:colOff>66675</xdr:colOff>
                    <xdr:row>1</xdr:row>
                    <xdr:rowOff>19050</xdr:rowOff>
                  </to>
                </anchor>
              </controlPr>
            </control>
          </mc:Choice>
        </mc:AlternateContent>
        <mc:AlternateContent xmlns:mc="http://schemas.openxmlformats.org/markup-compatibility/2006">
          <mc:Choice Requires="x14">
            <control shapeId="65554" r:id="rId15" name="Button 18">
              <controlPr defaultSize="0" print="0" autoFill="0" autoPict="0" macro="[0]!DeleteColumn">
                <anchor moveWithCells="1">
                  <from>
                    <xdr:col>10</xdr:col>
                    <xdr:colOff>104775</xdr:colOff>
                    <xdr:row>0</xdr:row>
                    <xdr:rowOff>133350</xdr:rowOff>
                  </from>
                  <to>
                    <xdr:col>10</xdr:col>
                    <xdr:colOff>647700</xdr:colOff>
                    <xdr:row>1</xdr:row>
                    <xdr:rowOff>19050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F157BAFD-8E0C-42DA-8E16-14CE47BD6EAE}">
            <xm:f>Security!$A$1="NO VBA"</xm:f>
            <x14:dxf>
              <font>
                <color theme="0"/>
              </font>
              <border>
                <vertical/>
                <horizontal/>
              </border>
            </x14:dxf>
          </x14:cfRule>
          <xm:sqref>A1:XFD1048576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3177B-3573-46B4-A64A-4DEE0F899B5E}">
  <sheetPr codeName="Sheet23">
    <tabColor theme="7"/>
    <outlinePr summaryBelow="0" summaryRight="0"/>
  </sheetPr>
  <dimension ref="A1:AU81"/>
  <sheetViews>
    <sheetView showGridLines="0" zoomScaleNormal="100" workbookViewId="0">
      <selection activeCell="A2" sqref="A2"/>
    </sheetView>
  </sheetViews>
  <sheetFormatPr defaultRowHeight="18" customHeight="1" outlineLevelCol="1" x14ac:dyDescent="0.15"/>
  <cols>
    <col min="1" max="1" width="13.5" style="7" customWidth="1"/>
    <col min="2" max="2" width="11.25" style="7" bestFit="1" customWidth="1"/>
    <col min="3" max="3" width="13.625" style="44" bestFit="1" customWidth="1"/>
    <col min="4" max="4" width="13.625" style="44" customWidth="1"/>
    <col min="5" max="5" width="12.625" style="7" customWidth="1" outlineLevel="1" collapsed="1"/>
    <col min="6" max="7" width="12.5" style="7" customWidth="1" outlineLevel="1"/>
    <col min="8" max="8" width="12.5" style="44" customWidth="1" outlineLevel="1"/>
    <col min="9" max="10" width="12.5" style="7" customWidth="1" outlineLevel="1"/>
    <col min="11" max="11" width="13.5" style="44" bestFit="1" customWidth="1"/>
    <col min="12" max="12" width="13.5" style="7" customWidth="1" outlineLevel="1" collapsed="1"/>
    <col min="13" max="14" width="13.5" style="7" customWidth="1" outlineLevel="1"/>
    <col min="15" max="15" width="12" style="44" bestFit="1" customWidth="1"/>
    <col min="16" max="16" width="10.25" style="7" customWidth="1"/>
    <col min="17" max="17" width="17.375" style="7" customWidth="1"/>
    <col min="18" max="18" width="16.125" style="44" customWidth="1"/>
    <col min="19" max="19" width="16.125" style="44" customWidth="1" outlineLevel="1"/>
    <col min="20" max="20" width="8.875" style="44" customWidth="1" outlineLevel="1"/>
    <col min="21" max="21" width="14.625" style="44" customWidth="1" outlineLevel="1"/>
    <col min="22" max="22" width="9" style="44" customWidth="1" outlineLevel="1"/>
    <col min="23" max="23" width="12" style="44" customWidth="1" outlineLevel="1"/>
    <col min="24" max="24" width="17.5" style="44" customWidth="1"/>
    <col min="25" max="25" width="14.25" style="44" customWidth="1" outlineLevel="1"/>
    <col min="26" max="26" width="11.875" style="44" customWidth="1" outlineLevel="1" collapsed="1"/>
    <col min="27" max="27" width="9" style="44" customWidth="1" outlineLevel="1"/>
    <col min="28" max="28" width="12" style="44" customWidth="1" outlineLevel="1"/>
    <col min="29" max="29" width="9" style="44" customWidth="1" outlineLevel="1"/>
    <col min="30" max="30" width="9.375" style="44" customWidth="1" outlineLevel="1"/>
    <col min="31" max="31" width="15.75" style="7" customWidth="1" outlineLevel="1"/>
    <col min="32" max="32" width="7.375" style="7" customWidth="1" outlineLevel="1"/>
    <col min="33" max="33" width="7.875" style="44" customWidth="1" outlineLevel="1"/>
    <col min="34" max="34" width="9" style="44" customWidth="1" outlineLevel="1"/>
    <col min="35" max="38" width="9" style="7" customWidth="1" outlineLevel="1"/>
    <col min="39" max="39" width="15.875" style="7" customWidth="1"/>
    <col min="40" max="40" width="6.75" style="7" bestFit="1" customWidth="1" collapsed="1"/>
    <col min="41" max="45" width="9" style="7" hidden="1" customWidth="1" outlineLevel="1"/>
    <col min="46" max="46" width="11" style="7" hidden="1" customWidth="1" outlineLevel="1"/>
    <col min="47" max="47" width="12.75" style="7" hidden="1" customWidth="1" outlineLevel="1"/>
    <col min="48" max="16384" width="9" style="7"/>
  </cols>
  <sheetData>
    <row r="1" spans="1:47" ht="22.5" customHeight="1" x14ac:dyDescent="0.15">
      <c r="A1" s="21"/>
      <c r="K1" s="7"/>
      <c r="L1" s="44"/>
      <c r="M1" s="44"/>
      <c r="N1" s="44"/>
      <c r="O1" s="7"/>
      <c r="Q1" s="44"/>
      <c r="AD1" s="7"/>
      <c r="AF1" s="44"/>
      <c r="AH1" s="7"/>
    </row>
    <row r="2" spans="1:47" ht="18" customHeight="1" x14ac:dyDescent="0.15">
      <c r="A2" s="21"/>
      <c r="K2" s="7"/>
      <c r="L2" s="44"/>
      <c r="M2" s="44"/>
      <c r="N2" s="44"/>
      <c r="O2" s="7"/>
      <c r="Q2" s="44"/>
      <c r="AD2" s="7"/>
      <c r="AF2" s="44"/>
      <c r="AH2" s="7"/>
    </row>
    <row r="3" spans="1:47" s="21" customFormat="1" ht="18" customHeight="1" x14ac:dyDescent="0.3">
      <c r="B3" s="237"/>
      <c r="C3" s="238"/>
      <c r="D3" s="536">
        <f>IF(ISBLANK(B3),C3,B3)</f>
        <v>0</v>
      </c>
      <c r="E3" s="420" cm="1">
        <f t="array" ref="E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 P3)*
(NOT(ISBLANK(Table_Main[Ngày xuất nhập])))*
(Table_Main[Ngày xuất nhập] &lt; K3)
)),0),
IFERROR(
SUM(_xlfn._xlws.FILTER(Table_Main[Số lượng],
(Table_Main[Loại] = "Nhập")*
(Table_Main[Mã Nguyên liệu] =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 K3)
)),0))</f>
        <v>0</v>
      </c>
      <c r="F3" s="420" cm="1">
        <f t="array" ref="F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=P3)*
(NOT(ISBLANK(Table_Main[Ngày xuất nhập])))*
(Table_Main[Ngày xuất nhập] &lt;=K3)
)),0),
IFERROR(
SUM(_xlfn._xlws.FILTER(Table_Main[Số lượng],
(Table_Main[Loại] = "Nhập")*
(Table_Main[Mã Nguyên liệu]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&lt;=K3)
)),0))</f>
        <v>0</v>
      </c>
      <c r="G3" s="420" cm="1">
        <f t="array" ref="G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&lt;K3)
)),0)
- IFERROR(
SUM(_xlfn._xlws.FILTER(Table_Main[Giá trị hàng nhập],
(Table_Main[Loại] = "Xuất")*
(Table_Main[Mã Nguyên liệu] = C3)*
(Table_Main[Mã Nguyên liệu] &lt;&gt; "")*
(NOT(ISBLANK(C3)))*
(Table_Main[Kho] = P3)*
(NOT(ISBLANK(Table_Main[Ngày xuất nhập])))*
(Table_Main[Ngày xuất nhập] &lt;K3)
)),0))</f>
        <v>0</v>
      </c>
      <c r="H3" s="420" cm="1">
        <f t="array" ref="H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 K3)
)),0)
- IFERROR(
SUM(_xlfn._xlws.FILTER(Table_Main[Giá trị hàng nhập],
(Table_Main[Loại] = "Xuất")*
(Table_Main[Mã Nguyên liệu] = C3)*
(Table_Main[Mã Nguyên liệu] &lt;&gt; "")*
(NOT(ISBLANK(C3)))*
(Table_Main[Kho] = P3)*
(NOT(ISBLANK(Table_Main[Ngày xuất nhập])))*
(Table_Main[Ngày xuất nhập] &lt;= K3)
)),0))</f>
        <v>0</v>
      </c>
      <c r="I3" s="420">
        <f>IFERROR(G3/E3,0)</f>
        <v>0</v>
      </c>
      <c r="J3" s="420">
        <f>IFERROR(H3/F3,0)</f>
        <v>0</v>
      </c>
      <c r="K3" s="415"/>
      <c r="L3" s="47">
        <f xml:space="preserve">
IFERROR(
IFERROR(
VLOOKUP(R3,Table_DonMua[[Mã Đơn mua]:[Add]],COUNTA(Table_DonMua[[#Headers],[Mã Đơn mua]:[Ngày lập]]),0),
VLOOKUP(X3,Table_DonBan[[Mã Đơn bán]:[Add]], COUNTA(Table_DonBan[[#Headers],[Mã Đơn bán]:[Ngày lập]]),0)),0)</f>
        <v>0</v>
      </c>
      <c r="M3" s="51">
        <f>IFERROR(MONTH(L3),0)</f>
        <v>1</v>
      </c>
      <c r="N3" s="51" t="str">
        <f>IF(L3=0,"",K3-L3)</f>
        <v/>
      </c>
      <c r="O3" s="230"/>
      <c r="P3" s="230"/>
      <c r="Q3" s="394"/>
      <c r="R3" s="239"/>
      <c r="S3" s="538">
        <f>IFERROR(VLOOKUP(R3,Table_DonMua[[Mã Đơn mua]:[Add]],COUNTA(Table_DonMua[[#Headers],[Mã Đơn mua]:[Mã Đối tác]]),0),0)</f>
        <v>0</v>
      </c>
      <c r="T3" s="409"/>
      <c r="U3" s="48">
        <f xml:space="preserve">
IF(NOT(ISBLANK(R3)),Q3*T3,Q3*I3)</f>
        <v>0</v>
      </c>
      <c r="V3" s="64">
        <f>IF(R3="", 0,
IFERROR(
VLOOKUP(C3,Table_NguyenLieu[[Mã Nguyên liệu]:[Tỷ suất VAT]],COUNTA(Table_NguyenLieu[[#Headers],[Mã Nguyên liệu]:[Tỷ suất VAT]]),0),
IFERROR(
VLOOKUP(B3,Table_SKU[[Mã SKU]:[Tỷ suất VAT]],COUNTA(Table_NguyenLieu[[#Headers],[Mã Nguyên liệu]:[Tỷ suất VAT]]),0),0)))</f>
        <v>0</v>
      </c>
      <c r="W3" s="48">
        <f>IF(R3="", 0,IFERROR(V3*(U3/(1+V3)),0))</f>
        <v>0</v>
      </c>
      <c r="X3" s="236"/>
      <c r="Y3" s="226">
        <f>IFERROR(VLOOKUP(X3,Table_DonBan[[Mã Đơn bán]:[Add]],COUNTA(Table_DonBan[[#Headers],[Mã Đơn bán]:[Mã Khách]]),0),0)</f>
        <v>0</v>
      </c>
      <c r="Z3" s="48">
        <f>IF(ISBLANK(X3),0,
VLOOKUP(B3,Table_SKU[[Mã SKU]:[Giá bán]],COUNTA(Table_SKU[[#Headers],[Mã SKU]:[Giá bán]]),0))</f>
        <v>0</v>
      </c>
      <c r="AA3" s="48">
        <f>IF(ISBLANK(X3),0,
IF(O3 = "Xuất",Z3*Q3,-Z3*Q3))</f>
        <v>0</v>
      </c>
      <c r="AB3" s="230"/>
      <c r="AC3" s="65">
        <f>IF(X3="", 0,
IFERROR(
IF(
ISBLANK(
VLOOKUP(AB3,Table_ChuongTrinh[[Mã Chương trình]:[Tỷ lệ CK]],COUNTA(Table_ChuongTrinh[[#Headers],[Mã Chương trình]:[Tỷ lệ CK]]),0)),0,
VLOOKUP(AB3,Table_ChuongTrinh[[Mã Chương trình]:[Tỷ lệ CK]],COUNTA(Table_ChuongTrinh[[#Headers],[Mã Chương trình]:[Tỷ lệ CK]]),0)),
0))</f>
        <v>0</v>
      </c>
      <c r="AD3" s="120" t="e">
        <f xml:space="preserve">
(AA3/ABS(AA3)) *
IF(ISBLANK(X3),0,
IFERROR(
IF(
ISBLANK(
VLOOKUP(AB3,Table_ChuongTrinh[[Mã Chương trình]:[Tỷ lệ CK]],COUNTA(Table_ChuongTrinh[[#Headers],[Mã Chương trình]:[Tỷ lệ CK]]),0)),
VLOOKUP(AB3,Table_ChuongTrinh[[Mã Chương trình]:[Giá trị CK]],COUNTA(Table_ChuongTrinh[[#Headers],[Mã Chương trình]:[Giá trị CK]]),0),Z3*Q3*AC3),0))</f>
        <v>#DIV/0!</v>
      </c>
      <c r="AE3" s="48">
        <f>IF(ISBLANK(X3),0,
IF(O3 = "Xuất",Z3*Q3-AD3,-Z3*Q3+AD3))</f>
        <v>0</v>
      </c>
      <c r="AF3" s="48">
        <f xml:space="preserve">
IF(X3="", 0,
IFERROR(
VLOOKUP(B3,Table_SKU[[Mã SKU]:[Tỷ suất VAT]],COUNTA(Table_SKU[[#Headers],[Mã SKU]:[Tỷ suất VAT]]),0),0)*AE3)</f>
        <v>0</v>
      </c>
      <c r="AG3" s="226">
        <f>IFERROR(VLOOKUP(X3,Table_DonBan[[Mã Đơn bán]:[Add]],COUNTA(Table_DonBan[[#Headers],[Mã Đơn bán]:[Mã NV]]),0),0)</f>
        <v>0</v>
      </c>
      <c r="AH3" s="66" cm="1">
        <f t="array" ref="AH3">IF(ISBLANK(X3),0,
IFERROR(
IFERROR(
IFERROR(
MAX(_xlfn._xlws.FILTER(Table_HoaHong[Tỷ lệ],
(Table_HoaHong[Đối tượng] = "Nhân viên") *
(NOT(ISBLANK(Table_HoaHong[SKU] )))*
(Table_HoaHong[SKU] = B3) *
(NOT(ISBLANK(Table_HoaHong[Mã Nhân viên] )))*
(Table_HoaHong[Mã Nhân viên] = AG3)
)),
MAX(_xlfn._xlws.FILTER(Table_HoaHong[Tỷ lệ],
(Table_HoaHong[Đối tượng] = "Nhân viên") *
(NOT(ISBLANK(Table_HoaHong[SKU] )))*
(Table_HoaHong[SKU] = B3) *
(ISBLANK(Table_HoaHong[Mã Nhân viên] ))
))),
MAX(_xlfn._xlws.FILTER(Table_HoaHong[Tỷ lệ],
(Table_HoaHong[Đối tượng] = "Nhân viên") *
(ISBLANK(Table_HoaHong[SKU] ))*
(NOT(ISBLANK(Table_HoaHong[Mã Nhân viên] )))*
(Table_HoaHong[Mã Nhân viên] = AG3)
))
),0))</f>
        <v>0</v>
      </c>
      <c r="AI3" s="48">
        <f>IFERROR(AH3*AE3,"")</f>
        <v>0</v>
      </c>
      <c r="AJ3" s="48">
        <f>IFERROR(VLOOKUP(X3,Table_DonBan[[Mã Đơn bán]:[Add]],COUNTA(Table_DonBan[[#Headers],[Mã Đơn bán]:[Kênh]]),0),0)</f>
        <v>0</v>
      </c>
      <c r="AK3" s="64" cm="1">
        <f t="array" ref="AK3">IF(ISBLANK(X3),0,
IFERROR(
IFERROR(
IFERROR(
MAX(_xlfn._xlws.FILTER(Table_HoaHong[Tỷ lệ],
(Table_HoaHong[Đối tượng] = "Kênh") *
(NOT(ISBLANK(Table_HoaHong[SKU] )))*
(Table_HoaHong[SKU] = B3) *
(NOT(ISBLANK(Table_HoaHong[Mã Kênh] )))*
(Table_HoaHong[Mã Kênh] =AJ3)
)),
MAX(_xlfn._xlws.FILTER(Table_HoaHong[Tỷ lệ],
(Table_HoaHong[Đối tượng] = "Kênh") *
(NOT(ISBLANK(Table_HoaHong[SKU] )))*
(Table_HoaHong[SKU] = B3) *
(ISBLANK(Table_HoaHong[Mã Kênh] ))
))),
MAX(_xlfn._xlws.FILTER(Table_HoaHong[Tỷ lệ],
(Table_HoaHong[Đối tượng] = "Kênh") *
(ISBLANK(Table_HoaHong[SKU] ))*
(NOT(ISBLANK(Table_HoaHong[Mã Kênh] )))*
(Table_HoaHong[Mã Kênh] = AJ3)
))
),0))</f>
        <v>0</v>
      </c>
      <c r="AL3" s="48">
        <f>IFERROR(AE3*AK3,"")</f>
        <v>0</v>
      </c>
      <c r="AM3" s="236"/>
      <c r="AN3" s="232"/>
      <c r="AO3" s="21">
        <f>AP3*AQ3*AR3*AS3*AT3*AU3</f>
        <v>1</v>
      </c>
      <c r="AP3" s="21">
        <f xml:space="preserve">
IF(ISBLANK( $AB$3),1,
IF(VLOOKUP( $AB$3,Table_ChuongTrinh[[Mã Chương trình]:[Đối tượng CK]],Sheet_ChuongTrinh!$C$1,0) = "Sản phẩm",1,0))</f>
        <v>1</v>
      </c>
      <c r="AQ3" s="21">
        <f>IF(ISBLANK( $AB$3),
1,
IF(ISBLANK(VLOOKUP( $AB$3,Table_ChuongTrinh[],Sheet_ChuongTrinh!$E$1,0)),
1,
IF($L$3  &gt;= VLOOKUP( $AB$3,Table_ChuongTrinh[],Sheet_ChuongTrinh!$E$1,0),1,
0)))
*IF(ISBLANK( $AB$3),
1,
IF(ISBLANK(VLOOKUP( $AB$3,Table_ChuongTrinh[],Sheet_ChuongTrinh!$F$1,0)),
1,
IF($L$3  &lt; VLOOKUP( $AB$3,Table_ChuongTrinh[],Sheet_ChuongTrinh!$F$1,0),
1,
0)))</f>
        <v>1</v>
      </c>
      <c r="AR3" s="21">
        <f>IF(ISBLANK( $AB$3),
1,
IF(ISBLANK(VLOOKUP( $AB$3,Table_ChuongTrinh[],Sheet_ChuongTrinh!$J$1,0)),
1,
IF(AE3&gt;= VLOOKUP( $AB$3,Table_ChuongTrinh[],Sheet_ChuongTrinh!$J$1,0),
1,
0)))</f>
        <v>1</v>
      </c>
      <c r="AS3" s="21">
        <f>IF(ISBLANK( $AB$3),
1,
IF(ISBLANK(VLOOKUP( $AB$3,Table_ChuongTrinh[],Sheet_ChuongTrinh!$I$1,0)),
1,
IF(COUNTIF(Table_Main[Chương trình], $AB$3)+1
&lt;= VLOOKUP( $AB$3,Table_ChuongTrinh[],Sheet_ChuongTrinh!$I$1,0),
1,
0)))</f>
        <v>1</v>
      </c>
      <c r="AT3" s="21">
        <f>IF(ISBLANK( $AB$3), 1,
IF(ISBLANK(VLOOKUP( $AB$3,Table_ChuongTrinh[],COUNTA(Table_ChuongTrinh[[#Headers],[Mã Chương trình]:[Sinh nhật]]),0)), 1,
IF(VLOOKUP( $AB$3,Table_ChuongTrinh[],COUNTA(Table_ChuongTrinh[[#Headers],[Mã Chương trình]:[Sinh nhật]]),0) = "Ngày sinh",
IF( AND(
DAY(VLOOKUP( $Y$3, Table_KhachHang[], COUNTA(Table_KhachHang[[#Headers],[Mã KH]:[Ngày sinh]]),0)) = DAY($L$3),
MONTH(VLOOKUP( $Y$3, Table_KhachHang[], COUNTA(Table_KhachHang[[#Headers],[Mã KH]:[Ngày sinh]]),0)) = MONTH(  $L$3)
),1,0),
IF(MONTH(VLOOKUP( $Y$3, Table_KhachHang[], COUNTA(Table_KhachHang[[#Headers],[Mã KH]:[Ngày sinh]]),0)) = MONTH(  $L$3),1,0)
)))</f>
        <v>1</v>
      </c>
      <c r="AU3" s="21" cm="1">
        <f t="array" ref="AU3">IF(ISBLANK( $AB$3), 1,
IF(ISBLANK(VLOOKUP( $AB$3,Table_ChuongTrinh[],COUNTA(Table_ChuongTrinh[[#Headers],[Mã Chương trình]:[Ngày mua cuối]]),0)), 1,
IF(VLOOKUP( $AB$3,Table_ChuongTrinh[],COUNTA(Table_ChuongTrinh[[#Headers],[Mã Chương trình]:[Ngày mua cuối]]),0)&lt;=
IFERROR($L$3  -
MAX(_xlfn._xlws.FILTER(Table_DonBan[Ngày lập],
(Table_DonBan[Mã Khách] = $Y$3 )*
(Table_DonBan[Ngày lập] &lt;= $L$3 )
)),0),1,0)))</f>
        <v>1</v>
      </c>
    </row>
    <row r="4" spans="1:47" ht="18" customHeight="1" x14ac:dyDescent="0.3">
      <c r="B4" s="46" t="s">
        <v>31</v>
      </c>
      <c r="C4" s="46" t="s">
        <v>679</v>
      </c>
      <c r="D4" s="46" t="s">
        <v>886</v>
      </c>
      <c r="E4" s="46" t="s">
        <v>1021</v>
      </c>
      <c r="F4" s="46" t="s">
        <v>1022</v>
      </c>
      <c r="G4" s="46" t="s">
        <v>1023</v>
      </c>
      <c r="H4" s="46" t="s">
        <v>1024</v>
      </c>
      <c r="I4" s="46" t="s">
        <v>1025</v>
      </c>
      <c r="J4" s="46" t="s">
        <v>1026</v>
      </c>
      <c r="K4" s="46" t="s">
        <v>680</v>
      </c>
      <c r="L4" s="46" t="s">
        <v>548</v>
      </c>
      <c r="M4" s="46" t="s">
        <v>681</v>
      </c>
      <c r="N4" s="46" t="s">
        <v>1249</v>
      </c>
      <c r="O4" s="46" t="s">
        <v>32</v>
      </c>
      <c r="P4" s="46" t="s">
        <v>583</v>
      </c>
      <c r="Q4" s="46" t="s">
        <v>30</v>
      </c>
      <c r="R4" s="46" t="s">
        <v>682</v>
      </c>
      <c r="S4" s="46" t="s">
        <v>1245</v>
      </c>
      <c r="T4" s="46" t="s">
        <v>683</v>
      </c>
      <c r="U4" s="46" t="s">
        <v>684</v>
      </c>
      <c r="V4" s="46" t="s">
        <v>685</v>
      </c>
      <c r="W4" s="46" t="s">
        <v>686</v>
      </c>
      <c r="X4" s="46" t="s">
        <v>687</v>
      </c>
      <c r="Y4" s="46" t="s">
        <v>173</v>
      </c>
      <c r="Z4" s="46" t="s">
        <v>688</v>
      </c>
      <c r="AA4" s="46" t="s">
        <v>689</v>
      </c>
      <c r="AB4" s="46" t="s">
        <v>237</v>
      </c>
      <c r="AC4" s="46" t="s">
        <v>690</v>
      </c>
      <c r="AD4" s="46" t="s">
        <v>691</v>
      </c>
      <c r="AE4" s="46" t="s">
        <v>692</v>
      </c>
      <c r="AF4" s="46" t="s">
        <v>693</v>
      </c>
      <c r="AG4" s="46" t="s">
        <v>694</v>
      </c>
      <c r="AH4" s="46" t="s">
        <v>695</v>
      </c>
      <c r="AI4" s="46" t="s">
        <v>141</v>
      </c>
      <c r="AJ4" s="46" t="s">
        <v>38</v>
      </c>
      <c r="AK4" s="46" t="s">
        <v>740</v>
      </c>
      <c r="AL4" s="46" t="s">
        <v>887</v>
      </c>
      <c r="AM4" s="46" t="s">
        <v>696</v>
      </c>
      <c r="AN4" s="46" t="s">
        <v>883</v>
      </c>
      <c r="AO4" s="7" t="s">
        <v>729</v>
      </c>
      <c r="AP4" s="7" t="s">
        <v>730</v>
      </c>
      <c r="AQ4" s="7" t="s">
        <v>731</v>
      </c>
      <c r="AR4" s="7" t="s">
        <v>732</v>
      </c>
      <c r="AS4" s="7" t="s">
        <v>733</v>
      </c>
      <c r="AT4" s="46" t="s">
        <v>930</v>
      </c>
      <c r="AU4" s="46" t="s">
        <v>931</v>
      </c>
    </row>
    <row r="5" spans="1:47" ht="18" customHeight="1" x14ac:dyDescent="0.3">
      <c r="B5" s="523" t="s">
        <v>1161</v>
      </c>
      <c r="C5" s="523"/>
      <c r="D5" s="537" t="str">
        <f>IF(ISBLANK(Table_Main[[#This Row],[Mã SKU]]),Table_Main[[#This Row],[Mã Nguyên liệu]],Table_Main[[#This Row],[Mã SKU]])</f>
        <v>TP2</v>
      </c>
      <c r="E5" s="420" cm="1">
        <f t="array" ref="E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v>
      </c>
      <c r="F5" s="420" cm="1">
        <f t="array" ref="F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5" s="420" cm="1">
        <f t="array" ref="G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 s="420" cm="1">
        <f t="array" ref="H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 s="420">
        <f>IFERROR(Table_Main[[#This Row],[Giá trị tồn đầu ngày]]/Table_Main[[#This Row],[Tồn kho đầu ngày]],0)</f>
        <v>0</v>
      </c>
      <c r="J5" s="420">
        <f>IFERROR(Table_Main[[#This Row],[Giá trị tồn cuối ngày]]/Table_Main[[#This Row],[Tồn kho cuối ngày]],0)</f>
        <v>0</v>
      </c>
      <c r="K5" s="415">
        <v>45808</v>
      </c>
      <c r="L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 s="29">
        <f>IFERROR(MONTH(Table_Main[[#This Row],[Ngày lên đơn]]),0)</f>
        <v>1</v>
      </c>
      <c r="N5" s="51" t="str">
        <f>IF(Table_Main[[#This Row],[Ngày lên đơn]]=0,"",Table_Main[[#This Row],[Ngày xuất nhập]]-Table_Main[[#This Row],[Ngày lên đơn]])</f>
        <v/>
      </c>
      <c r="O5" s="230" t="s">
        <v>1164</v>
      </c>
      <c r="P5" s="230" t="s">
        <v>1165</v>
      </c>
      <c r="Q5" s="408">
        <v>23</v>
      </c>
      <c r="R5" s="523"/>
      <c r="S5" s="537">
        <f>IFERROR(VLOOKUP(Table_Main[[#This Row],[Đơn Mua]],Table_DonMua[[Mã Đơn mua]:[Add]],COUNTA(Table_DonMua[[#Headers],[Mã Đơn mua]:[Mã Đối tác]]),0),0)</f>
        <v>0</v>
      </c>
      <c r="T5" s="409"/>
      <c r="U5" s="48">
        <f xml:space="preserve">
IF(NOT(ISBLANK(Table_Main[[#This Row],[Đơn Mua]])),Table_Main[[#This Row],[Số lượng]]*Table_Main[[#This Row],[Giá nhập]],Table_Main[[#This Row],[Số lượng]]*Table_Main[[#This Row],[Giá trị bình quân đầu ngày]])</f>
        <v>0</v>
      </c>
      <c r="V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 s="48">
        <f>IF(Table_Main[[#This Row],[Đơn Mua]]="", 0,IFERROR(Table_Main[[#This Row],[Tỷ suất VAT khấu trừ]]*(Table_Main[[#This Row],[Giá trị hàng nhập]]/(1+Table_Main[[#This Row],[Tỷ suất VAT khấu trừ]])),0))</f>
        <v>0</v>
      </c>
      <c r="X5" s="523"/>
      <c r="Y5" s="28">
        <f>IFERROR(VLOOKUP(Table_Main[[#This Row],[Đơn bán]],Table_DonBan[[Mã Đơn bán]:[Add]],COUNTA(Table_DonBan[[#Headers],[Mã Đơn bán]:[Mã Khách]]),0),0)</f>
        <v>0</v>
      </c>
      <c r="Z5" s="48">
        <f>IF(ISBLANK(Table_Main[[#This Row],[Đơn bán]]),0,
VLOOKUP(Table_Main[[#This Row],[Mã SKU]],Table_SKU[[Mã SKU]:[Giá bán]],COUNTA(Table_SKU[[#Headers],[Mã SKU]:[Giá bán]]),0))</f>
        <v>0</v>
      </c>
      <c r="AA5" s="48">
        <f>IF(ISBLANK(Table_Main[[#This Row],[Đơn bán]]),0,
IF(Table_Main[[#This Row],[Loại]] = "Xuất",Table_Main[[#This Row],[Giá bán niêm yết]]*Table_Main[[#This Row],[Số lượng]],-Table_Main[[#This Row],[Giá bán niêm yết]]*Table_Main[[#This Row],[Số lượng]]))</f>
        <v>0</v>
      </c>
      <c r="AB5" s="230"/>
      <c r="AC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 s="48">
        <f xml:space="preserve">
IF(Table_Main[[#This Row],[Đơn bán]]="", 0,
IFERROR(
VLOOKUP(Table_Main[[#This Row],[Mã SKU]],Table_SKU[[Mã SKU]:[Tỷ suất VAT]],COUNTA(Table_SKU[[#Headers],[Mã SKU]:[Tỷ suất VAT]]),0),0)*Table_Main[[#This Row],[Giá trị bán trước VAT]])</f>
        <v>0</v>
      </c>
      <c r="AG5" s="51">
        <f>IFERROR(VLOOKUP(Table_Main[[#This Row],[Đơn bán]],Table_DonBan[[Mã Đơn bán]:[Add]],COUNTA(Table_DonBan[[#Headers],[Mã Đơn bán]:[Mã NV]]),0),0)</f>
        <v>0</v>
      </c>
      <c r="AH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 s="48">
        <f>IFERROR(Table_Main[[#This Row],[Giá trị bán trước VAT]]*Table_Main[[#This Row],[Tỷ lệ hoa hồng]],"")</f>
        <v>0</v>
      </c>
      <c r="AJ5" s="48">
        <f>IFERROR(VLOOKUP(Table_Main[[#This Row],[Đơn bán]],Table_DonBan[[Mã Đơn bán]:[Add]],COUNTA(Table_DonBan[[#Headers],[Mã Đơn bán]:[Kênh]]),0),0)</f>
        <v>0</v>
      </c>
      <c r="AK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 s="48">
        <f>IFERROR(Table_Main[[#This Row],[Giá trị bán trước VAT]]*Table_Main[[#This Row],[Tỷ lệ CK kênh]],"")</f>
        <v>0</v>
      </c>
      <c r="AM5" s="230"/>
      <c r="AN5" s="232"/>
      <c r="AO5" s="226">
        <f>Table_Main[[#This Row],[ĐK - Phân loại]]*Table_Main[[#This Row],[ĐK - Thời gian]]*Table_Main[[#This Row],[ĐK - Giá trị]]*Table_Main[[#This Row],[ĐK - Số lượng]]*Table_Main[[#This Row],[ĐK - Sinh nhật]]*Table_Main[[#This Row],[ĐK - Ngày mua cuối]]</f>
        <v>1</v>
      </c>
      <c r="AP5" s="226">
        <f xml:space="preserve">
IF(ISBLANK(Table_Main[[#This Row],[Chương trình]]),1,
IF(VLOOKUP(Table_Main[[#This Row],[Chương trình]],Table_ChuongTrinh[[Mã Chương trình]:[Đối tượng CK]],Sheet_ChuongTrinh!$C$1,0) = "Sản phẩm",1,0))</f>
        <v>1</v>
      </c>
      <c r="AQ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 spans="1:47" ht="18" customHeight="1" x14ac:dyDescent="0.3">
      <c r="B6" s="523" t="s">
        <v>1160</v>
      </c>
      <c r="C6" s="523"/>
      <c r="D6" s="537" t="str">
        <f>IF(ISBLANK(Table_Main[[#This Row],[Mã SKU]]),Table_Main[[#This Row],[Mã Nguyên liệu]],Table_Main[[#This Row],[Mã SKU]])</f>
        <v>TP1</v>
      </c>
      <c r="E6" s="420" cm="1">
        <f t="array" ref="E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85</v>
      </c>
      <c r="F6" s="420" cm="1">
        <f t="array" ref="F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 s="420" cm="1">
        <f t="array" ref="G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 s="420" cm="1">
        <f t="array" ref="H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 s="420">
        <f>IFERROR(Table_Main[[#This Row],[Giá trị tồn đầu ngày]]/Table_Main[[#This Row],[Tồn kho đầu ngày]],0)</f>
        <v>0</v>
      </c>
      <c r="J6" s="420">
        <f>IFERROR(Table_Main[[#This Row],[Giá trị tồn cuối ngày]]/Table_Main[[#This Row],[Tồn kho cuối ngày]],0)</f>
        <v>0</v>
      </c>
      <c r="K6" s="415">
        <v>45808</v>
      </c>
      <c r="L6" s="47">
        <f xml:space="preserve">
IFERROR(
IFERROR(
VLOOKUP(Table_Main[[#This Row],[Đơn Mua]],Table_DonMua[[Mã Đơn mua]:[Add]],COUNTA(Table_DonMua[[#Headers],[Mã Đơn mua]:[Ngày lập]]),0),
VLOOKUP(Table_Main[[#This Row],[Đơn bán]],Table_DonBan[[Mã Đơn bán]:[Add]], COUNTA(Table_DonBan[[#Headers],[Mã Đơn bán]:[Ngày lập]]),0)),0)</f>
        <v>45808</v>
      </c>
      <c r="M6" s="29">
        <f>IFERROR(MONTH(Table_Main[[#This Row],[Ngày lên đơn]]),0)</f>
        <v>5</v>
      </c>
      <c r="N6" s="51">
        <f>IF(Table_Main[[#This Row],[Ngày lên đơn]]=0,"",Table_Main[[#This Row],[Ngày xuất nhập]]-Table_Main[[#This Row],[Ngày lên đơn]])</f>
        <v>0</v>
      </c>
      <c r="O6" s="230" t="s">
        <v>53</v>
      </c>
      <c r="P6" s="230" t="s">
        <v>1165</v>
      </c>
      <c r="Q6" s="408">
        <v>19</v>
      </c>
      <c r="R6" s="523"/>
      <c r="S6" s="537">
        <f>IFERROR(VLOOKUP(Table_Main[[#This Row],[Đơn Mua]],Table_DonMua[[Mã Đơn mua]:[Add]],COUNTA(Table_DonMua[[#Headers],[Mã Đơn mua]:[Mã Đối tác]]),0),0)</f>
        <v>0</v>
      </c>
      <c r="T6" s="409"/>
      <c r="U6" s="48">
        <f xml:space="preserve">
IF(NOT(ISBLANK(Table_Main[[#This Row],[Đơn Mua]])),Table_Main[[#This Row],[Số lượng]]*Table_Main[[#This Row],[Giá nhập]],Table_Main[[#This Row],[Số lượng]]*Table_Main[[#This Row],[Giá trị bình quân đầu ngày]])</f>
        <v>0</v>
      </c>
      <c r="V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 s="48">
        <f>IF(Table_Main[[#This Row],[Đơn Mua]]="", 0,IFERROR(Table_Main[[#This Row],[Tỷ suất VAT khấu trừ]]*(Table_Main[[#This Row],[Giá trị hàng nhập]]/(1+Table_Main[[#This Row],[Tỷ suất VAT khấu trừ]])),0))</f>
        <v>0</v>
      </c>
      <c r="X6" s="523" t="s">
        <v>1231</v>
      </c>
      <c r="Y6" s="28" t="str">
        <f>IFERROR(VLOOKUP(Table_Main[[#This Row],[Đơn bán]],Table_DonBan[[Mã Đơn bán]:[Add]],COUNTA(Table_DonBan[[#Headers],[Mã Đơn bán]:[Mã Khách]]),0),0)</f>
        <v>KH3</v>
      </c>
      <c r="Z6" s="48">
        <f>IF(ISBLANK(Table_Main[[#This Row],[Đơn bán]]),0,
VLOOKUP(Table_Main[[#This Row],[Mã SKU]],Table_SKU[[Mã SKU]:[Giá bán]],COUNTA(Table_SKU[[#Headers],[Mã SKU]:[Giá bán]]),0))</f>
        <v>300000</v>
      </c>
      <c r="AA6" s="48">
        <f>IF(ISBLANK(Table_Main[[#This Row],[Đơn bán]]),0,
IF(Table_Main[[#This Row],[Loại]] = "Xuất",Table_Main[[#This Row],[Giá bán niêm yết]]*Table_Main[[#This Row],[Số lượng]],-Table_Main[[#This Row],[Giá bán niêm yết]]*Table_Main[[#This Row],[Số lượng]]))</f>
        <v>5700000</v>
      </c>
      <c r="AB6" s="230"/>
      <c r="AC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5700000</v>
      </c>
      <c r="AF6" s="48">
        <f xml:space="preserve">
IF(Table_Main[[#This Row],[Đơn bán]]="", 0,
IFERROR(
VLOOKUP(Table_Main[[#This Row],[Mã SKU]],Table_SKU[[Mã SKU]:[Tỷ suất VAT]],COUNTA(Table_SKU[[#Headers],[Mã SKU]:[Tỷ suất VAT]]),0),0)*Table_Main[[#This Row],[Giá trị bán trước VAT]])</f>
        <v>0</v>
      </c>
      <c r="AG6" s="51">
        <f>IFERROR(VLOOKUP(Table_Main[[#This Row],[Đơn bán]],Table_DonBan[[Mã Đơn bán]:[Add]],COUNTA(Table_DonBan[[#Headers],[Mã Đơn bán]:[Mã NV]]),0),0)</f>
        <v>0</v>
      </c>
      <c r="AH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 s="48">
        <f>IFERROR(Table_Main[[#This Row],[Giá trị bán trước VAT]]*Table_Main[[#This Row],[Tỷ lệ hoa hồng]],"")</f>
        <v>0</v>
      </c>
      <c r="AJ6" s="48">
        <f>IFERROR(VLOOKUP(Table_Main[[#This Row],[Đơn bán]],Table_DonBan[[Mã Đơn bán]:[Add]],COUNTA(Table_DonBan[[#Headers],[Mã Đơn bán]:[Kênh]]),0),0)</f>
        <v>0</v>
      </c>
      <c r="AK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 s="48">
        <f>IFERROR(Table_Main[[#This Row],[Giá trị bán trước VAT]]*Table_Main[[#This Row],[Tỷ lệ CK kênh]],"")</f>
        <v>0</v>
      </c>
      <c r="AM6" s="230"/>
      <c r="AN6" s="232"/>
      <c r="AO6" s="226">
        <f>Table_Main[[#This Row],[ĐK - Phân loại]]*Table_Main[[#This Row],[ĐK - Thời gian]]*Table_Main[[#This Row],[ĐK - Giá trị]]*Table_Main[[#This Row],[ĐK - Số lượng]]*Table_Main[[#This Row],[ĐK - Sinh nhật]]*Table_Main[[#This Row],[ĐK - Ngày mua cuối]]</f>
        <v>1</v>
      </c>
      <c r="AP6" s="226">
        <f xml:space="preserve">
IF(ISBLANK(Table_Main[[#This Row],[Chương trình]]),1,
IF(VLOOKUP(Table_Main[[#This Row],[Chương trình]],Table_ChuongTrinh[[Mã Chương trình]:[Đối tượng CK]],Sheet_ChuongTrinh!$C$1,0) = "Sản phẩm",1,0))</f>
        <v>1</v>
      </c>
      <c r="AQ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 spans="1:47" ht="18" customHeight="1" x14ac:dyDescent="0.3">
      <c r="B7" s="530"/>
      <c r="C7" s="239" t="s">
        <v>1163</v>
      </c>
      <c r="D7" s="538" t="str">
        <f>IF(ISBLANK(Table_Main[[#This Row],[Mã SKU]]),Table_Main[[#This Row],[Mã Nguyên liệu]],Table_Main[[#This Row],[Mã SKU]])</f>
        <v>NL1</v>
      </c>
      <c r="E7" s="420" cm="1">
        <f t="array" ref="E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176</v>
      </c>
      <c r="F7" s="420" cm="1">
        <f t="array" ref="F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169</v>
      </c>
      <c r="G7" s="420" cm="1">
        <f t="array" ref="G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18693607.469611529</v>
      </c>
      <c r="H7" s="420" cm="1">
        <f t="array" ref="H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17950111.717979252</v>
      </c>
      <c r="I7" s="420">
        <f>IFERROR(Table_Main[[#This Row],[Giá trị tồn đầu ngày]]/Table_Main[[#This Row],[Tồn kho đầu ngày]],0)</f>
        <v>106213.67880461096</v>
      </c>
      <c r="J7" s="420">
        <f>IFERROR(Table_Main[[#This Row],[Giá trị tồn cuối ngày]]/Table_Main[[#This Row],[Tồn kho cuối ngày]],0)</f>
        <v>106213.67880461096</v>
      </c>
      <c r="K7" s="415">
        <v>45807</v>
      </c>
      <c r="L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 s="29">
        <f>IFERROR(MONTH(Table_Main[[#This Row],[Ngày lên đơn]]),0)</f>
        <v>1</v>
      </c>
      <c r="N7" s="51" t="str">
        <f>IF(Table_Main[[#This Row],[Ngày lên đơn]]=0,"",Table_Main[[#This Row],[Ngày xuất nhập]]-Table_Main[[#This Row],[Ngày lên đơn]])</f>
        <v/>
      </c>
      <c r="O7" s="230" t="s">
        <v>53</v>
      </c>
      <c r="P7" s="230" t="s">
        <v>1165</v>
      </c>
      <c r="Q7" s="408">
        <v>7</v>
      </c>
      <c r="R7" s="523"/>
      <c r="S7" s="537">
        <f>IFERROR(VLOOKUP(Table_Main[[#This Row],[Đơn Mua]],Table_DonMua[[Mã Đơn mua]:[Add]],COUNTA(Table_DonMua[[#Headers],[Mã Đơn mua]:[Mã Đối tác]]),0),0)</f>
        <v>0</v>
      </c>
      <c r="T7" s="409"/>
      <c r="U7" s="48">
        <f xml:space="preserve">
IF(NOT(ISBLANK(Table_Main[[#This Row],[Đơn Mua]])),Table_Main[[#This Row],[Số lượng]]*Table_Main[[#This Row],[Giá nhập]],Table_Main[[#This Row],[Số lượng]]*Table_Main[[#This Row],[Giá trị bình quân đầu ngày]])</f>
        <v>743495.75163227669</v>
      </c>
      <c r="V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 s="48">
        <f>IF(Table_Main[[#This Row],[Đơn Mua]]="", 0,IFERROR(Table_Main[[#This Row],[Tỷ suất VAT khấu trừ]]*(Table_Main[[#This Row],[Giá trị hàng nhập]]/(1+Table_Main[[#This Row],[Tỷ suất VAT khấu trừ]])),0))</f>
        <v>0</v>
      </c>
      <c r="X7" s="523"/>
      <c r="Y7" s="28">
        <f>IFERROR(VLOOKUP(Table_Main[[#This Row],[Đơn bán]],Table_DonBan[[Mã Đơn bán]:[Add]],COUNTA(Table_DonBan[[#Headers],[Mã Đơn bán]:[Mã Khách]]),0),0)</f>
        <v>0</v>
      </c>
      <c r="Z7" s="48">
        <f>IF(ISBLANK(Table_Main[[#This Row],[Đơn bán]]),0,
VLOOKUP(Table_Main[[#This Row],[Mã SKU]],Table_SKU[[Mã SKU]:[Giá bán]],COUNTA(Table_SKU[[#Headers],[Mã SKU]:[Giá bán]]),0))</f>
        <v>0</v>
      </c>
      <c r="AA7" s="48">
        <f>IF(ISBLANK(Table_Main[[#This Row],[Đơn bán]]),0,
IF(Table_Main[[#This Row],[Loại]] = "Xuất",Table_Main[[#This Row],[Giá bán niêm yết]]*Table_Main[[#This Row],[Số lượng]],-Table_Main[[#This Row],[Giá bán niêm yết]]*Table_Main[[#This Row],[Số lượng]]))</f>
        <v>0</v>
      </c>
      <c r="AB7" s="230"/>
      <c r="AC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 s="48">
        <f xml:space="preserve">
IF(Table_Main[[#This Row],[Đơn bán]]="", 0,
IFERROR(
VLOOKUP(Table_Main[[#This Row],[Mã SKU]],Table_SKU[[Mã SKU]:[Tỷ suất VAT]],COUNTA(Table_SKU[[#Headers],[Mã SKU]:[Tỷ suất VAT]]),0),0)*Table_Main[[#This Row],[Giá trị bán trước VAT]])</f>
        <v>0</v>
      </c>
      <c r="AG7" s="51">
        <f>IFERROR(VLOOKUP(Table_Main[[#This Row],[Đơn bán]],Table_DonBan[[Mã Đơn bán]:[Add]],COUNTA(Table_DonBan[[#Headers],[Mã Đơn bán]:[Mã NV]]),0),0)</f>
        <v>0</v>
      </c>
      <c r="AH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 s="48">
        <f>IFERROR(Table_Main[[#This Row],[Giá trị bán trước VAT]]*Table_Main[[#This Row],[Tỷ lệ hoa hồng]],"")</f>
        <v>0</v>
      </c>
      <c r="AJ7" s="48">
        <f>IFERROR(VLOOKUP(Table_Main[[#This Row],[Đơn bán]],Table_DonBan[[Mã Đơn bán]:[Add]],COUNTA(Table_DonBan[[#Headers],[Mã Đơn bán]:[Kênh]]),0),0)</f>
        <v>0</v>
      </c>
      <c r="AK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 s="48">
        <f>IFERROR(Table_Main[[#This Row],[Giá trị bán trước VAT]]*Table_Main[[#This Row],[Tỷ lệ CK kênh]],"")</f>
        <v>0</v>
      </c>
      <c r="AM7" s="230"/>
      <c r="AN7" s="232"/>
      <c r="AO7" s="226">
        <f>Table_Main[[#This Row],[ĐK - Phân loại]]*Table_Main[[#This Row],[ĐK - Thời gian]]*Table_Main[[#This Row],[ĐK - Giá trị]]*Table_Main[[#This Row],[ĐK - Số lượng]]*Table_Main[[#This Row],[ĐK - Sinh nhật]]*Table_Main[[#This Row],[ĐK - Ngày mua cuối]]</f>
        <v>1</v>
      </c>
      <c r="AP7" s="226">
        <f xml:space="preserve">
IF(ISBLANK(Table_Main[[#This Row],[Chương trình]]),1,
IF(VLOOKUP(Table_Main[[#This Row],[Chương trình]],Table_ChuongTrinh[[Mã Chương trình]:[Đối tượng CK]],Sheet_ChuongTrinh!$C$1,0) = "Sản phẩm",1,0))</f>
        <v>1</v>
      </c>
      <c r="AQ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 spans="1:47" ht="18" customHeight="1" x14ac:dyDescent="0.3">
      <c r="B8" s="523" t="s">
        <v>1160</v>
      </c>
      <c r="C8" s="523"/>
      <c r="D8" s="537" t="str">
        <f>IF(ISBLANK(Table_Main[[#This Row],[Mã SKU]]),Table_Main[[#This Row],[Mã Nguyên liệu]],Table_Main[[#This Row],[Mã SKU]])</f>
        <v>TP1</v>
      </c>
      <c r="E8" s="420" cm="1">
        <f t="array" ref="E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8" s="420" cm="1">
        <f t="array" ref="F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85</v>
      </c>
      <c r="G8" s="420" cm="1">
        <f t="array" ref="G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 s="420" cm="1">
        <f t="array" ref="H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 s="420">
        <f>IFERROR(Table_Main[[#This Row],[Giá trị tồn đầu ngày]]/Table_Main[[#This Row],[Tồn kho đầu ngày]],0)</f>
        <v>0</v>
      </c>
      <c r="J8" s="420">
        <f>IFERROR(Table_Main[[#This Row],[Giá trị tồn cuối ngày]]/Table_Main[[#This Row],[Tồn kho cuối ngày]],0)</f>
        <v>0</v>
      </c>
      <c r="K8" s="415">
        <v>45806</v>
      </c>
      <c r="L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 s="29">
        <f>IFERROR(MONTH(Table_Main[[#This Row],[Ngày lên đơn]]),0)</f>
        <v>1</v>
      </c>
      <c r="N8" s="51" t="str">
        <f>IF(Table_Main[[#This Row],[Ngày lên đơn]]=0,"",Table_Main[[#This Row],[Ngày xuất nhập]]-Table_Main[[#This Row],[Ngày lên đơn]])</f>
        <v/>
      </c>
      <c r="O8" s="230" t="s">
        <v>1164</v>
      </c>
      <c r="P8" s="230" t="s">
        <v>1165</v>
      </c>
      <c r="Q8" s="408">
        <v>6</v>
      </c>
      <c r="R8" s="523"/>
      <c r="S8" s="537">
        <f>IFERROR(VLOOKUP(Table_Main[[#This Row],[Đơn Mua]],Table_DonMua[[Mã Đơn mua]:[Add]],COUNTA(Table_DonMua[[#Headers],[Mã Đơn mua]:[Mã Đối tác]]),0),0)</f>
        <v>0</v>
      </c>
      <c r="T8" s="409"/>
      <c r="U8" s="48">
        <f xml:space="preserve">
IF(NOT(ISBLANK(Table_Main[[#This Row],[Đơn Mua]])),Table_Main[[#This Row],[Số lượng]]*Table_Main[[#This Row],[Giá nhập]],Table_Main[[#This Row],[Số lượng]]*Table_Main[[#This Row],[Giá trị bình quân đầu ngày]])</f>
        <v>0</v>
      </c>
      <c r="V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 s="48">
        <f>IF(Table_Main[[#This Row],[Đơn Mua]]="", 0,IFERROR(Table_Main[[#This Row],[Tỷ suất VAT khấu trừ]]*(Table_Main[[#This Row],[Giá trị hàng nhập]]/(1+Table_Main[[#This Row],[Tỷ suất VAT khấu trừ]])),0))</f>
        <v>0</v>
      </c>
      <c r="X8" s="523"/>
      <c r="Y8" s="28">
        <f>IFERROR(VLOOKUP(Table_Main[[#This Row],[Đơn bán]],Table_DonBan[[Mã Đơn bán]:[Add]],COUNTA(Table_DonBan[[#Headers],[Mã Đơn bán]:[Mã Khách]]),0),0)</f>
        <v>0</v>
      </c>
      <c r="Z8" s="48">
        <f>IF(ISBLANK(Table_Main[[#This Row],[Đơn bán]]),0,
VLOOKUP(Table_Main[[#This Row],[Mã SKU]],Table_SKU[[Mã SKU]:[Giá bán]],COUNTA(Table_SKU[[#Headers],[Mã SKU]:[Giá bán]]),0))</f>
        <v>0</v>
      </c>
      <c r="AA8" s="48">
        <f>IF(ISBLANK(Table_Main[[#This Row],[Đơn bán]]),0,
IF(Table_Main[[#This Row],[Loại]] = "Xuất",Table_Main[[#This Row],[Giá bán niêm yết]]*Table_Main[[#This Row],[Số lượng]],-Table_Main[[#This Row],[Giá bán niêm yết]]*Table_Main[[#This Row],[Số lượng]]))</f>
        <v>0</v>
      </c>
      <c r="AB8" s="230"/>
      <c r="AC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 s="48">
        <f xml:space="preserve">
IF(Table_Main[[#This Row],[Đơn bán]]="", 0,
IFERROR(
VLOOKUP(Table_Main[[#This Row],[Mã SKU]],Table_SKU[[Mã SKU]:[Tỷ suất VAT]],COUNTA(Table_SKU[[#Headers],[Mã SKU]:[Tỷ suất VAT]]),0),0)*Table_Main[[#This Row],[Giá trị bán trước VAT]])</f>
        <v>0</v>
      </c>
      <c r="AG8" s="51">
        <f>IFERROR(VLOOKUP(Table_Main[[#This Row],[Đơn bán]],Table_DonBan[[Mã Đơn bán]:[Add]],COUNTA(Table_DonBan[[#Headers],[Mã Đơn bán]:[Mã NV]]),0),0)</f>
        <v>0</v>
      </c>
      <c r="AH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 s="48">
        <f>IFERROR(Table_Main[[#This Row],[Giá trị bán trước VAT]]*Table_Main[[#This Row],[Tỷ lệ hoa hồng]],"")</f>
        <v>0</v>
      </c>
      <c r="AJ8" s="48">
        <f>IFERROR(VLOOKUP(Table_Main[[#This Row],[Đơn bán]],Table_DonBan[[Mã Đơn bán]:[Add]],COUNTA(Table_DonBan[[#Headers],[Mã Đơn bán]:[Kênh]]),0),0)</f>
        <v>0</v>
      </c>
      <c r="AK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 s="48">
        <f>IFERROR(Table_Main[[#This Row],[Giá trị bán trước VAT]]*Table_Main[[#This Row],[Tỷ lệ CK kênh]],"")</f>
        <v>0</v>
      </c>
      <c r="AM8" s="230"/>
      <c r="AN8" s="232"/>
      <c r="AO8" s="226">
        <f>Table_Main[[#This Row],[ĐK - Phân loại]]*Table_Main[[#This Row],[ĐK - Thời gian]]*Table_Main[[#This Row],[ĐK - Giá trị]]*Table_Main[[#This Row],[ĐK - Số lượng]]*Table_Main[[#This Row],[ĐK - Sinh nhật]]*Table_Main[[#This Row],[ĐK - Ngày mua cuối]]</f>
        <v>1</v>
      </c>
      <c r="AP8" s="226">
        <f xml:space="preserve">
IF(ISBLANK(Table_Main[[#This Row],[Chương trình]]),1,
IF(VLOOKUP(Table_Main[[#This Row],[Chương trình]],Table_ChuongTrinh[[Mã Chương trình]:[Đối tượng CK]],Sheet_ChuongTrinh!$C$1,0) = "Sản phẩm",1,0))</f>
        <v>1</v>
      </c>
      <c r="AQ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9" spans="1:47" ht="18" customHeight="1" x14ac:dyDescent="0.3">
      <c r="B9" s="530"/>
      <c r="C9" s="239" t="s">
        <v>1162</v>
      </c>
      <c r="D9" s="538" t="str">
        <f>IF(ISBLANK(Table_Main[[#This Row],[Mã SKU]]),Table_Main[[#This Row],[Mã Nguyên liệu]],Table_Main[[#This Row],[Mã SKU]])</f>
        <v>NL2</v>
      </c>
      <c r="E9" s="420" cm="1">
        <f t="array" ref="E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9" s="420" cm="1">
        <f t="array" ref="F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60</v>
      </c>
      <c r="G9" s="420" cm="1">
        <f t="array" ref="G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9523808.4343535677</v>
      </c>
      <c r="H9" s="420" cm="1">
        <f t="array" ref="H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7142856.3257651776</v>
      </c>
      <c r="I9" s="420">
        <f>IFERROR(Table_Main[[#This Row],[Giá trị tồn đầu ngày]]/Table_Main[[#This Row],[Tồn kho đầu ngày]],0)</f>
        <v>119047.60542941959</v>
      </c>
      <c r="J9" s="420">
        <f>IFERROR(Table_Main[[#This Row],[Giá trị tồn cuối ngày]]/Table_Main[[#This Row],[Tồn kho cuối ngày]],0)</f>
        <v>119047.60542941962</v>
      </c>
      <c r="K9" s="415">
        <v>45805</v>
      </c>
      <c r="L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9" s="29">
        <f>IFERROR(MONTH(Table_Main[[#This Row],[Ngày lên đơn]]),0)</f>
        <v>1</v>
      </c>
      <c r="N9" s="51" t="str">
        <f>IF(Table_Main[[#This Row],[Ngày lên đơn]]=0,"",Table_Main[[#This Row],[Ngày xuất nhập]]-Table_Main[[#This Row],[Ngày lên đơn]])</f>
        <v/>
      </c>
      <c r="O9" s="230" t="s">
        <v>53</v>
      </c>
      <c r="P9" s="230" t="s">
        <v>1165</v>
      </c>
      <c r="Q9" s="408">
        <v>20</v>
      </c>
      <c r="R9" s="523"/>
      <c r="S9" s="537">
        <f>IFERROR(VLOOKUP(Table_Main[[#This Row],[Đơn Mua]],Table_DonMua[[Mã Đơn mua]:[Add]],COUNTA(Table_DonMua[[#Headers],[Mã Đơn mua]:[Mã Đối tác]]),0),0)</f>
        <v>0</v>
      </c>
      <c r="T9" s="409"/>
      <c r="U9" s="48">
        <f xml:space="preserve">
IF(NOT(ISBLANK(Table_Main[[#This Row],[Đơn Mua]])),Table_Main[[#This Row],[Số lượng]]*Table_Main[[#This Row],[Giá nhập]],Table_Main[[#This Row],[Số lượng]]*Table_Main[[#This Row],[Giá trị bình quân đầu ngày]])</f>
        <v>2380952.1085883919</v>
      </c>
      <c r="V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9" s="48">
        <f>IF(Table_Main[[#This Row],[Đơn Mua]]="", 0,IFERROR(Table_Main[[#This Row],[Tỷ suất VAT khấu trừ]]*(Table_Main[[#This Row],[Giá trị hàng nhập]]/(1+Table_Main[[#This Row],[Tỷ suất VAT khấu trừ]])),0))</f>
        <v>0</v>
      </c>
      <c r="X9" s="523"/>
      <c r="Y9" s="28">
        <f>IFERROR(VLOOKUP(Table_Main[[#This Row],[Đơn bán]],Table_DonBan[[Mã Đơn bán]:[Add]],COUNTA(Table_DonBan[[#Headers],[Mã Đơn bán]:[Mã Khách]]),0),0)</f>
        <v>0</v>
      </c>
      <c r="Z9" s="48">
        <f>IF(ISBLANK(Table_Main[[#This Row],[Đơn bán]]),0,
VLOOKUP(Table_Main[[#This Row],[Mã SKU]],Table_SKU[[Mã SKU]:[Giá bán]],COUNTA(Table_SKU[[#Headers],[Mã SKU]:[Giá bán]]),0))</f>
        <v>0</v>
      </c>
      <c r="AA9" s="48">
        <f>IF(ISBLANK(Table_Main[[#This Row],[Đơn bán]]),0,
IF(Table_Main[[#This Row],[Loại]] = "Xuất",Table_Main[[#This Row],[Giá bán niêm yết]]*Table_Main[[#This Row],[Số lượng]],-Table_Main[[#This Row],[Giá bán niêm yết]]*Table_Main[[#This Row],[Số lượng]]))</f>
        <v>0</v>
      </c>
      <c r="AB9" s="230"/>
      <c r="AC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9" s="48">
        <f xml:space="preserve">
IF(Table_Main[[#This Row],[Đơn bán]]="", 0,
IFERROR(
VLOOKUP(Table_Main[[#This Row],[Mã SKU]],Table_SKU[[Mã SKU]:[Tỷ suất VAT]],COUNTA(Table_SKU[[#Headers],[Mã SKU]:[Tỷ suất VAT]]),0),0)*Table_Main[[#This Row],[Giá trị bán trước VAT]])</f>
        <v>0</v>
      </c>
      <c r="AG9" s="51">
        <f>IFERROR(VLOOKUP(Table_Main[[#This Row],[Đơn bán]],Table_DonBan[[Mã Đơn bán]:[Add]],COUNTA(Table_DonBan[[#Headers],[Mã Đơn bán]:[Mã NV]]),0),0)</f>
        <v>0</v>
      </c>
      <c r="AH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9" s="48">
        <f>IFERROR(Table_Main[[#This Row],[Giá trị bán trước VAT]]*Table_Main[[#This Row],[Tỷ lệ hoa hồng]],"")</f>
        <v>0</v>
      </c>
      <c r="AJ9" s="48">
        <f>IFERROR(VLOOKUP(Table_Main[[#This Row],[Đơn bán]],Table_DonBan[[Mã Đơn bán]:[Add]],COUNTA(Table_DonBan[[#Headers],[Mã Đơn bán]:[Kênh]]),0),0)</f>
        <v>0</v>
      </c>
      <c r="AK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9" s="48">
        <f>IFERROR(Table_Main[[#This Row],[Giá trị bán trước VAT]]*Table_Main[[#This Row],[Tỷ lệ CK kênh]],"")</f>
        <v>0</v>
      </c>
      <c r="AM9" s="230"/>
      <c r="AN9" s="232"/>
      <c r="AO9" s="226">
        <f>Table_Main[[#This Row],[ĐK - Phân loại]]*Table_Main[[#This Row],[ĐK - Thời gian]]*Table_Main[[#This Row],[ĐK - Giá trị]]*Table_Main[[#This Row],[ĐK - Số lượng]]*Table_Main[[#This Row],[ĐK - Sinh nhật]]*Table_Main[[#This Row],[ĐK - Ngày mua cuối]]</f>
        <v>1</v>
      </c>
      <c r="AP9" s="226">
        <f xml:space="preserve">
IF(ISBLANK(Table_Main[[#This Row],[Chương trình]]),1,
IF(VLOOKUP(Table_Main[[#This Row],[Chương trình]],Table_ChuongTrinh[[Mã Chương trình]:[Đối tượng CK]],Sheet_ChuongTrinh!$C$1,0) = "Sản phẩm",1,0))</f>
        <v>1</v>
      </c>
      <c r="AQ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0" spans="1:47" ht="18" customHeight="1" x14ac:dyDescent="0.3">
      <c r="B10" s="530"/>
      <c r="C10" s="239" t="s">
        <v>1162</v>
      </c>
      <c r="D10" s="538" t="str">
        <f>IF(ISBLANK(Table_Main[[#This Row],[Mã SKU]]),Table_Main[[#This Row],[Mã Nguyên liệu]],Table_Main[[#This Row],[Mã SKU]])</f>
        <v>NL2</v>
      </c>
      <c r="E10" s="420" cm="1">
        <f t="array" ref="E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v>
      </c>
      <c r="F10" s="420" cm="1">
        <f t="array" ref="F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10" s="420" cm="1">
        <f t="array" ref="G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7142856.3257651776</v>
      </c>
      <c r="H10" s="420" cm="1">
        <f t="array" ref="H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11334764.325765178</v>
      </c>
      <c r="I10" s="420">
        <f>IFERROR(Table_Main[[#This Row],[Giá trị tồn đầu ngày]]/Table_Main[[#This Row],[Tồn kho đầu ngày]],0)</f>
        <v>119047.60542941962</v>
      </c>
      <c r="J10" s="420">
        <f>IFERROR(Table_Main[[#This Row],[Giá trị tồn cuối ngày]]/Table_Main[[#This Row],[Tồn kho cuối ngày]],0)</f>
        <v>128804.14006551338</v>
      </c>
      <c r="K10" s="415">
        <v>45807</v>
      </c>
      <c r="L10" s="47">
        <f xml:space="preserve">
IFERROR(
IFERROR(
VLOOKUP(Table_Main[[#This Row],[Đơn Mua]],Table_DonMua[[Mã Đơn mua]:[Add]],COUNTA(Table_DonMua[[#Headers],[Mã Đơn mua]:[Ngày lập]]),0),
VLOOKUP(Table_Main[[#This Row],[Đơn bán]],Table_DonBan[[Mã Đơn bán]:[Add]], COUNTA(Table_DonBan[[#Headers],[Mã Đơn bán]:[Ngày lập]]),0)),0)</f>
        <v>45805</v>
      </c>
      <c r="M10" s="29">
        <f>IFERROR(MONTH(Table_Main[[#This Row],[Ngày lên đơn]]),0)</f>
        <v>5</v>
      </c>
      <c r="N10" s="51">
        <f>IF(Table_Main[[#This Row],[Ngày lên đơn]]=0,"",Table_Main[[#This Row],[Ngày xuất nhập]]-Table_Main[[#This Row],[Ngày lên đơn]])</f>
        <v>2</v>
      </c>
      <c r="O10" s="230" t="s">
        <v>1164</v>
      </c>
      <c r="P10" s="230" t="s">
        <v>1165</v>
      </c>
      <c r="Q10" s="408">
        <v>28</v>
      </c>
      <c r="R10" s="523" t="s">
        <v>1189</v>
      </c>
      <c r="S10" s="537" t="str">
        <f>IFERROR(VLOOKUP(Table_Main[[#This Row],[Đơn Mua]],Table_DonMua[[Mã Đơn mua]:[Add]],COUNTA(Table_DonMua[[#Headers],[Mã Đơn mua]:[Mã Đối tác]]),0),0)</f>
        <v>NCC1</v>
      </c>
      <c r="T10" s="409">
        <v>149711</v>
      </c>
      <c r="U10" s="48">
        <f xml:space="preserve">
IF(NOT(ISBLANK(Table_Main[[#This Row],[Đơn Mua]])),Table_Main[[#This Row],[Số lượng]]*Table_Main[[#This Row],[Giá nhập]],Table_Main[[#This Row],[Số lượng]]*Table_Main[[#This Row],[Giá trị bình quân đầu ngày]])</f>
        <v>4191908</v>
      </c>
      <c r="V1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0" s="48">
        <f>IF(Table_Main[[#This Row],[Đơn Mua]]="", 0,IFERROR(Table_Main[[#This Row],[Tỷ suất VAT khấu trừ]]*(Table_Main[[#This Row],[Giá trị hàng nhập]]/(1+Table_Main[[#This Row],[Tỷ suất VAT khấu trừ]])),0))</f>
        <v>0</v>
      </c>
      <c r="X10" s="523"/>
      <c r="Y10" s="28">
        <f>IFERROR(VLOOKUP(Table_Main[[#This Row],[Đơn bán]],Table_DonBan[[Mã Đơn bán]:[Add]],COUNTA(Table_DonBan[[#Headers],[Mã Đơn bán]:[Mã Khách]]),0),0)</f>
        <v>0</v>
      </c>
      <c r="Z10" s="48">
        <f>IF(ISBLANK(Table_Main[[#This Row],[Đơn bán]]),0,
VLOOKUP(Table_Main[[#This Row],[Mã SKU]],Table_SKU[[Mã SKU]:[Giá bán]],COUNTA(Table_SKU[[#Headers],[Mã SKU]:[Giá bán]]),0))</f>
        <v>0</v>
      </c>
      <c r="AA10" s="48">
        <f>IF(ISBLANK(Table_Main[[#This Row],[Đơn bán]]),0,
IF(Table_Main[[#This Row],[Loại]] = "Xuất",Table_Main[[#This Row],[Giá bán niêm yết]]*Table_Main[[#This Row],[Số lượng]],-Table_Main[[#This Row],[Giá bán niêm yết]]*Table_Main[[#This Row],[Số lượng]]))</f>
        <v>0</v>
      </c>
      <c r="AB10" s="230"/>
      <c r="AC1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0" s="48">
        <f xml:space="preserve">
IF(Table_Main[[#This Row],[Đơn bán]]="", 0,
IFERROR(
VLOOKUP(Table_Main[[#This Row],[Mã SKU]],Table_SKU[[Mã SKU]:[Tỷ suất VAT]],COUNTA(Table_SKU[[#Headers],[Mã SKU]:[Tỷ suất VAT]]),0),0)*Table_Main[[#This Row],[Giá trị bán trước VAT]])</f>
        <v>0</v>
      </c>
      <c r="AG10" s="51">
        <f>IFERROR(VLOOKUP(Table_Main[[#This Row],[Đơn bán]],Table_DonBan[[Mã Đơn bán]:[Add]],COUNTA(Table_DonBan[[#Headers],[Mã Đơn bán]:[Mã NV]]),0),0)</f>
        <v>0</v>
      </c>
      <c r="AH1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0" s="48">
        <f>IFERROR(Table_Main[[#This Row],[Giá trị bán trước VAT]]*Table_Main[[#This Row],[Tỷ lệ hoa hồng]],"")</f>
        <v>0</v>
      </c>
      <c r="AJ10" s="48">
        <f>IFERROR(VLOOKUP(Table_Main[[#This Row],[Đơn bán]],Table_DonBan[[Mã Đơn bán]:[Add]],COUNTA(Table_DonBan[[#Headers],[Mã Đơn bán]:[Kênh]]),0),0)</f>
        <v>0</v>
      </c>
      <c r="AK1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0" s="48">
        <f>IFERROR(Table_Main[[#This Row],[Giá trị bán trước VAT]]*Table_Main[[#This Row],[Tỷ lệ CK kênh]],"")</f>
        <v>0</v>
      </c>
      <c r="AM10" s="230"/>
      <c r="AN10" s="232"/>
      <c r="AO10" s="226">
        <f>Table_Main[[#This Row],[ĐK - Phân loại]]*Table_Main[[#This Row],[ĐK - Thời gian]]*Table_Main[[#This Row],[ĐK - Giá trị]]*Table_Main[[#This Row],[ĐK - Số lượng]]*Table_Main[[#This Row],[ĐK - Sinh nhật]]*Table_Main[[#This Row],[ĐK - Ngày mua cuối]]</f>
        <v>1</v>
      </c>
      <c r="AP10" s="226">
        <f xml:space="preserve">
IF(ISBLANK(Table_Main[[#This Row],[Chương trình]]),1,
IF(VLOOKUP(Table_Main[[#This Row],[Chương trình]],Table_ChuongTrinh[[Mã Chương trình]:[Đối tượng CK]],Sheet_ChuongTrinh!$C$1,0) = "Sản phẩm",1,0))</f>
        <v>1</v>
      </c>
      <c r="AQ1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1" spans="1:47" ht="18" customHeight="1" x14ac:dyDescent="0.3">
      <c r="B11" s="523" t="s">
        <v>1159</v>
      </c>
      <c r="C11" s="523"/>
      <c r="D11" s="537" t="str">
        <f>IF(ISBLANK(Table_Main[[#This Row],[Mã SKU]]),Table_Main[[#This Row],[Mã Nguyên liệu]],Table_Main[[#This Row],[Mã SKU]])</f>
        <v>HH1</v>
      </c>
      <c r="E11" s="420" cm="1">
        <f t="array" ref="E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37</v>
      </c>
      <c r="F11" s="420" cm="1">
        <f t="array" ref="F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v>
      </c>
      <c r="G11" s="420" cm="1">
        <f t="array" ref="G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2752212.7462686561</v>
      </c>
      <c r="H11" s="420" cm="1">
        <f t="array" ref="H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6022420.7462686561</v>
      </c>
      <c r="I11" s="420">
        <f>IFERROR(Table_Main[[#This Row],[Giá trị tồn đầu ngày]]/Table_Main[[#This Row],[Tồn kho đầu ngày]],0)</f>
        <v>74384.128277531243</v>
      </c>
      <c r="J11" s="420">
        <f>IFERROR(Table_Main[[#This Row],[Giá trị tồn cuối ngày]]/Table_Main[[#This Row],[Tồn kho cuối ngày]],0)</f>
        <v>87281.460090850087</v>
      </c>
      <c r="K11" s="415">
        <v>45805</v>
      </c>
      <c r="L11" s="47">
        <f xml:space="preserve">
IFERROR(
IFERROR(
VLOOKUP(Table_Main[[#This Row],[Đơn Mua]],Table_DonMua[[Mã Đơn mua]:[Add]],COUNTA(Table_DonMua[[#Headers],[Mã Đơn mua]:[Ngày lập]]),0),
VLOOKUP(Table_Main[[#This Row],[Đơn bán]],Table_DonBan[[Mã Đơn bán]:[Add]], COUNTA(Table_DonBan[[#Headers],[Mã Đơn bán]:[Ngày lập]]),0)),0)</f>
        <v>45804</v>
      </c>
      <c r="M11" s="29">
        <f>IFERROR(MONTH(Table_Main[[#This Row],[Ngày lên đơn]]),0)</f>
        <v>5</v>
      </c>
      <c r="N11" s="51">
        <f>IF(Table_Main[[#This Row],[Ngày lên đơn]]=0,"",Table_Main[[#This Row],[Ngày xuất nhập]]-Table_Main[[#This Row],[Ngày lên đơn]])</f>
        <v>1</v>
      </c>
      <c r="O11" s="230" t="s">
        <v>1164</v>
      </c>
      <c r="P11" s="230" t="s">
        <v>1165</v>
      </c>
      <c r="Q11" s="408">
        <v>32</v>
      </c>
      <c r="R11" s="523" t="s">
        <v>1188</v>
      </c>
      <c r="S11" s="537" t="str">
        <f>IFERROR(VLOOKUP(Table_Main[[#This Row],[Đơn Mua]],Table_DonMua[[Mã Đơn mua]:[Add]],COUNTA(Table_DonMua[[#Headers],[Mã Đơn mua]:[Mã Đối tác]]),0),0)</f>
        <v>NCC2</v>
      </c>
      <c r="T11" s="409">
        <v>102194</v>
      </c>
      <c r="U11" s="48">
        <f xml:space="preserve">
IF(NOT(ISBLANK(Table_Main[[#This Row],[Đơn Mua]])),Table_Main[[#This Row],[Số lượng]]*Table_Main[[#This Row],[Giá nhập]],Table_Main[[#This Row],[Số lượng]]*Table_Main[[#This Row],[Giá trị bình quân đầu ngày]])</f>
        <v>3270208</v>
      </c>
      <c r="V1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1" s="48">
        <f>IF(Table_Main[[#This Row],[Đơn Mua]]="", 0,IFERROR(Table_Main[[#This Row],[Tỷ suất VAT khấu trừ]]*(Table_Main[[#This Row],[Giá trị hàng nhập]]/(1+Table_Main[[#This Row],[Tỷ suất VAT khấu trừ]])),0))</f>
        <v>0</v>
      </c>
      <c r="X11" s="523"/>
      <c r="Y11" s="28">
        <f>IFERROR(VLOOKUP(Table_Main[[#This Row],[Đơn bán]],Table_DonBan[[Mã Đơn bán]:[Add]],COUNTA(Table_DonBan[[#Headers],[Mã Đơn bán]:[Mã Khách]]),0),0)</f>
        <v>0</v>
      </c>
      <c r="Z11" s="48">
        <f>IF(ISBLANK(Table_Main[[#This Row],[Đơn bán]]),0,
VLOOKUP(Table_Main[[#This Row],[Mã SKU]],Table_SKU[[Mã SKU]:[Giá bán]],COUNTA(Table_SKU[[#Headers],[Mã SKU]:[Giá bán]]),0))</f>
        <v>0</v>
      </c>
      <c r="AA11" s="48">
        <f>IF(ISBLANK(Table_Main[[#This Row],[Đơn bán]]),0,
IF(Table_Main[[#This Row],[Loại]] = "Xuất",Table_Main[[#This Row],[Giá bán niêm yết]]*Table_Main[[#This Row],[Số lượng]],-Table_Main[[#This Row],[Giá bán niêm yết]]*Table_Main[[#This Row],[Số lượng]]))</f>
        <v>0</v>
      </c>
      <c r="AB11" s="230"/>
      <c r="AC1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1" s="48">
        <f xml:space="preserve">
IF(Table_Main[[#This Row],[Đơn bán]]="", 0,
IFERROR(
VLOOKUP(Table_Main[[#This Row],[Mã SKU]],Table_SKU[[Mã SKU]:[Tỷ suất VAT]],COUNTA(Table_SKU[[#Headers],[Mã SKU]:[Tỷ suất VAT]]),0),0)*Table_Main[[#This Row],[Giá trị bán trước VAT]])</f>
        <v>0</v>
      </c>
      <c r="AG11" s="51">
        <f>IFERROR(VLOOKUP(Table_Main[[#This Row],[Đơn bán]],Table_DonBan[[Mã Đơn bán]:[Add]],COUNTA(Table_DonBan[[#Headers],[Mã Đơn bán]:[Mã NV]]),0),0)</f>
        <v>0</v>
      </c>
      <c r="AH1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1" s="48">
        <f>IFERROR(Table_Main[[#This Row],[Giá trị bán trước VAT]]*Table_Main[[#This Row],[Tỷ lệ hoa hồng]],"")</f>
        <v>0</v>
      </c>
      <c r="AJ11" s="48">
        <f>IFERROR(VLOOKUP(Table_Main[[#This Row],[Đơn bán]],Table_DonBan[[Mã Đơn bán]:[Add]],COUNTA(Table_DonBan[[#Headers],[Mã Đơn bán]:[Kênh]]),0),0)</f>
        <v>0</v>
      </c>
      <c r="AK1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1" s="48">
        <f>IFERROR(Table_Main[[#This Row],[Giá trị bán trước VAT]]*Table_Main[[#This Row],[Tỷ lệ CK kênh]],"")</f>
        <v>0</v>
      </c>
      <c r="AM11" s="230"/>
      <c r="AN11" s="232"/>
      <c r="AO11" s="226">
        <f>Table_Main[[#This Row],[ĐK - Phân loại]]*Table_Main[[#This Row],[ĐK - Thời gian]]*Table_Main[[#This Row],[ĐK - Giá trị]]*Table_Main[[#This Row],[ĐK - Số lượng]]*Table_Main[[#This Row],[ĐK - Sinh nhật]]*Table_Main[[#This Row],[ĐK - Ngày mua cuối]]</f>
        <v>1</v>
      </c>
      <c r="AP11" s="226">
        <f xml:space="preserve">
IF(ISBLANK(Table_Main[[#This Row],[Chương trình]]),1,
IF(VLOOKUP(Table_Main[[#This Row],[Chương trình]],Table_ChuongTrinh[[Mã Chương trình]:[Đối tượng CK]],Sheet_ChuongTrinh!$C$1,0) = "Sản phẩm",1,0))</f>
        <v>1</v>
      </c>
      <c r="AQ1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2" spans="1:47" ht="18" customHeight="1" x14ac:dyDescent="0.3">
      <c r="B12" s="530"/>
      <c r="C12" s="239" t="s">
        <v>1162</v>
      </c>
      <c r="D12" s="538" t="str">
        <f>IF(ISBLANK(Table_Main[[#This Row],[Mã SKU]]),Table_Main[[#This Row],[Mã Nguyên liệu]],Table_Main[[#This Row],[Mã SKU]])</f>
        <v>NL2</v>
      </c>
      <c r="E12" s="420" cm="1">
        <f t="array" ref="E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12" s="420" cm="1">
        <f t="array" ref="F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12" s="420" cm="1">
        <f t="array" ref="G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12261903.35923022</v>
      </c>
      <c r="H12" s="420" cm="1">
        <f t="array" ref="H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9523808.4343535677</v>
      </c>
      <c r="I12" s="420">
        <f>IFERROR(Table_Main[[#This Row],[Giá trị tồn đầu ngày]]/Table_Main[[#This Row],[Tồn kho đầu ngày]],0)</f>
        <v>119047.60542941962</v>
      </c>
      <c r="J12" s="420">
        <f>IFERROR(Table_Main[[#This Row],[Giá trị tồn cuối ngày]]/Table_Main[[#This Row],[Tồn kho cuối ngày]],0)</f>
        <v>119047.60542941959</v>
      </c>
      <c r="K12" s="415">
        <v>45804</v>
      </c>
      <c r="L1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2" s="29">
        <f>IFERROR(MONTH(Table_Main[[#This Row],[Ngày lên đơn]]),0)</f>
        <v>1</v>
      </c>
      <c r="N12" s="51" t="str">
        <f>IF(Table_Main[[#This Row],[Ngày lên đơn]]=0,"",Table_Main[[#This Row],[Ngày xuất nhập]]-Table_Main[[#This Row],[Ngày lên đơn]])</f>
        <v/>
      </c>
      <c r="O12" s="230" t="s">
        <v>53</v>
      </c>
      <c r="P12" s="230" t="s">
        <v>1165</v>
      </c>
      <c r="Q12" s="408">
        <v>23</v>
      </c>
      <c r="R12" s="523"/>
      <c r="S12" s="537">
        <f>IFERROR(VLOOKUP(Table_Main[[#This Row],[Đơn Mua]],Table_DonMua[[Mã Đơn mua]:[Add]],COUNTA(Table_DonMua[[#Headers],[Mã Đơn mua]:[Mã Đối tác]]),0),0)</f>
        <v>0</v>
      </c>
      <c r="T12" s="409"/>
      <c r="U12" s="48">
        <f xml:space="preserve">
IF(NOT(ISBLANK(Table_Main[[#This Row],[Đơn Mua]])),Table_Main[[#This Row],[Số lượng]]*Table_Main[[#This Row],[Giá nhập]],Table_Main[[#This Row],[Số lượng]]*Table_Main[[#This Row],[Giá trị bình quân đầu ngày]])</f>
        <v>2738094.9248766513</v>
      </c>
      <c r="V1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2" s="48">
        <f>IF(Table_Main[[#This Row],[Đơn Mua]]="", 0,IFERROR(Table_Main[[#This Row],[Tỷ suất VAT khấu trừ]]*(Table_Main[[#This Row],[Giá trị hàng nhập]]/(1+Table_Main[[#This Row],[Tỷ suất VAT khấu trừ]])),0))</f>
        <v>0</v>
      </c>
      <c r="X12" s="523"/>
      <c r="Y12" s="28">
        <f>IFERROR(VLOOKUP(Table_Main[[#This Row],[Đơn bán]],Table_DonBan[[Mã Đơn bán]:[Add]],COUNTA(Table_DonBan[[#Headers],[Mã Đơn bán]:[Mã Khách]]),0),0)</f>
        <v>0</v>
      </c>
      <c r="Z12" s="48">
        <f>IF(ISBLANK(Table_Main[[#This Row],[Đơn bán]]),0,
VLOOKUP(Table_Main[[#This Row],[Mã SKU]],Table_SKU[[Mã SKU]:[Giá bán]],COUNTA(Table_SKU[[#Headers],[Mã SKU]:[Giá bán]]),0))</f>
        <v>0</v>
      </c>
      <c r="AA12" s="48">
        <f>IF(ISBLANK(Table_Main[[#This Row],[Đơn bán]]),0,
IF(Table_Main[[#This Row],[Loại]] = "Xuất",Table_Main[[#This Row],[Giá bán niêm yết]]*Table_Main[[#This Row],[Số lượng]],-Table_Main[[#This Row],[Giá bán niêm yết]]*Table_Main[[#This Row],[Số lượng]]))</f>
        <v>0</v>
      </c>
      <c r="AB12" s="230"/>
      <c r="AC1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2" s="48">
        <f xml:space="preserve">
IF(Table_Main[[#This Row],[Đơn bán]]="", 0,
IFERROR(
VLOOKUP(Table_Main[[#This Row],[Mã SKU]],Table_SKU[[Mã SKU]:[Tỷ suất VAT]],COUNTA(Table_SKU[[#Headers],[Mã SKU]:[Tỷ suất VAT]]),0),0)*Table_Main[[#This Row],[Giá trị bán trước VAT]])</f>
        <v>0</v>
      </c>
      <c r="AG12" s="51">
        <f>IFERROR(VLOOKUP(Table_Main[[#This Row],[Đơn bán]],Table_DonBan[[Mã Đơn bán]:[Add]],COUNTA(Table_DonBan[[#Headers],[Mã Đơn bán]:[Mã NV]]),0),0)</f>
        <v>0</v>
      </c>
      <c r="AH1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2" s="48">
        <f>IFERROR(Table_Main[[#This Row],[Giá trị bán trước VAT]]*Table_Main[[#This Row],[Tỷ lệ hoa hồng]],"")</f>
        <v>0</v>
      </c>
      <c r="AJ12" s="48">
        <f>IFERROR(VLOOKUP(Table_Main[[#This Row],[Đơn bán]],Table_DonBan[[Mã Đơn bán]:[Add]],COUNTA(Table_DonBan[[#Headers],[Mã Đơn bán]:[Kênh]]),0),0)</f>
        <v>0</v>
      </c>
      <c r="AK1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2" s="48">
        <f>IFERROR(Table_Main[[#This Row],[Giá trị bán trước VAT]]*Table_Main[[#This Row],[Tỷ lệ CK kênh]],"")</f>
        <v>0</v>
      </c>
      <c r="AM12" s="230"/>
      <c r="AN12" s="232"/>
      <c r="AO12" s="226">
        <f>Table_Main[[#This Row],[ĐK - Phân loại]]*Table_Main[[#This Row],[ĐK - Thời gian]]*Table_Main[[#This Row],[ĐK - Giá trị]]*Table_Main[[#This Row],[ĐK - Số lượng]]*Table_Main[[#This Row],[ĐK - Sinh nhật]]*Table_Main[[#This Row],[ĐK - Ngày mua cuối]]</f>
        <v>1</v>
      </c>
      <c r="AP12" s="226">
        <f xml:space="preserve">
IF(ISBLANK(Table_Main[[#This Row],[Chương trình]]),1,
IF(VLOOKUP(Table_Main[[#This Row],[Chương trình]],Table_ChuongTrinh[[Mã Chương trình]:[Đối tượng CK]],Sheet_ChuongTrinh!$C$1,0) = "Sản phẩm",1,0))</f>
        <v>1</v>
      </c>
      <c r="AQ1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3" spans="1:47" ht="18" customHeight="1" x14ac:dyDescent="0.3">
      <c r="B13" s="523" t="s">
        <v>1159</v>
      </c>
      <c r="C13" s="523"/>
      <c r="D13" s="537" t="str">
        <f>IF(ISBLANK(Table_Main[[#This Row],[Mã SKU]]),Table_Main[[#This Row],[Mã Nguyên liệu]],Table_Main[[#This Row],[Mã SKU]])</f>
        <v>HH1</v>
      </c>
      <c r="E13" s="420" cm="1">
        <f t="array" ref="E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24</v>
      </c>
      <c r="F13" s="420" cm="1">
        <f t="array" ref="F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37</v>
      </c>
      <c r="G13" s="420" cm="1">
        <f t="array" ref="G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1425692.7462686561</v>
      </c>
      <c r="H13" s="420" cm="1">
        <f t="array" ref="H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2752212.7462686561</v>
      </c>
      <c r="I13" s="420">
        <f>IFERROR(Table_Main[[#This Row],[Giá trị tồn đầu ngày]]/Table_Main[[#This Row],[Tồn kho đầu ngày]],0)</f>
        <v>59403.864427860673</v>
      </c>
      <c r="J13" s="420">
        <f>IFERROR(Table_Main[[#This Row],[Giá trị tồn cuối ngày]]/Table_Main[[#This Row],[Tồn kho cuối ngày]],0)</f>
        <v>74384.128277531243</v>
      </c>
      <c r="K13" s="415">
        <v>45802</v>
      </c>
      <c r="L13" s="47">
        <f xml:space="preserve">
IFERROR(
IFERROR(
VLOOKUP(Table_Main[[#This Row],[Đơn Mua]],Table_DonMua[[Mã Đơn mua]:[Add]],COUNTA(Table_DonMua[[#Headers],[Mã Đơn mua]:[Ngày lập]]),0),
VLOOKUP(Table_Main[[#This Row],[Đơn bán]],Table_DonBan[[Mã Đơn bán]:[Add]], COUNTA(Table_DonBan[[#Headers],[Mã Đơn bán]:[Ngày lập]]),0)),0)</f>
        <v>45802</v>
      </c>
      <c r="M13" s="29">
        <f>IFERROR(MONTH(Table_Main[[#This Row],[Ngày lên đơn]]),0)</f>
        <v>5</v>
      </c>
      <c r="N13" s="51">
        <f>IF(Table_Main[[#This Row],[Ngày lên đơn]]=0,"",Table_Main[[#This Row],[Ngày xuất nhập]]-Table_Main[[#This Row],[Ngày lên đơn]])</f>
        <v>0</v>
      </c>
      <c r="O13" s="230" t="s">
        <v>1164</v>
      </c>
      <c r="P13" s="230" t="s">
        <v>1165</v>
      </c>
      <c r="Q13" s="408">
        <v>13</v>
      </c>
      <c r="R13" s="523" t="s">
        <v>1187</v>
      </c>
      <c r="S13" s="537" t="str">
        <f>IFERROR(VLOOKUP(Table_Main[[#This Row],[Đơn Mua]],Table_DonMua[[Mã Đơn mua]:[Add]],COUNTA(Table_DonMua[[#Headers],[Mã Đơn mua]:[Mã Đối tác]]),0),0)</f>
        <v>NCC3</v>
      </c>
      <c r="T13" s="409">
        <v>102040</v>
      </c>
      <c r="U13" s="48">
        <f xml:space="preserve">
IF(NOT(ISBLANK(Table_Main[[#This Row],[Đơn Mua]])),Table_Main[[#This Row],[Số lượng]]*Table_Main[[#This Row],[Giá nhập]],Table_Main[[#This Row],[Số lượng]]*Table_Main[[#This Row],[Giá trị bình quân đầu ngày]])</f>
        <v>1326520</v>
      </c>
      <c r="V1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3" s="48">
        <f>IF(Table_Main[[#This Row],[Đơn Mua]]="", 0,IFERROR(Table_Main[[#This Row],[Tỷ suất VAT khấu trừ]]*(Table_Main[[#This Row],[Giá trị hàng nhập]]/(1+Table_Main[[#This Row],[Tỷ suất VAT khấu trừ]])),0))</f>
        <v>0</v>
      </c>
      <c r="X13" s="523"/>
      <c r="Y13" s="28">
        <f>IFERROR(VLOOKUP(Table_Main[[#This Row],[Đơn bán]],Table_DonBan[[Mã Đơn bán]:[Add]],COUNTA(Table_DonBan[[#Headers],[Mã Đơn bán]:[Mã Khách]]),0),0)</f>
        <v>0</v>
      </c>
      <c r="Z13" s="48">
        <f>IF(ISBLANK(Table_Main[[#This Row],[Đơn bán]]),0,
VLOOKUP(Table_Main[[#This Row],[Mã SKU]],Table_SKU[[Mã SKU]:[Giá bán]],COUNTA(Table_SKU[[#Headers],[Mã SKU]:[Giá bán]]),0))</f>
        <v>0</v>
      </c>
      <c r="AA13" s="48">
        <f>IF(ISBLANK(Table_Main[[#This Row],[Đơn bán]]),0,
IF(Table_Main[[#This Row],[Loại]] = "Xuất",Table_Main[[#This Row],[Giá bán niêm yết]]*Table_Main[[#This Row],[Số lượng]],-Table_Main[[#This Row],[Giá bán niêm yết]]*Table_Main[[#This Row],[Số lượng]]))</f>
        <v>0</v>
      </c>
      <c r="AB13" s="230"/>
      <c r="AC1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3" s="48">
        <f xml:space="preserve">
IF(Table_Main[[#This Row],[Đơn bán]]="", 0,
IFERROR(
VLOOKUP(Table_Main[[#This Row],[Mã SKU]],Table_SKU[[Mã SKU]:[Tỷ suất VAT]],COUNTA(Table_SKU[[#Headers],[Mã SKU]:[Tỷ suất VAT]]),0),0)*Table_Main[[#This Row],[Giá trị bán trước VAT]])</f>
        <v>0</v>
      </c>
      <c r="AG13" s="51">
        <f>IFERROR(VLOOKUP(Table_Main[[#This Row],[Đơn bán]],Table_DonBan[[Mã Đơn bán]:[Add]],COUNTA(Table_DonBan[[#Headers],[Mã Đơn bán]:[Mã NV]]),0),0)</f>
        <v>0</v>
      </c>
      <c r="AH1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3" s="48">
        <f>IFERROR(Table_Main[[#This Row],[Giá trị bán trước VAT]]*Table_Main[[#This Row],[Tỷ lệ hoa hồng]],"")</f>
        <v>0</v>
      </c>
      <c r="AJ13" s="48">
        <f>IFERROR(VLOOKUP(Table_Main[[#This Row],[Đơn bán]],Table_DonBan[[Mã Đơn bán]:[Add]],COUNTA(Table_DonBan[[#Headers],[Mã Đơn bán]:[Kênh]]),0),0)</f>
        <v>0</v>
      </c>
      <c r="AK1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3" s="48">
        <f>IFERROR(Table_Main[[#This Row],[Giá trị bán trước VAT]]*Table_Main[[#This Row],[Tỷ lệ CK kênh]],"")</f>
        <v>0</v>
      </c>
      <c r="AM13" s="230"/>
      <c r="AN13" s="232"/>
      <c r="AO13" s="226">
        <f>Table_Main[[#This Row],[ĐK - Phân loại]]*Table_Main[[#This Row],[ĐK - Thời gian]]*Table_Main[[#This Row],[ĐK - Giá trị]]*Table_Main[[#This Row],[ĐK - Số lượng]]*Table_Main[[#This Row],[ĐK - Sinh nhật]]*Table_Main[[#This Row],[ĐK - Ngày mua cuối]]</f>
        <v>1</v>
      </c>
      <c r="AP13" s="226">
        <f xml:space="preserve">
IF(ISBLANK(Table_Main[[#This Row],[Chương trình]]),1,
IF(VLOOKUP(Table_Main[[#This Row],[Chương trình]],Table_ChuongTrinh[[Mã Chương trình]:[Đối tượng CK]],Sheet_ChuongTrinh!$C$1,0) = "Sản phẩm",1,0))</f>
        <v>1</v>
      </c>
      <c r="AQ1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4" spans="1:47" ht="18" customHeight="1" x14ac:dyDescent="0.3">
      <c r="B14" s="530"/>
      <c r="C14" s="239" t="s">
        <v>1162</v>
      </c>
      <c r="D14" s="538" t="str">
        <f>IF(ISBLANK(Table_Main[[#This Row],[Mã SKU]]),Table_Main[[#This Row],[Mã Nguyên liệu]],Table_Main[[#This Row],[Mã SKU]])</f>
        <v>NL2</v>
      </c>
      <c r="E14" s="420" cm="1">
        <f t="array" ref="E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14" s="420" cm="1">
        <f t="array" ref="F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14" s="420" cm="1">
        <f t="array" ref="G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9873231.3592302203</v>
      </c>
      <c r="H14" s="420" cm="1">
        <f t="array" ref="H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12261903.35923022</v>
      </c>
      <c r="I14" s="420">
        <f>IFERROR(Table_Main[[#This Row],[Giá trị tồn đầu ngày]]/Table_Main[[#This Row],[Tồn kho đầu ngày]],0)</f>
        <v>124977.61214215468</v>
      </c>
      <c r="J14" s="420">
        <f>IFERROR(Table_Main[[#This Row],[Giá trị tồn cuối ngày]]/Table_Main[[#This Row],[Tồn kho cuối ngày]],0)</f>
        <v>119047.60542941962</v>
      </c>
      <c r="K14" s="415">
        <v>45802</v>
      </c>
      <c r="L14" s="47">
        <f xml:space="preserve">
IFERROR(
IFERROR(
VLOOKUP(Table_Main[[#This Row],[Đơn Mua]],Table_DonMua[[Mã Đơn mua]:[Add]],COUNTA(Table_DonMua[[#Headers],[Mã Đơn mua]:[Ngày lập]]),0),
VLOOKUP(Table_Main[[#This Row],[Đơn bán]],Table_DonBan[[Mã Đơn bán]:[Add]], COUNTA(Table_DonBan[[#Headers],[Mã Đơn bán]:[Ngày lập]]),0)),0)</f>
        <v>45800</v>
      </c>
      <c r="M14" s="29">
        <f>IFERROR(MONTH(Table_Main[[#This Row],[Ngày lên đơn]]),0)</f>
        <v>5</v>
      </c>
      <c r="N14" s="51">
        <f>IF(Table_Main[[#This Row],[Ngày lên đơn]]=0,"",Table_Main[[#This Row],[Ngày xuất nhập]]-Table_Main[[#This Row],[Ngày lên đơn]])</f>
        <v>2</v>
      </c>
      <c r="O14" s="230" t="s">
        <v>1164</v>
      </c>
      <c r="P14" s="230" t="s">
        <v>1165</v>
      </c>
      <c r="Q14" s="408">
        <v>24</v>
      </c>
      <c r="R14" s="523" t="s">
        <v>1186</v>
      </c>
      <c r="S14" s="537" t="str">
        <f>IFERROR(VLOOKUP(Table_Main[[#This Row],[Đơn Mua]],Table_DonMua[[Mã Đơn mua]:[Add]],COUNTA(Table_DonMua[[#Headers],[Mã Đơn mua]:[Mã Đối tác]]),0),0)</f>
        <v>NCC2</v>
      </c>
      <c r="T14" s="409">
        <v>99528</v>
      </c>
      <c r="U14" s="48">
        <f xml:space="preserve">
IF(NOT(ISBLANK(Table_Main[[#This Row],[Đơn Mua]])),Table_Main[[#This Row],[Số lượng]]*Table_Main[[#This Row],[Giá nhập]],Table_Main[[#This Row],[Số lượng]]*Table_Main[[#This Row],[Giá trị bình quân đầu ngày]])</f>
        <v>2388672</v>
      </c>
      <c r="V1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4" s="48">
        <f>IF(Table_Main[[#This Row],[Đơn Mua]]="", 0,IFERROR(Table_Main[[#This Row],[Tỷ suất VAT khấu trừ]]*(Table_Main[[#This Row],[Giá trị hàng nhập]]/(1+Table_Main[[#This Row],[Tỷ suất VAT khấu trừ]])),0))</f>
        <v>0</v>
      </c>
      <c r="X14" s="523"/>
      <c r="Y14" s="28">
        <f>IFERROR(VLOOKUP(Table_Main[[#This Row],[Đơn bán]],Table_DonBan[[Mã Đơn bán]:[Add]],COUNTA(Table_DonBan[[#Headers],[Mã Đơn bán]:[Mã Khách]]),0),0)</f>
        <v>0</v>
      </c>
      <c r="Z14" s="48">
        <f>IF(ISBLANK(Table_Main[[#This Row],[Đơn bán]]),0,
VLOOKUP(Table_Main[[#This Row],[Mã SKU]],Table_SKU[[Mã SKU]:[Giá bán]],COUNTA(Table_SKU[[#Headers],[Mã SKU]:[Giá bán]]),0))</f>
        <v>0</v>
      </c>
      <c r="AA14" s="48">
        <f>IF(ISBLANK(Table_Main[[#This Row],[Đơn bán]]),0,
IF(Table_Main[[#This Row],[Loại]] = "Xuất",Table_Main[[#This Row],[Giá bán niêm yết]]*Table_Main[[#This Row],[Số lượng]],-Table_Main[[#This Row],[Giá bán niêm yết]]*Table_Main[[#This Row],[Số lượng]]))</f>
        <v>0</v>
      </c>
      <c r="AB14" s="230"/>
      <c r="AC1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4" s="48">
        <f xml:space="preserve">
IF(Table_Main[[#This Row],[Đơn bán]]="", 0,
IFERROR(
VLOOKUP(Table_Main[[#This Row],[Mã SKU]],Table_SKU[[Mã SKU]:[Tỷ suất VAT]],COUNTA(Table_SKU[[#Headers],[Mã SKU]:[Tỷ suất VAT]]),0),0)*Table_Main[[#This Row],[Giá trị bán trước VAT]])</f>
        <v>0</v>
      </c>
      <c r="AG14" s="51">
        <f>IFERROR(VLOOKUP(Table_Main[[#This Row],[Đơn bán]],Table_DonBan[[Mã Đơn bán]:[Add]],COUNTA(Table_DonBan[[#Headers],[Mã Đơn bán]:[Mã NV]]),0),0)</f>
        <v>0</v>
      </c>
      <c r="AH1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4" s="48">
        <f>IFERROR(Table_Main[[#This Row],[Giá trị bán trước VAT]]*Table_Main[[#This Row],[Tỷ lệ hoa hồng]],"")</f>
        <v>0</v>
      </c>
      <c r="AJ14" s="48">
        <f>IFERROR(VLOOKUP(Table_Main[[#This Row],[Đơn bán]],Table_DonBan[[Mã Đơn bán]:[Add]],COUNTA(Table_DonBan[[#Headers],[Mã Đơn bán]:[Kênh]]),0),0)</f>
        <v>0</v>
      </c>
      <c r="AK1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4" s="48">
        <f>IFERROR(Table_Main[[#This Row],[Giá trị bán trước VAT]]*Table_Main[[#This Row],[Tỷ lệ CK kênh]],"")</f>
        <v>0</v>
      </c>
      <c r="AM14" s="230"/>
      <c r="AN14" s="232"/>
      <c r="AO14" s="226">
        <f>Table_Main[[#This Row],[ĐK - Phân loại]]*Table_Main[[#This Row],[ĐK - Thời gian]]*Table_Main[[#This Row],[ĐK - Giá trị]]*Table_Main[[#This Row],[ĐK - Số lượng]]*Table_Main[[#This Row],[ĐK - Sinh nhật]]*Table_Main[[#This Row],[ĐK - Ngày mua cuối]]</f>
        <v>1</v>
      </c>
      <c r="AP14" s="226">
        <f xml:space="preserve">
IF(ISBLANK(Table_Main[[#This Row],[Chương trình]]),1,
IF(VLOOKUP(Table_Main[[#This Row],[Chương trình]],Table_ChuongTrinh[[Mã Chương trình]:[Đối tượng CK]],Sheet_ChuongTrinh!$C$1,0) = "Sản phẩm",1,0))</f>
        <v>1</v>
      </c>
      <c r="AQ1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5" spans="1:47" ht="18" customHeight="1" x14ac:dyDescent="0.3">
      <c r="B15" s="530"/>
      <c r="C15" s="239" t="s">
        <v>1163</v>
      </c>
      <c r="D15" s="538" t="str">
        <f>IF(ISBLANK(Table_Main[[#This Row],[Mã SKU]]),Table_Main[[#This Row],[Mã Nguyên liệu]],Table_Main[[#This Row],[Mã SKU]])</f>
        <v>NL1</v>
      </c>
      <c r="E15" s="420" cm="1">
        <f t="array" ref="E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141</v>
      </c>
      <c r="F15" s="420" cm="1">
        <f t="array" ref="F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176</v>
      </c>
      <c r="G15" s="420" cm="1">
        <f t="array" ref="G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13713177.469611529</v>
      </c>
      <c r="H15" s="420" cm="1">
        <f t="array" ref="H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18693607.469611529</v>
      </c>
      <c r="I15" s="420">
        <f>IFERROR(Table_Main[[#This Row],[Giá trị tồn đầu ngày]]/Table_Main[[#This Row],[Tồn kho đầu ngày]],0)</f>
        <v>97256.577798663333</v>
      </c>
      <c r="J15" s="420">
        <f>IFERROR(Table_Main[[#This Row],[Giá trị tồn cuối ngày]]/Table_Main[[#This Row],[Tồn kho cuối ngày]],0)</f>
        <v>106213.67880461096</v>
      </c>
      <c r="K15" s="415">
        <v>45799</v>
      </c>
      <c r="L15" s="47">
        <f xml:space="preserve">
IFERROR(
IFERROR(
VLOOKUP(Table_Main[[#This Row],[Đơn Mua]],Table_DonMua[[Mã Đơn mua]:[Add]],COUNTA(Table_DonMua[[#Headers],[Mã Đơn mua]:[Ngày lập]]),0),
VLOOKUP(Table_Main[[#This Row],[Đơn bán]],Table_DonBan[[Mã Đơn bán]:[Add]], COUNTA(Table_DonBan[[#Headers],[Mã Đơn bán]:[Ngày lập]]),0)),0)</f>
        <v>45797</v>
      </c>
      <c r="M15" s="29">
        <f>IFERROR(MONTH(Table_Main[[#This Row],[Ngày lên đơn]]),0)</f>
        <v>5</v>
      </c>
      <c r="N15" s="51">
        <f>IF(Table_Main[[#This Row],[Ngày lên đơn]]=0,"",Table_Main[[#This Row],[Ngày xuất nhập]]-Table_Main[[#This Row],[Ngày lên đơn]])</f>
        <v>2</v>
      </c>
      <c r="O15" s="230" t="s">
        <v>1164</v>
      </c>
      <c r="P15" s="230" t="s">
        <v>1165</v>
      </c>
      <c r="Q15" s="408">
        <v>35</v>
      </c>
      <c r="R15" s="523" t="s">
        <v>1185</v>
      </c>
      <c r="S15" s="537" t="str">
        <f>IFERROR(VLOOKUP(Table_Main[[#This Row],[Đơn Mua]],Table_DonMua[[Mã Đơn mua]:[Add]],COUNTA(Table_DonMua[[#Headers],[Mã Đơn mua]:[Mã Đối tác]]),0),0)</f>
        <v>NCC2</v>
      </c>
      <c r="T15" s="409">
        <v>142298</v>
      </c>
      <c r="U15" s="48">
        <f xml:space="preserve">
IF(NOT(ISBLANK(Table_Main[[#This Row],[Đơn Mua]])),Table_Main[[#This Row],[Số lượng]]*Table_Main[[#This Row],[Giá nhập]],Table_Main[[#This Row],[Số lượng]]*Table_Main[[#This Row],[Giá trị bình quân đầu ngày]])</f>
        <v>4980430</v>
      </c>
      <c r="V1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5" s="48">
        <f>IF(Table_Main[[#This Row],[Đơn Mua]]="", 0,IFERROR(Table_Main[[#This Row],[Tỷ suất VAT khấu trừ]]*(Table_Main[[#This Row],[Giá trị hàng nhập]]/(1+Table_Main[[#This Row],[Tỷ suất VAT khấu trừ]])),0))</f>
        <v>0</v>
      </c>
      <c r="X15" s="523"/>
      <c r="Y15" s="28">
        <f>IFERROR(VLOOKUP(Table_Main[[#This Row],[Đơn bán]],Table_DonBan[[Mã Đơn bán]:[Add]],COUNTA(Table_DonBan[[#Headers],[Mã Đơn bán]:[Mã Khách]]),0),0)</f>
        <v>0</v>
      </c>
      <c r="Z15" s="48">
        <f>IF(ISBLANK(Table_Main[[#This Row],[Đơn bán]]),0,
VLOOKUP(Table_Main[[#This Row],[Mã SKU]],Table_SKU[[Mã SKU]:[Giá bán]],COUNTA(Table_SKU[[#Headers],[Mã SKU]:[Giá bán]]),0))</f>
        <v>0</v>
      </c>
      <c r="AA15" s="48">
        <f>IF(ISBLANK(Table_Main[[#This Row],[Đơn bán]]),0,
IF(Table_Main[[#This Row],[Loại]] = "Xuất",Table_Main[[#This Row],[Giá bán niêm yết]]*Table_Main[[#This Row],[Số lượng]],-Table_Main[[#This Row],[Giá bán niêm yết]]*Table_Main[[#This Row],[Số lượng]]))</f>
        <v>0</v>
      </c>
      <c r="AB15" s="230"/>
      <c r="AC1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5" s="48">
        <f xml:space="preserve">
IF(Table_Main[[#This Row],[Đơn bán]]="", 0,
IFERROR(
VLOOKUP(Table_Main[[#This Row],[Mã SKU]],Table_SKU[[Mã SKU]:[Tỷ suất VAT]],COUNTA(Table_SKU[[#Headers],[Mã SKU]:[Tỷ suất VAT]]),0),0)*Table_Main[[#This Row],[Giá trị bán trước VAT]])</f>
        <v>0</v>
      </c>
      <c r="AG15" s="51">
        <f>IFERROR(VLOOKUP(Table_Main[[#This Row],[Đơn bán]],Table_DonBan[[Mã Đơn bán]:[Add]],COUNTA(Table_DonBan[[#Headers],[Mã Đơn bán]:[Mã NV]]),0),0)</f>
        <v>0</v>
      </c>
      <c r="AH1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5" s="48">
        <f>IFERROR(Table_Main[[#This Row],[Giá trị bán trước VAT]]*Table_Main[[#This Row],[Tỷ lệ hoa hồng]],"")</f>
        <v>0</v>
      </c>
      <c r="AJ15" s="48">
        <f>IFERROR(VLOOKUP(Table_Main[[#This Row],[Đơn bán]],Table_DonBan[[Mã Đơn bán]:[Add]],COUNTA(Table_DonBan[[#Headers],[Mã Đơn bán]:[Kênh]]),0),0)</f>
        <v>0</v>
      </c>
      <c r="AK1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5" s="48">
        <f>IFERROR(Table_Main[[#This Row],[Giá trị bán trước VAT]]*Table_Main[[#This Row],[Tỷ lệ CK kênh]],"")</f>
        <v>0</v>
      </c>
      <c r="AM15" s="230"/>
      <c r="AN15" s="232"/>
      <c r="AO15" s="226">
        <f>Table_Main[[#This Row],[ĐK - Phân loại]]*Table_Main[[#This Row],[ĐK - Thời gian]]*Table_Main[[#This Row],[ĐK - Giá trị]]*Table_Main[[#This Row],[ĐK - Số lượng]]*Table_Main[[#This Row],[ĐK - Sinh nhật]]*Table_Main[[#This Row],[ĐK - Ngày mua cuối]]</f>
        <v>1</v>
      </c>
      <c r="AP15" s="226">
        <f xml:space="preserve">
IF(ISBLANK(Table_Main[[#This Row],[Chương trình]]),1,
IF(VLOOKUP(Table_Main[[#This Row],[Chương trình]],Table_ChuongTrinh[[Mã Chương trình]:[Đối tượng CK]],Sheet_ChuongTrinh!$C$1,0) = "Sản phẩm",1,0))</f>
        <v>1</v>
      </c>
      <c r="AQ1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6" spans="1:47" ht="18" customHeight="1" x14ac:dyDescent="0.3">
      <c r="B16" s="523" t="s">
        <v>1160</v>
      </c>
      <c r="C16" s="523"/>
      <c r="D16" s="537" t="str">
        <f>IF(ISBLANK(Table_Main[[#This Row],[Mã SKU]]),Table_Main[[#This Row],[Mã Nguyên liệu]],Table_Main[[#This Row],[Mã SKU]])</f>
        <v>TP1</v>
      </c>
      <c r="E16" s="420" cm="1">
        <f t="array" ref="E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v>
      </c>
      <c r="F16" s="420" cm="1">
        <f t="array" ref="F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16" s="420" cm="1">
        <f t="array" ref="G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6" s="420" cm="1">
        <f t="array" ref="H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6" s="420">
        <f>IFERROR(Table_Main[[#This Row],[Giá trị tồn đầu ngày]]/Table_Main[[#This Row],[Tồn kho đầu ngày]],0)</f>
        <v>0</v>
      </c>
      <c r="J16" s="420">
        <f>IFERROR(Table_Main[[#This Row],[Giá trị tồn cuối ngày]]/Table_Main[[#This Row],[Tồn kho cuối ngày]],0)</f>
        <v>0</v>
      </c>
      <c r="K16" s="415">
        <v>45796</v>
      </c>
      <c r="L16" s="47">
        <f xml:space="preserve">
IFERROR(
IFERROR(
VLOOKUP(Table_Main[[#This Row],[Đơn Mua]],Table_DonMua[[Mã Đơn mua]:[Add]],COUNTA(Table_DonMua[[#Headers],[Mã Đơn mua]:[Ngày lập]]),0),
VLOOKUP(Table_Main[[#This Row],[Đơn bán]],Table_DonBan[[Mã Đơn bán]:[Add]], COUNTA(Table_DonBan[[#Headers],[Mã Đơn bán]:[Ngày lập]]),0)),0)</f>
        <v>45796</v>
      </c>
      <c r="M16" s="29">
        <f>IFERROR(MONTH(Table_Main[[#This Row],[Ngày lên đơn]]),0)</f>
        <v>5</v>
      </c>
      <c r="N16" s="51">
        <f>IF(Table_Main[[#This Row],[Ngày lên đơn]]=0,"",Table_Main[[#This Row],[Ngày xuất nhập]]-Table_Main[[#This Row],[Ngày lên đơn]])</f>
        <v>0</v>
      </c>
      <c r="O16" s="230" t="s">
        <v>53</v>
      </c>
      <c r="P16" s="230" t="s">
        <v>1165</v>
      </c>
      <c r="Q16" s="408">
        <v>34</v>
      </c>
      <c r="R16" s="523"/>
      <c r="S16" s="537">
        <f>IFERROR(VLOOKUP(Table_Main[[#This Row],[Đơn Mua]],Table_DonMua[[Mã Đơn mua]:[Add]],COUNTA(Table_DonMua[[#Headers],[Mã Đơn mua]:[Mã Đối tác]]),0),0)</f>
        <v>0</v>
      </c>
      <c r="T16" s="409"/>
      <c r="U16" s="48">
        <f xml:space="preserve">
IF(NOT(ISBLANK(Table_Main[[#This Row],[Đơn Mua]])),Table_Main[[#This Row],[Số lượng]]*Table_Main[[#This Row],[Giá nhập]],Table_Main[[#This Row],[Số lượng]]*Table_Main[[#This Row],[Giá trị bình quân đầu ngày]])</f>
        <v>0</v>
      </c>
      <c r="V1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6" s="48">
        <f>IF(Table_Main[[#This Row],[Đơn Mua]]="", 0,IFERROR(Table_Main[[#This Row],[Tỷ suất VAT khấu trừ]]*(Table_Main[[#This Row],[Giá trị hàng nhập]]/(1+Table_Main[[#This Row],[Tỷ suất VAT khấu trừ]])),0))</f>
        <v>0</v>
      </c>
      <c r="X16" s="523" t="s">
        <v>1230</v>
      </c>
      <c r="Y16" s="28" t="str">
        <f>IFERROR(VLOOKUP(Table_Main[[#This Row],[Đơn bán]],Table_DonBan[[Mã Đơn bán]:[Add]],COUNTA(Table_DonBan[[#Headers],[Mã Đơn bán]:[Mã Khách]]),0),0)</f>
        <v>KH1</v>
      </c>
      <c r="Z16" s="48">
        <f>IF(ISBLANK(Table_Main[[#This Row],[Đơn bán]]),0,
VLOOKUP(Table_Main[[#This Row],[Mã SKU]],Table_SKU[[Mã SKU]:[Giá bán]],COUNTA(Table_SKU[[#Headers],[Mã SKU]:[Giá bán]]),0))</f>
        <v>300000</v>
      </c>
      <c r="AA16" s="48">
        <f>IF(ISBLANK(Table_Main[[#This Row],[Đơn bán]]),0,
IF(Table_Main[[#This Row],[Loại]] = "Xuất",Table_Main[[#This Row],[Giá bán niêm yết]]*Table_Main[[#This Row],[Số lượng]],-Table_Main[[#This Row],[Giá bán niêm yết]]*Table_Main[[#This Row],[Số lượng]]))</f>
        <v>10200000</v>
      </c>
      <c r="AB16" s="230"/>
      <c r="AC1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10200000</v>
      </c>
      <c r="AF16" s="48">
        <f xml:space="preserve">
IF(Table_Main[[#This Row],[Đơn bán]]="", 0,
IFERROR(
VLOOKUP(Table_Main[[#This Row],[Mã SKU]],Table_SKU[[Mã SKU]:[Tỷ suất VAT]],COUNTA(Table_SKU[[#Headers],[Mã SKU]:[Tỷ suất VAT]]),0),0)*Table_Main[[#This Row],[Giá trị bán trước VAT]])</f>
        <v>0</v>
      </c>
      <c r="AG16" s="51">
        <f>IFERROR(VLOOKUP(Table_Main[[#This Row],[Đơn bán]],Table_DonBan[[Mã Đơn bán]:[Add]],COUNTA(Table_DonBan[[#Headers],[Mã Đơn bán]:[Mã NV]]),0),0)</f>
        <v>0</v>
      </c>
      <c r="AH1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6" s="48">
        <f>IFERROR(Table_Main[[#This Row],[Giá trị bán trước VAT]]*Table_Main[[#This Row],[Tỷ lệ hoa hồng]],"")</f>
        <v>0</v>
      </c>
      <c r="AJ16" s="48">
        <f>IFERROR(VLOOKUP(Table_Main[[#This Row],[Đơn bán]],Table_DonBan[[Mã Đơn bán]:[Add]],COUNTA(Table_DonBan[[#Headers],[Mã Đơn bán]:[Kênh]]),0),0)</f>
        <v>0</v>
      </c>
      <c r="AK1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6" s="48">
        <f>IFERROR(Table_Main[[#This Row],[Giá trị bán trước VAT]]*Table_Main[[#This Row],[Tỷ lệ CK kênh]],"")</f>
        <v>0</v>
      </c>
      <c r="AM16" s="230"/>
      <c r="AN16" s="232"/>
      <c r="AO16" s="226">
        <f>Table_Main[[#This Row],[ĐK - Phân loại]]*Table_Main[[#This Row],[ĐK - Thời gian]]*Table_Main[[#This Row],[ĐK - Giá trị]]*Table_Main[[#This Row],[ĐK - Số lượng]]*Table_Main[[#This Row],[ĐK - Sinh nhật]]*Table_Main[[#This Row],[ĐK - Ngày mua cuối]]</f>
        <v>1</v>
      </c>
      <c r="AP16" s="226">
        <f xml:space="preserve">
IF(ISBLANK(Table_Main[[#This Row],[Chương trình]]),1,
IF(VLOOKUP(Table_Main[[#This Row],[Chương trình]],Table_ChuongTrinh[[Mã Chương trình]:[Đối tượng CK]],Sheet_ChuongTrinh!$C$1,0) = "Sản phẩm",1,0))</f>
        <v>1</v>
      </c>
      <c r="AQ1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7" spans="2:47" ht="18" customHeight="1" x14ac:dyDescent="0.3">
      <c r="B17" s="523" t="s">
        <v>1159</v>
      </c>
      <c r="C17" s="523"/>
      <c r="D17" s="537" t="str">
        <f>IF(ISBLANK(Table_Main[[#This Row],[Mã SKU]]),Table_Main[[#This Row],[Mã Nguyên liệu]],Table_Main[[#This Row],[Mã SKU]])</f>
        <v>HH1</v>
      </c>
      <c r="E17" s="420" cm="1">
        <f t="array" ref="E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46</v>
      </c>
      <c r="F17" s="420" cm="1">
        <f t="array" ref="F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24</v>
      </c>
      <c r="G17" s="420" cm="1">
        <f t="array" ref="G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2732577.7636815924</v>
      </c>
      <c r="H17" s="420" cm="1">
        <f t="array" ref="H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1425692.7462686561</v>
      </c>
      <c r="I17" s="420">
        <f>IFERROR(Table_Main[[#This Row],[Giá trị tồn đầu ngày]]/Table_Main[[#This Row],[Tồn kho đầu ngày]],0)</f>
        <v>59403.864427860703</v>
      </c>
      <c r="J17" s="420">
        <f>IFERROR(Table_Main[[#This Row],[Giá trị tồn cuối ngày]]/Table_Main[[#This Row],[Tồn kho cuối ngày]],0)</f>
        <v>59403.864427860673</v>
      </c>
      <c r="K17" s="415">
        <v>45793</v>
      </c>
      <c r="L17" s="47">
        <f xml:space="preserve">
IFERROR(
IFERROR(
VLOOKUP(Table_Main[[#This Row],[Đơn Mua]],Table_DonMua[[Mã Đơn mua]:[Add]],COUNTA(Table_DonMua[[#Headers],[Mã Đơn mua]:[Ngày lập]]),0),
VLOOKUP(Table_Main[[#This Row],[Đơn bán]],Table_DonBan[[Mã Đơn bán]:[Add]], COUNTA(Table_DonBan[[#Headers],[Mã Đơn bán]:[Ngày lập]]),0)),0)</f>
        <v>45793</v>
      </c>
      <c r="M17" s="29">
        <f>IFERROR(MONTH(Table_Main[[#This Row],[Ngày lên đơn]]),0)</f>
        <v>5</v>
      </c>
      <c r="N17" s="51">
        <f>IF(Table_Main[[#This Row],[Ngày lên đơn]]=0,"",Table_Main[[#This Row],[Ngày xuất nhập]]-Table_Main[[#This Row],[Ngày lên đơn]])</f>
        <v>0</v>
      </c>
      <c r="O17" s="230" t="s">
        <v>53</v>
      </c>
      <c r="P17" s="230" t="s">
        <v>1165</v>
      </c>
      <c r="Q17" s="408">
        <v>22</v>
      </c>
      <c r="R17" s="523"/>
      <c r="S17" s="537">
        <f>IFERROR(VLOOKUP(Table_Main[[#This Row],[Đơn Mua]],Table_DonMua[[Mã Đơn mua]:[Add]],COUNTA(Table_DonMua[[#Headers],[Mã Đơn mua]:[Mã Đối tác]]),0),0)</f>
        <v>0</v>
      </c>
      <c r="T17" s="409"/>
      <c r="U17" s="48">
        <f xml:space="preserve">
IF(NOT(ISBLANK(Table_Main[[#This Row],[Đơn Mua]])),Table_Main[[#This Row],[Số lượng]]*Table_Main[[#This Row],[Giá nhập]],Table_Main[[#This Row],[Số lượng]]*Table_Main[[#This Row],[Giá trị bình quân đầu ngày]])</f>
        <v>1306885.0174129354</v>
      </c>
      <c r="V1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7" s="48">
        <f>IF(Table_Main[[#This Row],[Đơn Mua]]="", 0,IFERROR(Table_Main[[#This Row],[Tỷ suất VAT khấu trừ]]*(Table_Main[[#This Row],[Giá trị hàng nhập]]/(1+Table_Main[[#This Row],[Tỷ suất VAT khấu trừ]])),0))</f>
        <v>0</v>
      </c>
      <c r="X17" s="523" t="s">
        <v>1229</v>
      </c>
      <c r="Y17" s="28" t="str">
        <f>IFERROR(VLOOKUP(Table_Main[[#This Row],[Đơn bán]],Table_DonBan[[Mã Đơn bán]:[Add]],COUNTA(Table_DonBan[[#Headers],[Mã Đơn bán]:[Mã Khách]]),0),0)</f>
        <v>KH1</v>
      </c>
      <c r="Z17" s="48">
        <f>IF(ISBLANK(Table_Main[[#This Row],[Đơn bán]]),0,
VLOOKUP(Table_Main[[#This Row],[Mã SKU]],Table_SKU[[Mã SKU]:[Giá bán]],COUNTA(Table_SKU[[#Headers],[Mã SKU]:[Giá bán]]),0))</f>
        <v>100000</v>
      </c>
      <c r="AA17" s="48">
        <f>IF(ISBLANK(Table_Main[[#This Row],[Đơn bán]]),0,
IF(Table_Main[[#This Row],[Loại]] = "Xuất",Table_Main[[#This Row],[Giá bán niêm yết]]*Table_Main[[#This Row],[Số lượng]],-Table_Main[[#This Row],[Giá bán niêm yết]]*Table_Main[[#This Row],[Số lượng]]))</f>
        <v>2200000</v>
      </c>
      <c r="AB17" s="230"/>
      <c r="AC1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2200000</v>
      </c>
      <c r="AF17" s="48">
        <f xml:space="preserve">
IF(Table_Main[[#This Row],[Đơn bán]]="", 0,
IFERROR(
VLOOKUP(Table_Main[[#This Row],[Mã SKU]],Table_SKU[[Mã SKU]:[Tỷ suất VAT]],COUNTA(Table_SKU[[#Headers],[Mã SKU]:[Tỷ suất VAT]]),0),0)*Table_Main[[#This Row],[Giá trị bán trước VAT]])</f>
        <v>0</v>
      </c>
      <c r="AG17" s="51">
        <f>IFERROR(VLOOKUP(Table_Main[[#This Row],[Đơn bán]],Table_DonBan[[Mã Đơn bán]:[Add]],COUNTA(Table_DonBan[[#Headers],[Mã Đơn bán]:[Mã NV]]),0),0)</f>
        <v>0</v>
      </c>
      <c r="AH1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7" s="48">
        <f>IFERROR(Table_Main[[#This Row],[Giá trị bán trước VAT]]*Table_Main[[#This Row],[Tỷ lệ hoa hồng]],"")</f>
        <v>0</v>
      </c>
      <c r="AJ17" s="48">
        <f>IFERROR(VLOOKUP(Table_Main[[#This Row],[Đơn bán]],Table_DonBan[[Mã Đơn bán]:[Add]],COUNTA(Table_DonBan[[#Headers],[Mã Đơn bán]:[Kênh]]),0),0)</f>
        <v>0</v>
      </c>
      <c r="AK1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7" s="48">
        <f>IFERROR(Table_Main[[#This Row],[Giá trị bán trước VAT]]*Table_Main[[#This Row],[Tỷ lệ CK kênh]],"")</f>
        <v>0</v>
      </c>
      <c r="AM17" s="230"/>
      <c r="AN17" s="232"/>
      <c r="AO17" s="226">
        <f>Table_Main[[#This Row],[ĐK - Phân loại]]*Table_Main[[#This Row],[ĐK - Thời gian]]*Table_Main[[#This Row],[ĐK - Giá trị]]*Table_Main[[#This Row],[ĐK - Số lượng]]*Table_Main[[#This Row],[ĐK - Sinh nhật]]*Table_Main[[#This Row],[ĐK - Ngày mua cuối]]</f>
        <v>1</v>
      </c>
      <c r="AP17" s="226">
        <f xml:space="preserve">
IF(ISBLANK(Table_Main[[#This Row],[Chương trình]]),1,
IF(VLOOKUP(Table_Main[[#This Row],[Chương trình]],Table_ChuongTrinh[[Mã Chương trình]:[Đối tượng CK]],Sheet_ChuongTrinh!$C$1,0) = "Sản phẩm",1,0))</f>
        <v>1</v>
      </c>
      <c r="AQ1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8" spans="2:47" ht="18" customHeight="1" x14ac:dyDescent="0.3">
      <c r="B18" s="523" t="s">
        <v>1159</v>
      </c>
      <c r="C18" s="523"/>
      <c r="D18" s="537" t="str">
        <f>IF(ISBLANK(Table_Main[[#This Row],[Mã SKU]]),Table_Main[[#This Row],[Mã Nguyên liệu]],Table_Main[[#This Row],[Mã SKU]])</f>
        <v>HH1</v>
      </c>
      <c r="E18" s="420" cm="1">
        <f t="array" ref="E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48</v>
      </c>
      <c r="F18" s="420" cm="1">
        <f t="array" ref="F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46</v>
      </c>
      <c r="G18" s="420" cm="1">
        <f t="array" ref="G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2851385.4925373141</v>
      </c>
      <c r="H18" s="420" cm="1">
        <f t="array" ref="H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2732577.7636815924</v>
      </c>
      <c r="I18" s="420">
        <f>IFERROR(Table_Main[[#This Row],[Giá trị tồn đầu ngày]]/Table_Main[[#This Row],[Tồn kho đầu ngày]],0)</f>
        <v>59403.86442786071</v>
      </c>
      <c r="J18" s="420">
        <f>IFERROR(Table_Main[[#This Row],[Giá trị tồn cuối ngày]]/Table_Main[[#This Row],[Tồn kho cuối ngày]],0)</f>
        <v>59403.864427860703</v>
      </c>
      <c r="K18" s="415">
        <v>45792</v>
      </c>
      <c r="L18" s="47">
        <f xml:space="preserve">
IFERROR(
IFERROR(
VLOOKUP(Table_Main[[#This Row],[Đơn Mua]],Table_DonMua[[Mã Đơn mua]:[Add]],COUNTA(Table_DonMua[[#Headers],[Mã Đơn mua]:[Ngày lập]]),0),
VLOOKUP(Table_Main[[#This Row],[Đơn bán]],Table_DonBan[[Mã Đơn bán]:[Add]], COUNTA(Table_DonBan[[#Headers],[Mã Đơn bán]:[Ngày lập]]),0)),0)</f>
        <v>45792</v>
      </c>
      <c r="M18" s="29">
        <f>IFERROR(MONTH(Table_Main[[#This Row],[Ngày lên đơn]]),0)</f>
        <v>5</v>
      </c>
      <c r="N18" s="51">
        <f>IF(Table_Main[[#This Row],[Ngày lên đơn]]=0,"",Table_Main[[#This Row],[Ngày xuất nhập]]-Table_Main[[#This Row],[Ngày lên đơn]])</f>
        <v>0</v>
      </c>
      <c r="O18" s="230" t="s">
        <v>53</v>
      </c>
      <c r="P18" s="230" t="s">
        <v>1165</v>
      </c>
      <c r="Q18" s="408">
        <v>2</v>
      </c>
      <c r="R18" s="523"/>
      <c r="S18" s="537">
        <f>IFERROR(VLOOKUP(Table_Main[[#This Row],[Đơn Mua]],Table_DonMua[[Mã Đơn mua]:[Add]],COUNTA(Table_DonMua[[#Headers],[Mã Đơn mua]:[Mã Đối tác]]),0),0)</f>
        <v>0</v>
      </c>
      <c r="T18" s="409"/>
      <c r="U18" s="48">
        <f xml:space="preserve">
IF(NOT(ISBLANK(Table_Main[[#This Row],[Đơn Mua]])),Table_Main[[#This Row],[Số lượng]]*Table_Main[[#This Row],[Giá nhập]],Table_Main[[#This Row],[Số lượng]]*Table_Main[[#This Row],[Giá trị bình quân đầu ngày]])</f>
        <v>118807.72885572142</v>
      </c>
      <c r="V1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8" s="48">
        <f>IF(Table_Main[[#This Row],[Đơn Mua]]="", 0,IFERROR(Table_Main[[#This Row],[Tỷ suất VAT khấu trừ]]*(Table_Main[[#This Row],[Giá trị hàng nhập]]/(1+Table_Main[[#This Row],[Tỷ suất VAT khấu trừ]])),0))</f>
        <v>0</v>
      </c>
      <c r="X18" s="523" t="s">
        <v>1228</v>
      </c>
      <c r="Y18" s="28" t="str">
        <f>IFERROR(VLOOKUP(Table_Main[[#This Row],[Đơn bán]],Table_DonBan[[Mã Đơn bán]:[Add]],COUNTA(Table_DonBan[[#Headers],[Mã Đơn bán]:[Mã Khách]]),0),0)</f>
        <v>KH2</v>
      </c>
      <c r="Z18" s="48">
        <f>IF(ISBLANK(Table_Main[[#This Row],[Đơn bán]]),0,
VLOOKUP(Table_Main[[#This Row],[Mã SKU]],Table_SKU[[Mã SKU]:[Giá bán]],COUNTA(Table_SKU[[#Headers],[Mã SKU]:[Giá bán]]),0))</f>
        <v>100000</v>
      </c>
      <c r="AA18" s="48">
        <f>IF(ISBLANK(Table_Main[[#This Row],[Đơn bán]]),0,
IF(Table_Main[[#This Row],[Loại]] = "Xuất",Table_Main[[#This Row],[Giá bán niêm yết]]*Table_Main[[#This Row],[Số lượng]],-Table_Main[[#This Row],[Giá bán niêm yết]]*Table_Main[[#This Row],[Số lượng]]))</f>
        <v>200000</v>
      </c>
      <c r="AB18" s="230"/>
      <c r="AC1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200000</v>
      </c>
      <c r="AF18" s="48">
        <f xml:space="preserve">
IF(Table_Main[[#This Row],[Đơn bán]]="", 0,
IFERROR(
VLOOKUP(Table_Main[[#This Row],[Mã SKU]],Table_SKU[[Mã SKU]:[Tỷ suất VAT]],COUNTA(Table_SKU[[#Headers],[Mã SKU]:[Tỷ suất VAT]]),0),0)*Table_Main[[#This Row],[Giá trị bán trước VAT]])</f>
        <v>0</v>
      </c>
      <c r="AG18" s="51">
        <f>IFERROR(VLOOKUP(Table_Main[[#This Row],[Đơn bán]],Table_DonBan[[Mã Đơn bán]:[Add]],COUNTA(Table_DonBan[[#Headers],[Mã Đơn bán]:[Mã NV]]),0),0)</f>
        <v>0</v>
      </c>
      <c r="AH1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8" s="48">
        <f>IFERROR(Table_Main[[#This Row],[Giá trị bán trước VAT]]*Table_Main[[#This Row],[Tỷ lệ hoa hồng]],"")</f>
        <v>0</v>
      </c>
      <c r="AJ18" s="48">
        <f>IFERROR(VLOOKUP(Table_Main[[#This Row],[Đơn bán]],Table_DonBan[[Mã Đơn bán]:[Add]],COUNTA(Table_DonBan[[#Headers],[Mã Đơn bán]:[Kênh]]),0),0)</f>
        <v>0</v>
      </c>
      <c r="AK1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8" s="48">
        <f>IFERROR(Table_Main[[#This Row],[Giá trị bán trước VAT]]*Table_Main[[#This Row],[Tỷ lệ CK kênh]],"")</f>
        <v>0</v>
      </c>
      <c r="AM18" s="230"/>
      <c r="AN18" s="232"/>
      <c r="AO18" s="226">
        <f>Table_Main[[#This Row],[ĐK - Phân loại]]*Table_Main[[#This Row],[ĐK - Thời gian]]*Table_Main[[#This Row],[ĐK - Giá trị]]*Table_Main[[#This Row],[ĐK - Số lượng]]*Table_Main[[#This Row],[ĐK - Sinh nhật]]*Table_Main[[#This Row],[ĐK - Ngày mua cuối]]</f>
        <v>1</v>
      </c>
      <c r="AP18" s="226">
        <f xml:space="preserve">
IF(ISBLANK(Table_Main[[#This Row],[Chương trình]]),1,
IF(VLOOKUP(Table_Main[[#This Row],[Chương trình]],Table_ChuongTrinh[[Mã Chương trình]:[Đối tượng CK]],Sheet_ChuongTrinh!$C$1,0) = "Sản phẩm",1,0))</f>
        <v>1</v>
      </c>
      <c r="AQ1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9" spans="2:47" ht="18" customHeight="1" x14ac:dyDescent="0.3">
      <c r="B19" s="523" t="s">
        <v>1161</v>
      </c>
      <c r="C19" s="523"/>
      <c r="D19" s="537" t="str">
        <f>IF(ISBLANK(Table_Main[[#This Row],[Mã SKU]]),Table_Main[[#This Row],[Mã Nguyên liệu]],Table_Main[[#This Row],[Mã SKU]])</f>
        <v>TP2</v>
      </c>
      <c r="E19" s="420" cm="1">
        <f t="array" ref="E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v>
      </c>
      <c r="F19" s="420" cm="1">
        <f t="array" ref="F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v>
      </c>
      <c r="G19" s="420" cm="1">
        <f t="array" ref="G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9" s="420" cm="1">
        <f t="array" ref="H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9" s="420">
        <f>IFERROR(Table_Main[[#This Row],[Giá trị tồn đầu ngày]]/Table_Main[[#This Row],[Tồn kho đầu ngày]],0)</f>
        <v>0</v>
      </c>
      <c r="J19" s="420">
        <f>IFERROR(Table_Main[[#This Row],[Giá trị tồn cuối ngày]]/Table_Main[[#This Row],[Tồn kho cuối ngày]],0)</f>
        <v>0</v>
      </c>
      <c r="K19" s="415">
        <v>45789</v>
      </c>
      <c r="L1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9" s="29">
        <f>IFERROR(MONTH(Table_Main[[#This Row],[Ngày lên đơn]]),0)</f>
        <v>1</v>
      </c>
      <c r="N19" s="51" t="str">
        <f>IF(Table_Main[[#This Row],[Ngày lên đơn]]=0,"",Table_Main[[#This Row],[Ngày xuất nhập]]-Table_Main[[#This Row],[Ngày lên đơn]])</f>
        <v/>
      </c>
      <c r="O19" s="230" t="s">
        <v>1164</v>
      </c>
      <c r="P19" s="230" t="s">
        <v>1165</v>
      </c>
      <c r="Q19" s="408">
        <v>15</v>
      </c>
      <c r="R19" s="523"/>
      <c r="S19" s="537">
        <f>IFERROR(VLOOKUP(Table_Main[[#This Row],[Đơn Mua]],Table_DonMua[[Mã Đơn mua]:[Add]],COUNTA(Table_DonMua[[#Headers],[Mã Đơn mua]:[Mã Đối tác]]),0),0)</f>
        <v>0</v>
      </c>
      <c r="T19" s="409"/>
      <c r="U19" s="48">
        <f xml:space="preserve">
IF(NOT(ISBLANK(Table_Main[[#This Row],[Đơn Mua]])),Table_Main[[#This Row],[Số lượng]]*Table_Main[[#This Row],[Giá nhập]],Table_Main[[#This Row],[Số lượng]]*Table_Main[[#This Row],[Giá trị bình quân đầu ngày]])</f>
        <v>0</v>
      </c>
      <c r="V1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9" s="48">
        <f>IF(Table_Main[[#This Row],[Đơn Mua]]="", 0,IFERROR(Table_Main[[#This Row],[Tỷ suất VAT khấu trừ]]*(Table_Main[[#This Row],[Giá trị hàng nhập]]/(1+Table_Main[[#This Row],[Tỷ suất VAT khấu trừ]])),0))</f>
        <v>0</v>
      </c>
      <c r="X19" s="523"/>
      <c r="Y19" s="28">
        <f>IFERROR(VLOOKUP(Table_Main[[#This Row],[Đơn bán]],Table_DonBan[[Mã Đơn bán]:[Add]],COUNTA(Table_DonBan[[#Headers],[Mã Đơn bán]:[Mã Khách]]),0),0)</f>
        <v>0</v>
      </c>
      <c r="Z19" s="48">
        <f>IF(ISBLANK(Table_Main[[#This Row],[Đơn bán]]),0,
VLOOKUP(Table_Main[[#This Row],[Mã SKU]],Table_SKU[[Mã SKU]:[Giá bán]],COUNTA(Table_SKU[[#Headers],[Mã SKU]:[Giá bán]]),0))</f>
        <v>0</v>
      </c>
      <c r="AA19" s="48">
        <f>IF(ISBLANK(Table_Main[[#This Row],[Đơn bán]]),0,
IF(Table_Main[[#This Row],[Loại]] = "Xuất",Table_Main[[#This Row],[Giá bán niêm yết]]*Table_Main[[#This Row],[Số lượng]],-Table_Main[[#This Row],[Giá bán niêm yết]]*Table_Main[[#This Row],[Số lượng]]))</f>
        <v>0</v>
      </c>
      <c r="AB19" s="230"/>
      <c r="AC1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9" s="48">
        <f xml:space="preserve">
IF(Table_Main[[#This Row],[Đơn bán]]="", 0,
IFERROR(
VLOOKUP(Table_Main[[#This Row],[Mã SKU]],Table_SKU[[Mã SKU]:[Tỷ suất VAT]],COUNTA(Table_SKU[[#Headers],[Mã SKU]:[Tỷ suất VAT]]),0),0)*Table_Main[[#This Row],[Giá trị bán trước VAT]])</f>
        <v>0</v>
      </c>
      <c r="AG19" s="51">
        <f>IFERROR(VLOOKUP(Table_Main[[#This Row],[Đơn bán]],Table_DonBan[[Mã Đơn bán]:[Add]],COUNTA(Table_DonBan[[#Headers],[Mã Đơn bán]:[Mã NV]]),0),0)</f>
        <v>0</v>
      </c>
      <c r="AH1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9" s="48">
        <f>IFERROR(Table_Main[[#This Row],[Giá trị bán trước VAT]]*Table_Main[[#This Row],[Tỷ lệ hoa hồng]],"")</f>
        <v>0</v>
      </c>
      <c r="AJ19" s="48">
        <f>IFERROR(VLOOKUP(Table_Main[[#This Row],[Đơn bán]],Table_DonBan[[Mã Đơn bán]:[Add]],COUNTA(Table_DonBan[[#Headers],[Mã Đơn bán]:[Kênh]]),0),0)</f>
        <v>0</v>
      </c>
      <c r="AK1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9" s="48">
        <f>IFERROR(Table_Main[[#This Row],[Giá trị bán trước VAT]]*Table_Main[[#This Row],[Tỷ lệ CK kênh]],"")</f>
        <v>0</v>
      </c>
      <c r="AM19" s="230"/>
      <c r="AN19" s="232"/>
      <c r="AO19" s="226">
        <f>Table_Main[[#This Row],[ĐK - Phân loại]]*Table_Main[[#This Row],[ĐK - Thời gian]]*Table_Main[[#This Row],[ĐK - Giá trị]]*Table_Main[[#This Row],[ĐK - Số lượng]]*Table_Main[[#This Row],[ĐK - Sinh nhật]]*Table_Main[[#This Row],[ĐK - Ngày mua cuối]]</f>
        <v>1</v>
      </c>
      <c r="AP19" s="226">
        <f xml:space="preserve">
IF(ISBLANK(Table_Main[[#This Row],[Chương trình]]),1,
IF(VLOOKUP(Table_Main[[#This Row],[Chương trình]],Table_ChuongTrinh[[Mã Chương trình]:[Đối tượng CK]],Sheet_ChuongTrinh!$C$1,0) = "Sản phẩm",1,0))</f>
        <v>1</v>
      </c>
      <c r="AQ1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0" spans="2:47" ht="18" customHeight="1" x14ac:dyDescent="0.3">
      <c r="B20" s="530"/>
      <c r="C20" s="239" t="s">
        <v>1163</v>
      </c>
      <c r="D20" s="538" t="str">
        <f>IF(ISBLANK(Table_Main[[#This Row],[Mã SKU]]),Table_Main[[#This Row],[Mã Nguyên liệu]],Table_Main[[#This Row],[Mã SKU]])</f>
        <v>NL1</v>
      </c>
      <c r="E20" s="420" cm="1">
        <f t="array" ref="E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168</v>
      </c>
      <c r="F20" s="420" cm="1">
        <f t="array" ref="F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141</v>
      </c>
      <c r="G20" s="420" cm="1">
        <f t="array" ref="G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16339105.070175439</v>
      </c>
      <c r="H20" s="420" cm="1">
        <f t="array" ref="H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13713177.469611529</v>
      </c>
      <c r="I20" s="420">
        <f>IFERROR(Table_Main[[#This Row],[Giá trị tồn đầu ngày]]/Table_Main[[#This Row],[Tồn kho đầu ngày]],0)</f>
        <v>97256.577798663333</v>
      </c>
      <c r="J20" s="420">
        <f>IFERROR(Table_Main[[#This Row],[Giá trị tồn cuối ngày]]/Table_Main[[#This Row],[Tồn kho cuối ngày]],0)</f>
        <v>97256.577798663333</v>
      </c>
      <c r="K20" s="415">
        <v>45788</v>
      </c>
      <c r="L2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0" s="29">
        <f>IFERROR(MONTH(Table_Main[[#This Row],[Ngày lên đơn]]),0)</f>
        <v>1</v>
      </c>
      <c r="N20" s="51" t="str">
        <f>IF(Table_Main[[#This Row],[Ngày lên đơn]]=0,"",Table_Main[[#This Row],[Ngày xuất nhập]]-Table_Main[[#This Row],[Ngày lên đơn]])</f>
        <v/>
      </c>
      <c r="O20" s="230" t="s">
        <v>53</v>
      </c>
      <c r="P20" s="230" t="s">
        <v>1165</v>
      </c>
      <c r="Q20" s="408">
        <v>27</v>
      </c>
      <c r="R20" s="523"/>
      <c r="S20" s="537">
        <f>IFERROR(VLOOKUP(Table_Main[[#This Row],[Đơn Mua]],Table_DonMua[[Mã Đơn mua]:[Add]],COUNTA(Table_DonMua[[#Headers],[Mã Đơn mua]:[Mã Đối tác]]),0),0)</f>
        <v>0</v>
      </c>
      <c r="T20" s="409"/>
      <c r="U20" s="48">
        <f xml:space="preserve">
IF(NOT(ISBLANK(Table_Main[[#This Row],[Đơn Mua]])),Table_Main[[#This Row],[Số lượng]]*Table_Main[[#This Row],[Giá nhập]],Table_Main[[#This Row],[Số lượng]]*Table_Main[[#This Row],[Giá trị bình quân đầu ngày]])</f>
        <v>2625927.6005639099</v>
      </c>
      <c r="V2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0" s="48">
        <f>IF(Table_Main[[#This Row],[Đơn Mua]]="", 0,IFERROR(Table_Main[[#This Row],[Tỷ suất VAT khấu trừ]]*(Table_Main[[#This Row],[Giá trị hàng nhập]]/(1+Table_Main[[#This Row],[Tỷ suất VAT khấu trừ]])),0))</f>
        <v>0</v>
      </c>
      <c r="X20" s="523"/>
      <c r="Y20" s="28">
        <f>IFERROR(VLOOKUP(Table_Main[[#This Row],[Đơn bán]],Table_DonBan[[Mã Đơn bán]:[Add]],COUNTA(Table_DonBan[[#Headers],[Mã Đơn bán]:[Mã Khách]]),0),0)</f>
        <v>0</v>
      </c>
      <c r="Z20" s="48">
        <f>IF(ISBLANK(Table_Main[[#This Row],[Đơn bán]]),0,
VLOOKUP(Table_Main[[#This Row],[Mã SKU]],Table_SKU[[Mã SKU]:[Giá bán]],COUNTA(Table_SKU[[#Headers],[Mã SKU]:[Giá bán]]),0))</f>
        <v>0</v>
      </c>
      <c r="AA20" s="48">
        <f>IF(ISBLANK(Table_Main[[#This Row],[Đơn bán]]),0,
IF(Table_Main[[#This Row],[Loại]] = "Xuất",Table_Main[[#This Row],[Giá bán niêm yết]]*Table_Main[[#This Row],[Số lượng]],-Table_Main[[#This Row],[Giá bán niêm yết]]*Table_Main[[#This Row],[Số lượng]]))</f>
        <v>0</v>
      </c>
      <c r="AB20" s="230"/>
      <c r="AC2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0" s="48">
        <f xml:space="preserve">
IF(Table_Main[[#This Row],[Đơn bán]]="", 0,
IFERROR(
VLOOKUP(Table_Main[[#This Row],[Mã SKU]],Table_SKU[[Mã SKU]:[Tỷ suất VAT]],COUNTA(Table_SKU[[#Headers],[Mã SKU]:[Tỷ suất VAT]]),0),0)*Table_Main[[#This Row],[Giá trị bán trước VAT]])</f>
        <v>0</v>
      </c>
      <c r="AG20" s="51">
        <f>IFERROR(VLOOKUP(Table_Main[[#This Row],[Đơn bán]],Table_DonBan[[Mã Đơn bán]:[Add]],COUNTA(Table_DonBan[[#Headers],[Mã Đơn bán]:[Mã NV]]),0),0)</f>
        <v>0</v>
      </c>
      <c r="AH2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0" s="48">
        <f>IFERROR(Table_Main[[#This Row],[Giá trị bán trước VAT]]*Table_Main[[#This Row],[Tỷ lệ hoa hồng]],"")</f>
        <v>0</v>
      </c>
      <c r="AJ20" s="48">
        <f>IFERROR(VLOOKUP(Table_Main[[#This Row],[Đơn bán]],Table_DonBan[[Mã Đơn bán]:[Add]],COUNTA(Table_DonBan[[#Headers],[Mã Đơn bán]:[Kênh]]),0),0)</f>
        <v>0</v>
      </c>
      <c r="AK2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0" s="48">
        <f>IFERROR(Table_Main[[#This Row],[Giá trị bán trước VAT]]*Table_Main[[#This Row],[Tỷ lệ CK kênh]],"")</f>
        <v>0</v>
      </c>
      <c r="AM20" s="230"/>
      <c r="AN20" s="232"/>
      <c r="AO20" s="226">
        <f>Table_Main[[#This Row],[ĐK - Phân loại]]*Table_Main[[#This Row],[ĐK - Thời gian]]*Table_Main[[#This Row],[ĐK - Giá trị]]*Table_Main[[#This Row],[ĐK - Số lượng]]*Table_Main[[#This Row],[ĐK - Sinh nhật]]*Table_Main[[#This Row],[ĐK - Ngày mua cuối]]</f>
        <v>1</v>
      </c>
      <c r="AP20" s="226">
        <f xml:space="preserve">
IF(ISBLANK(Table_Main[[#This Row],[Chương trình]]),1,
IF(VLOOKUP(Table_Main[[#This Row],[Chương trình]],Table_ChuongTrinh[[Mã Chương trình]:[Đối tượng CK]],Sheet_ChuongTrinh!$C$1,0) = "Sản phẩm",1,0))</f>
        <v>1</v>
      </c>
      <c r="AQ2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1" spans="2:47" ht="18" customHeight="1" x14ac:dyDescent="0.3">
      <c r="B21" s="530"/>
      <c r="C21" s="239" t="s">
        <v>1162</v>
      </c>
      <c r="D21" s="538" t="str">
        <f>IF(ISBLANK(Table_Main[[#This Row],[Mã SKU]]),Table_Main[[#This Row],[Mã Nguyên liệu]],Table_Main[[#This Row],[Mã SKU]])</f>
        <v>NL2</v>
      </c>
      <c r="E21" s="420" cm="1">
        <f t="array" ref="E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v>
      </c>
      <c r="F21" s="420" cm="1">
        <f t="array" ref="F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21" s="420" cm="1">
        <f t="array" ref="G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9332607.3592302203</v>
      </c>
      <c r="H21" s="420" cm="1">
        <f t="array" ref="H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9873231.3592302203</v>
      </c>
      <c r="I21" s="420">
        <f>IFERROR(Table_Main[[#This Row],[Giá trị tồn đầu ngày]]/Table_Main[[#This Row],[Tồn kho đầu ngày]],0)</f>
        <v>124434.76478973628</v>
      </c>
      <c r="J21" s="420">
        <f>IFERROR(Table_Main[[#This Row],[Giá trị tồn cuối ngày]]/Table_Main[[#This Row],[Tồn kho cuối ngày]],0)</f>
        <v>124977.61214215468</v>
      </c>
      <c r="K21" s="415">
        <v>45789</v>
      </c>
      <c r="L21" s="47">
        <f xml:space="preserve">
IFERROR(
IFERROR(
VLOOKUP(Table_Main[[#This Row],[Đơn Mua]],Table_DonMua[[Mã Đơn mua]:[Add]],COUNTA(Table_DonMua[[#Headers],[Mã Đơn mua]:[Ngày lập]]),0),
VLOOKUP(Table_Main[[#This Row],[Đơn bán]],Table_DonBan[[Mã Đơn bán]:[Add]], COUNTA(Table_DonBan[[#Headers],[Mã Đơn bán]:[Ngày lập]]),0)),0)</f>
        <v>45788</v>
      </c>
      <c r="M21" s="29">
        <f>IFERROR(MONTH(Table_Main[[#This Row],[Ngày lên đơn]]),0)</f>
        <v>5</v>
      </c>
      <c r="N21" s="51">
        <f>IF(Table_Main[[#This Row],[Ngày lên đơn]]=0,"",Table_Main[[#This Row],[Ngày xuất nhập]]-Table_Main[[#This Row],[Ngày lên đơn]])</f>
        <v>1</v>
      </c>
      <c r="O21" s="230" t="s">
        <v>1164</v>
      </c>
      <c r="P21" s="230" t="s">
        <v>1165</v>
      </c>
      <c r="Q21" s="408">
        <v>4</v>
      </c>
      <c r="R21" s="523" t="s">
        <v>1184</v>
      </c>
      <c r="S21" s="537" t="str">
        <f>IFERROR(VLOOKUP(Table_Main[[#This Row],[Đơn Mua]],Table_DonMua[[Mã Đơn mua]:[Add]],COUNTA(Table_DonMua[[#Headers],[Mã Đơn mua]:[Mã Đối tác]]),0),0)</f>
        <v>NCC2</v>
      </c>
      <c r="T21" s="409">
        <v>135156</v>
      </c>
      <c r="U21" s="48">
        <f xml:space="preserve">
IF(NOT(ISBLANK(Table_Main[[#This Row],[Đơn Mua]])),Table_Main[[#This Row],[Số lượng]]*Table_Main[[#This Row],[Giá nhập]],Table_Main[[#This Row],[Số lượng]]*Table_Main[[#This Row],[Giá trị bình quân đầu ngày]])</f>
        <v>540624</v>
      </c>
      <c r="V2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1" s="48">
        <f>IF(Table_Main[[#This Row],[Đơn Mua]]="", 0,IFERROR(Table_Main[[#This Row],[Tỷ suất VAT khấu trừ]]*(Table_Main[[#This Row],[Giá trị hàng nhập]]/(1+Table_Main[[#This Row],[Tỷ suất VAT khấu trừ]])),0))</f>
        <v>0</v>
      </c>
      <c r="X21" s="523"/>
      <c r="Y21" s="28">
        <f>IFERROR(VLOOKUP(Table_Main[[#This Row],[Đơn bán]],Table_DonBan[[Mã Đơn bán]:[Add]],COUNTA(Table_DonBan[[#Headers],[Mã Đơn bán]:[Mã Khách]]),0),0)</f>
        <v>0</v>
      </c>
      <c r="Z21" s="48">
        <f>IF(ISBLANK(Table_Main[[#This Row],[Đơn bán]]),0,
VLOOKUP(Table_Main[[#This Row],[Mã SKU]],Table_SKU[[Mã SKU]:[Giá bán]],COUNTA(Table_SKU[[#Headers],[Mã SKU]:[Giá bán]]),0))</f>
        <v>0</v>
      </c>
      <c r="AA21" s="48">
        <f>IF(ISBLANK(Table_Main[[#This Row],[Đơn bán]]),0,
IF(Table_Main[[#This Row],[Loại]] = "Xuất",Table_Main[[#This Row],[Giá bán niêm yết]]*Table_Main[[#This Row],[Số lượng]],-Table_Main[[#This Row],[Giá bán niêm yết]]*Table_Main[[#This Row],[Số lượng]]))</f>
        <v>0</v>
      </c>
      <c r="AB21" s="230"/>
      <c r="AC2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1" s="48">
        <f xml:space="preserve">
IF(Table_Main[[#This Row],[Đơn bán]]="", 0,
IFERROR(
VLOOKUP(Table_Main[[#This Row],[Mã SKU]],Table_SKU[[Mã SKU]:[Tỷ suất VAT]],COUNTA(Table_SKU[[#Headers],[Mã SKU]:[Tỷ suất VAT]]),0),0)*Table_Main[[#This Row],[Giá trị bán trước VAT]])</f>
        <v>0</v>
      </c>
      <c r="AG21" s="51">
        <f>IFERROR(VLOOKUP(Table_Main[[#This Row],[Đơn bán]],Table_DonBan[[Mã Đơn bán]:[Add]],COUNTA(Table_DonBan[[#Headers],[Mã Đơn bán]:[Mã NV]]),0),0)</f>
        <v>0</v>
      </c>
      <c r="AH2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1" s="48">
        <f>IFERROR(Table_Main[[#This Row],[Giá trị bán trước VAT]]*Table_Main[[#This Row],[Tỷ lệ hoa hồng]],"")</f>
        <v>0</v>
      </c>
      <c r="AJ21" s="48">
        <f>IFERROR(VLOOKUP(Table_Main[[#This Row],[Đơn bán]],Table_DonBan[[Mã Đơn bán]:[Add]],COUNTA(Table_DonBan[[#Headers],[Mã Đơn bán]:[Kênh]]),0),0)</f>
        <v>0</v>
      </c>
      <c r="AK2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1" s="48">
        <f>IFERROR(Table_Main[[#This Row],[Giá trị bán trước VAT]]*Table_Main[[#This Row],[Tỷ lệ CK kênh]],"")</f>
        <v>0</v>
      </c>
      <c r="AM21" s="230"/>
      <c r="AN21" s="232"/>
      <c r="AO21" s="226">
        <f>Table_Main[[#This Row],[ĐK - Phân loại]]*Table_Main[[#This Row],[ĐK - Thời gian]]*Table_Main[[#This Row],[ĐK - Giá trị]]*Table_Main[[#This Row],[ĐK - Số lượng]]*Table_Main[[#This Row],[ĐK - Sinh nhật]]*Table_Main[[#This Row],[ĐK - Ngày mua cuối]]</f>
        <v>1</v>
      </c>
      <c r="AP21" s="226">
        <f xml:space="preserve">
IF(ISBLANK(Table_Main[[#This Row],[Chương trình]]),1,
IF(VLOOKUP(Table_Main[[#This Row],[Chương trình]],Table_ChuongTrinh[[Mã Chương trình]:[Đối tượng CK]],Sheet_ChuongTrinh!$C$1,0) = "Sản phẩm",1,0))</f>
        <v>1</v>
      </c>
      <c r="AQ2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2" spans="2:47" ht="18" customHeight="1" x14ac:dyDescent="0.3">
      <c r="B22" s="523" t="s">
        <v>1160</v>
      </c>
      <c r="C22" s="523"/>
      <c r="D22" s="537" t="str">
        <f>IF(ISBLANK(Table_Main[[#This Row],[Mã SKU]]),Table_Main[[#This Row],[Mã Nguyên liệu]],Table_Main[[#This Row],[Mã SKU]])</f>
        <v>TP1</v>
      </c>
      <c r="E22" s="420" cm="1">
        <f t="array" ref="E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135</v>
      </c>
      <c r="F22" s="420" cm="1">
        <f t="array" ref="F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113</v>
      </c>
      <c r="G22" s="420" cm="1">
        <f t="array" ref="G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2" s="420" cm="1">
        <f t="array" ref="H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2" s="420">
        <f>IFERROR(Table_Main[[#This Row],[Giá trị tồn đầu ngày]]/Table_Main[[#This Row],[Tồn kho đầu ngày]],0)</f>
        <v>0</v>
      </c>
      <c r="J22" s="420">
        <f>IFERROR(Table_Main[[#This Row],[Giá trị tồn cuối ngày]]/Table_Main[[#This Row],[Tồn kho cuối ngày]],0)</f>
        <v>0</v>
      </c>
      <c r="K22" s="415">
        <v>45786</v>
      </c>
      <c r="L22"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2" s="29">
        <f>IFERROR(MONTH(Table_Main[[#This Row],[Ngày lên đơn]]),0)</f>
        <v>5</v>
      </c>
      <c r="N22" s="51">
        <f>IF(Table_Main[[#This Row],[Ngày lên đơn]]=0,"",Table_Main[[#This Row],[Ngày xuất nhập]]-Table_Main[[#This Row],[Ngày lên đơn]])</f>
        <v>0</v>
      </c>
      <c r="O22" s="230" t="s">
        <v>53</v>
      </c>
      <c r="P22" s="230" t="s">
        <v>1165</v>
      </c>
      <c r="Q22" s="408">
        <v>22</v>
      </c>
      <c r="R22" s="523"/>
      <c r="S22" s="537">
        <f>IFERROR(VLOOKUP(Table_Main[[#This Row],[Đơn Mua]],Table_DonMua[[Mã Đơn mua]:[Add]],COUNTA(Table_DonMua[[#Headers],[Mã Đơn mua]:[Mã Đối tác]]),0),0)</f>
        <v>0</v>
      </c>
      <c r="T22" s="409"/>
      <c r="U22" s="48">
        <f xml:space="preserve">
IF(NOT(ISBLANK(Table_Main[[#This Row],[Đơn Mua]])),Table_Main[[#This Row],[Số lượng]]*Table_Main[[#This Row],[Giá nhập]],Table_Main[[#This Row],[Số lượng]]*Table_Main[[#This Row],[Giá trị bình quân đầu ngày]])</f>
        <v>0</v>
      </c>
      <c r="V2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2" s="48">
        <f>IF(Table_Main[[#This Row],[Đơn Mua]]="", 0,IFERROR(Table_Main[[#This Row],[Tỷ suất VAT khấu trừ]]*(Table_Main[[#This Row],[Giá trị hàng nhập]]/(1+Table_Main[[#This Row],[Tỷ suất VAT khấu trừ]])),0))</f>
        <v>0</v>
      </c>
      <c r="X22" s="523" t="s">
        <v>1227</v>
      </c>
      <c r="Y22" s="28" t="str">
        <f>IFERROR(VLOOKUP(Table_Main[[#This Row],[Đơn bán]],Table_DonBan[[Mã Đơn bán]:[Add]],COUNTA(Table_DonBan[[#Headers],[Mã Đơn bán]:[Mã Khách]]),0),0)</f>
        <v>KH1</v>
      </c>
      <c r="Z22" s="48">
        <f>IF(ISBLANK(Table_Main[[#This Row],[Đơn bán]]),0,
VLOOKUP(Table_Main[[#This Row],[Mã SKU]],Table_SKU[[Mã SKU]:[Giá bán]],COUNTA(Table_SKU[[#Headers],[Mã SKU]:[Giá bán]]),0))</f>
        <v>300000</v>
      </c>
      <c r="AA22" s="48">
        <f>IF(ISBLANK(Table_Main[[#This Row],[Đơn bán]]),0,
IF(Table_Main[[#This Row],[Loại]] = "Xuất",Table_Main[[#This Row],[Giá bán niêm yết]]*Table_Main[[#This Row],[Số lượng]],-Table_Main[[#This Row],[Giá bán niêm yết]]*Table_Main[[#This Row],[Số lượng]]))</f>
        <v>6600000</v>
      </c>
      <c r="AB22" s="230"/>
      <c r="AC2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6600000</v>
      </c>
      <c r="AF22" s="48">
        <f xml:space="preserve">
IF(Table_Main[[#This Row],[Đơn bán]]="", 0,
IFERROR(
VLOOKUP(Table_Main[[#This Row],[Mã SKU]],Table_SKU[[Mã SKU]:[Tỷ suất VAT]],COUNTA(Table_SKU[[#Headers],[Mã SKU]:[Tỷ suất VAT]]),0),0)*Table_Main[[#This Row],[Giá trị bán trước VAT]])</f>
        <v>0</v>
      </c>
      <c r="AG22" s="51">
        <f>IFERROR(VLOOKUP(Table_Main[[#This Row],[Đơn bán]],Table_DonBan[[Mã Đơn bán]:[Add]],COUNTA(Table_DonBan[[#Headers],[Mã Đơn bán]:[Mã NV]]),0),0)</f>
        <v>0</v>
      </c>
      <c r="AH2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2" s="48">
        <f>IFERROR(Table_Main[[#This Row],[Giá trị bán trước VAT]]*Table_Main[[#This Row],[Tỷ lệ hoa hồng]],"")</f>
        <v>0</v>
      </c>
      <c r="AJ22" s="48">
        <f>IFERROR(VLOOKUP(Table_Main[[#This Row],[Đơn bán]],Table_DonBan[[Mã Đơn bán]:[Add]],COUNTA(Table_DonBan[[#Headers],[Mã Đơn bán]:[Kênh]]),0),0)</f>
        <v>0</v>
      </c>
      <c r="AK2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2" s="48">
        <f>IFERROR(Table_Main[[#This Row],[Giá trị bán trước VAT]]*Table_Main[[#This Row],[Tỷ lệ CK kênh]],"")</f>
        <v>0</v>
      </c>
      <c r="AM22" s="230"/>
      <c r="AN22" s="232"/>
      <c r="AO22" s="226">
        <f>Table_Main[[#This Row],[ĐK - Phân loại]]*Table_Main[[#This Row],[ĐK - Thời gian]]*Table_Main[[#This Row],[ĐK - Giá trị]]*Table_Main[[#This Row],[ĐK - Số lượng]]*Table_Main[[#This Row],[ĐK - Sinh nhật]]*Table_Main[[#This Row],[ĐK - Ngày mua cuối]]</f>
        <v>1</v>
      </c>
      <c r="AP22" s="226">
        <f xml:space="preserve">
IF(ISBLANK(Table_Main[[#This Row],[Chương trình]]),1,
IF(VLOOKUP(Table_Main[[#This Row],[Chương trình]],Table_ChuongTrinh[[Mã Chương trình]:[Đối tượng CK]],Sheet_ChuongTrinh!$C$1,0) = "Sản phẩm",1,0))</f>
        <v>1</v>
      </c>
      <c r="AQ2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3" spans="2:47" ht="18" customHeight="1" x14ac:dyDescent="0.3">
      <c r="B23" s="523" t="s">
        <v>1161</v>
      </c>
      <c r="C23" s="523"/>
      <c r="D23" s="537" t="str">
        <f>IF(ISBLANK(Table_Main[[#This Row],[Mã SKU]]),Table_Main[[#This Row],[Mã Nguyên liệu]],Table_Main[[#This Row],[Mã SKU]])</f>
        <v>TP2</v>
      </c>
      <c r="E23" s="420" cm="1">
        <f t="array" ref="E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v>
      </c>
      <c r="F23" s="420" cm="1">
        <f t="array" ref="F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v>
      </c>
      <c r="G23" s="420" cm="1">
        <f t="array" ref="G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3" s="420" cm="1">
        <f t="array" ref="H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3" s="420">
        <f>IFERROR(Table_Main[[#This Row],[Giá trị tồn đầu ngày]]/Table_Main[[#This Row],[Tồn kho đầu ngày]],0)</f>
        <v>0</v>
      </c>
      <c r="J23" s="420">
        <f>IFERROR(Table_Main[[#This Row],[Giá trị tồn cuối ngày]]/Table_Main[[#This Row],[Tồn kho cuối ngày]],0)</f>
        <v>0</v>
      </c>
      <c r="K23" s="415">
        <v>45786</v>
      </c>
      <c r="L23"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3" s="29">
        <f>IFERROR(MONTH(Table_Main[[#This Row],[Ngày lên đơn]]),0)</f>
        <v>5</v>
      </c>
      <c r="N23" s="51">
        <f>IF(Table_Main[[#This Row],[Ngày lên đơn]]=0,"",Table_Main[[#This Row],[Ngày xuất nhập]]-Table_Main[[#This Row],[Ngày lên đơn]])</f>
        <v>0</v>
      </c>
      <c r="O23" s="230" t="s">
        <v>53</v>
      </c>
      <c r="P23" s="230" t="s">
        <v>1165</v>
      </c>
      <c r="Q23" s="408">
        <v>8</v>
      </c>
      <c r="R23" s="523"/>
      <c r="S23" s="537">
        <f>IFERROR(VLOOKUP(Table_Main[[#This Row],[Đơn Mua]],Table_DonMua[[Mã Đơn mua]:[Add]],COUNTA(Table_DonMua[[#Headers],[Mã Đơn mua]:[Mã Đối tác]]),0),0)</f>
        <v>0</v>
      </c>
      <c r="T23" s="409"/>
      <c r="U23" s="48">
        <f xml:space="preserve">
IF(NOT(ISBLANK(Table_Main[[#This Row],[Đơn Mua]])),Table_Main[[#This Row],[Số lượng]]*Table_Main[[#This Row],[Giá nhập]],Table_Main[[#This Row],[Số lượng]]*Table_Main[[#This Row],[Giá trị bình quân đầu ngày]])</f>
        <v>0</v>
      </c>
      <c r="V2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3" s="48">
        <f>IF(Table_Main[[#This Row],[Đơn Mua]]="", 0,IFERROR(Table_Main[[#This Row],[Tỷ suất VAT khấu trừ]]*(Table_Main[[#This Row],[Giá trị hàng nhập]]/(1+Table_Main[[#This Row],[Tỷ suất VAT khấu trừ]])),0))</f>
        <v>0</v>
      </c>
      <c r="X23" s="523" t="s">
        <v>1227</v>
      </c>
      <c r="Y23" s="28" t="str">
        <f>IFERROR(VLOOKUP(Table_Main[[#This Row],[Đơn bán]],Table_DonBan[[Mã Đơn bán]:[Add]],COUNTA(Table_DonBan[[#Headers],[Mã Đơn bán]:[Mã Khách]]),0),0)</f>
        <v>KH1</v>
      </c>
      <c r="Z23" s="48">
        <f>IF(ISBLANK(Table_Main[[#This Row],[Đơn bán]]),0,
VLOOKUP(Table_Main[[#This Row],[Mã SKU]],Table_SKU[[Mã SKU]:[Giá bán]],COUNTA(Table_SKU[[#Headers],[Mã SKU]:[Giá bán]]),0))</f>
        <v>500000</v>
      </c>
      <c r="AA23" s="48">
        <f>IF(ISBLANK(Table_Main[[#This Row],[Đơn bán]]),0,
IF(Table_Main[[#This Row],[Loại]] = "Xuất",Table_Main[[#This Row],[Giá bán niêm yết]]*Table_Main[[#This Row],[Số lượng]],-Table_Main[[#This Row],[Giá bán niêm yết]]*Table_Main[[#This Row],[Số lượng]]))</f>
        <v>4000000</v>
      </c>
      <c r="AB23" s="230"/>
      <c r="AC2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4000000</v>
      </c>
      <c r="AF23" s="48">
        <f xml:space="preserve">
IF(Table_Main[[#This Row],[Đơn bán]]="", 0,
IFERROR(
VLOOKUP(Table_Main[[#This Row],[Mã SKU]],Table_SKU[[Mã SKU]:[Tỷ suất VAT]],COUNTA(Table_SKU[[#Headers],[Mã SKU]:[Tỷ suất VAT]]),0),0)*Table_Main[[#This Row],[Giá trị bán trước VAT]])</f>
        <v>0</v>
      </c>
      <c r="AG23" s="51">
        <f>IFERROR(VLOOKUP(Table_Main[[#This Row],[Đơn bán]],Table_DonBan[[Mã Đơn bán]:[Add]],COUNTA(Table_DonBan[[#Headers],[Mã Đơn bán]:[Mã NV]]),0),0)</f>
        <v>0</v>
      </c>
      <c r="AH2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3" s="48">
        <f>IFERROR(Table_Main[[#This Row],[Giá trị bán trước VAT]]*Table_Main[[#This Row],[Tỷ lệ hoa hồng]],"")</f>
        <v>0</v>
      </c>
      <c r="AJ23" s="48">
        <f>IFERROR(VLOOKUP(Table_Main[[#This Row],[Đơn bán]],Table_DonBan[[Mã Đơn bán]:[Add]],COUNTA(Table_DonBan[[#Headers],[Mã Đơn bán]:[Kênh]]),0),0)</f>
        <v>0</v>
      </c>
      <c r="AK2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3" s="48">
        <f>IFERROR(Table_Main[[#This Row],[Giá trị bán trước VAT]]*Table_Main[[#This Row],[Tỷ lệ CK kênh]],"")</f>
        <v>0</v>
      </c>
      <c r="AM23" s="230"/>
      <c r="AN23" s="232"/>
      <c r="AO23" s="226">
        <f>Table_Main[[#This Row],[ĐK - Phân loại]]*Table_Main[[#This Row],[ĐK - Thời gian]]*Table_Main[[#This Row],[ĐK - Giá trị]]*Table_Main[[#This Row],[ĐK - Số lượng]]*Table_Main[[#This Row],[ĐK - Sinh nhật]]*Table_Main[[#This Row],[ĐK - Ngày mua cuối]]</f>
        <v>1</v>
      </c>
      <c r="AP23" s="226">
        <f xml:space="preserve">
IF(ISBLANK(Table_Main[[#This Row],[Chương trình]]),1,
IF(VLOOKUP(Table_Main[[#This Row],[Chương trình]],Table_ChuongTrinh[[Mã Chương trình]:[Đối tượng CK]],Sheet_ChuongTrinh!$C$1,0) = "Sản phẩm",1,0))</f>
        <v>1</v>
      </c>
      <c r="AQ2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4" spans="2:47" ht="18" customHeight="1" x14ac:dyDescent="0.3">
      <c r="B24" s="523" t="s">
        <v>1161</v>
      </c>
      <c r="C24" s="523"/>
      <c r="D24" s="537" t="str">
        <f>IF(ISBLANK(Table_Main[[#This Row],[Mã SKU]]),Table_Main[[#This Row],[Mã Nguyên liệu]],Table_Main[[#This Row],[Mã SKU]])</f>
        <v>TP2</v>
      </c>
      <c r="E24" s="420" cm="1">
        <f t="array" ref="E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49</v>
      </c>
      <c r="F24" s="420" cm="1">
        <f t="array" ref="F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v>
      </c>
      <c r="G24" s="420" cm="1">
        <f t="array" ref="G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4" s="420" cm="1">
        <f t="array" ref="H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4" s="420">
        <f>IFERROR(Table_Main[[#This Row],[Giá trị tồn đầu ngày]]/Table_Main[[#This Row],[Tồn kho đầu ngày]],0)</f>
        <v>0</v>
      </c>
      <c r="J24" s="420">
        <f>IFERROR(Table_Main[[#This Row],[Giá trị tồn cuối ngày]]/Table_Main[[#This Row],[Tồn kho cuối ngày]],0)</f>
        <v>0</v>
      </c>
      <c r="K24" s="415">
        <v>45784</v>
      </c>
      <c r="L24" s="47">
        <f xml:space="preserve">
IFERROR(
IFERROR(
VLOOKUP(Table_Main[[#This Row],[Đơn Mua]],Table_DonMua[[Mã Đơn mua]:[Add]],COUNTA(Table_DonMua[[#Headers],[Mã Đơn mua]:[Ngày lập]]),0),
VLOOKUP(Table_Main[[#This Row],[Đơn bán]],Table_DonBan[[Mã Đơn bán]:[Add]], COUNTA(Table_DonBan[[#Headers],[Mã Đơn bán]:[Ngày lập]]),0)),0)</f>
        <v>45784</v>
      </c>
      <c r="M24" s="29">
        <f>IFERROR(MONTH(Table_Main[[#This Row],[Ngày lên đơn]]),0)</f>
        <v>5</v>
      </c>
      <c r="N24" s="51">
        <f>IF(Table_Main[[#This Row],[Ngày lên đơn]]=0,"",Table_Main[[#This Row],[Ngày xuất nhập]]-Table_Main[[#This Row],[Ngày lên đơn]])</f>
        <v>0</v>
      </c>
      <c r="O24" s="230" t="s">
        <v>53</v>
      </c>
      <c r="P24" s="230" t="s">
        <v>1165</v>
      </c>
      <c r="Q24" s="408">
        <v>34</v>
      </c>
      <c r="R24" s="523"/>
      <c r="S24" s="537">
        <f>IFERROR(VLOOKUP(Table_Main[[#This Row],[Đơn Mua]],Table_DonMua[[Mã Đơn mua]:[Add]],COUNTA(Table_DonMua[[#Headers],[Mã Đơn mua]:[Mã Đối tác]]),0),0)</f>
        <v>0</v>
      </c>
      <c r="T24" s="409"/>
      <c r="U24" s="48">
        <f xml:space="preserve">
IF(NOT(ISBLANK(Table_Main[[#This Row],[Đơn Mua]])),Table_Main[[#This Row],[Số lượng]]*Table_Main[[#This Row],[Giá nhập]],Table_Main[[#This Row],[Số lượng]]*Table_Main[[#This Row],[Giá trị bình quân đầu ngày]])</f>
        <v>0</v>
      </c>
      <c r="V2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4" s="48">
        <f>IF(Table_Main[[#This Row],[Đơn Mua]]="", 0,IFERROR(Table_Main[[#This Row],[Tỷ suất VAT khấu trừ]]*(Table_Main[[#This Row],[Giá trị hàng nhập]]/(1+Table_Main[[#This Row],[Tỷ suất VAT khấu trừ]])),0))</f>
        <v>0</v>
      </c>
      <c r="X24" s="523" t="s">
        <v>1226</v>
      </c>
      <c r="Y24" s="28" t="str">
        <f>IFERROR(VLOOKUP(Table_Main[[#This Row],[Đơn bán]],Table_DonBan[[Mã Đơn bán]:[Add]],COUNTA(Table_DonBan[[#Headers],[Mã Đơn bán]:[Mã Khách]]),0),0)</f>
        <v>KH1</v>
      </c>
      <c r="Z24" s="48">
        <f>IF(ISBLANK(Table_Main[[#This Row],[Đơn bán]]),0,
VLOOKUP(Table_Main[[#This Row],[Mã SKU]],Table_SKU[[Mã SKU]:[Giá bán]],COUNTA(Table_SKU[[#Headers],[Mã SKU]:[Giá bán]]),0))</f>
        <v>500000</v>
      </c>
      <c r="AA24" s="48">
        <f>IF(ISBLANK(Table_Main[[#This Row],[Đơn bán]]),0,
IF(Table_Main[[#This Row],[Loại]] = "Xuất",Table_Main[[#This Row],[Giá bán niêm yết]]*Table_Main[[#This Row],[Số lượng]],-Table_Main[[#This Row],[Giá bán niêm yết]]*Table_Main[[#This Row],[Số lượng]]))</f>
        <v>17000000</v>
      </c>
      <c r="AB24" s="230"/>
      <c r="AC2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17000000</v>
      </c>
      <c r="AF24" s="48">
        <f xml:space="preserve">
IF(Table_Main[[#This Row],[Đơn bán]]="", 0,
IFERROR(
VLOOKUP(Table_Main[[#This Row],[Mã SKU]],Table_SKU[[Mã SKU]:[Tỷ suất VAT]],COUNTA(Table_SKU[[#Headers],[Mã SKU]:[Tỷ suất VAT]]),0),0)*Table_Main[[#This Row],[Giá trị bán trước VAT]])</f>
        <v>0</v>
      </c>
      <c r="AG24" s="51">
        <f>IFERROR(VLOOKUP(Table_Main[[#This Row],[Đơn bán]],Table_DonBan[[Mã Đơn bán]:[Add]],COUNTA(Table_DonBan[[#Headers],[Mã Đơn bán]:[Mã NV]]),0),0)</f>
        <v>0</v>
      </c>
      <c r="AH2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4" s="48">
        <f>IFERROR(Table_Main[[#This Row],[Giá trị bán trước VAT]]*Table_Main[[#This Row],[Tỷ lệ hoa hồng]],"")</f>
        <v>0</v>
      </c>
      <c r="AJ24" s="48">
        <f>IFERROR(VLOOKUP(Table_Main[[#This Row],[Đơn bán]],Table_DonBan[[Mã Đơn bán]:[Add]],COUNTA(Table_DonBan[[#Headers],[Mã Đơn bán]:[Kênh]]),0),0)</f>
        <v>0</v>
      </c>
      <c r="AK2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4" s="48">
        <f>IFERROR(Table_Main[[#This Row],[Giá trị bán trước VAT]]*Table_Main[[#This Row],[Tỷ lệ CK kênh]],"")</f>
        <v>0</v>
      </c>
      <c r="AM24" s="230"/>
      <c r="AN24" s="232"/>
      <c r="AO24" s="226">
        <f>Table_Main[[#This Row],[ĐK - Phân loại]]*Table_Main[[#This Row],[ĐK - Thời gian]]*Table_Main[[#This Row],[ĐK - Giá trị]]*Table_Main[[#This Row],[ĐK - Số lượng]]*Table_Main[[#This Row],[ĐK - Sinh nhật]]*Table_Main[[#This Row],[ĐK - Ngày mua cuối]]</f>
        <v>1</v>
      </c>
      <c r="AP24" s="226">
        <f xml:space="preserve">
IF(ISBLANK(Table_Main[[#This Row],[Chương trình]]),1,
IF(VLOOKUP(Table_Main[[#This Row],[Chương trình]],Table_ChuongTrinh[[Mã Chương trình]:[Đối tượng CK]],Sheet_ChuongTrinh!$C$1,0) = "Sản phẩm",1,0))</f>
        <v>1</v>
      </c>
      <c r="AQ2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5" spans="2:47" ht="18" customHeight="1" x14ac:dyDescent="0.3">
      <c r="B25" s="523" t="s">
        <v>1159</v>
      </c>
      <c r="C25" s="523"/>
      <c r="D25" s="537" t="str">
        <f>IF(ISBLANK(Table_Main[[#This Row],[Mã SKU]]),Table_Main[[#This Row],[Mã Nguyên liệu]],Table_Main[[#This Row],[Mã SKU]])</f>
        <v>HH1</v>
      </c>
      <c r="E25" s="420" cm="1">
        <f t="array" ref="E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v>
      </c>
      <c r="F25" s="420" cm="1">
        <f t="array" ref="F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48</v>
      </c>
      <c r="G25" s="420" cm="1">
        <f t="array" ref="G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280105.49253731407</v>
      </c>
      <c r="H25" s="420" cm="1">
        <f t="array" ref="H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2851385.4925373141</v>
      </c>
      <c r="I25" s="420">
        <f>IFERROR(Table_Main[[#This Row],[Giá trị tồn đầu ngày]]/Table_Main[[#This Row],[Tồn kho đầu ngày]],0)</f>
        <v>35013.186567164259</v>
      </c>
      <c r="J25" s="420">
        <f>IFERROR(Table_Main[[#This Row],[Giá trị tồn cuối ngày]]/Table_Main[[#This Row],[Tồn kho cuối ngày]],0)</f>
        <v>59403.86442786071</v>
      </c>
      <c r="K25" s="415">
        <v>45784</v>
      </c>
      <c r="L25" s="47">
        <f xml:space="preserve">
IFERROR(
IFERROR(
VLOOKUP(Table_Main[[#This Row],[Đơn Mua]],Table_DonMua[[Mã Đơn mua]:[Add]],COUNTA(Table_DonMua[[#Headers],[Mã Đơn mua]:[Ngày lập]]),0),
VLOOKUP(Table_Main[[#This Row],[Đơn bán]],Table_DonBan[[Mã Đơn bán]:[Add]], COUNTA(Table_DonBan[[#Headers],[Mã Đơn bán]:[Ngày lập]]),0)),0)</f>
        <v>45782</v>
      </c>
      <c r="M25" s="29">
        <f>IFERROR(MONTH(Table_Main[[#This Row],[Ngày lên đơn]]),0)</f>
        <v>5</v>
      </c>
      <c r="N25" s="51">
        <f>IF(Table_Main[[#This Row],[Ngày lên đơn]]=0,"",Table_Main[[#This Row],[Ngày xuất nhập]]-Table_Main[[#This Row],[Ngày lên đơn]])</f>
        <v>2</v>
      </c>
      <c r="O25" s="230" t="s">
        <v>1164</v>
      </c>
      <c r="P25" s="230" t="s">
        <v>1165</v>
      </c>
      <c r="Q25" s="408">
        <v>40</v>
      </c>
      <c r="R25" s="523" t="s">
        <v>1183</v>
      </c>
      <c r="S25" s="537" t="str">
        <f>IFERROR(VLOOKUP(Table_Main[[#This Row],[Đơn Mua]],Table_DonMua[[Mã Đơn mua]:[Add]],COUNTA(Table_DonMua[[#Headers],[Mã Đơn mua]:[Mã Đối tác]]),0),0)</f>
        <v>NCC1</v>
      </c>
      <c r="T25" s="409">
        <v>64282</v>
      </c>
      <c r="U25" s="48">
        <f xml:space="preserve">
IF(NOT(ISBLANK(Table_Main[[#This Row],[Đơn Mua]])),Table_Main[[#This Row],[Số lượng]]*Table_Main[[#This Row],[Giá nhập]],Table_Main[[#This Row],[Số lượng]]*Table_Main[[#This Row],[Giá trị bình quân đầu ngày]])</f>
        <v>2571280</v>
      </c>
      <c r="V2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5" s="48">
        <f>IF(Table_Main[[#This Row],[Đơn Mua]]="", 0,IFERROR(Table_Main[[#This Row],[Tỷ suất VAT khấu trừ]]*(Table_Main[[#This Row],[Giá trị hàng nhập]]/(1+Table_Main[[#This Row],[Tỷ suất VAT khấu trừ]])),0))</f>
        <v>0</v>
      </c>
      <c r="X25" s="523"/>
      <c r="Y25" s="28">
        <f>IFERROR(VLOOKUP(Table_Main[[#This Row],[Đơn bán]],Table_DonBan[[Mã Đơn bán]:[Add]],COUNTA(Table_DonBan[[#Headers],[Mã Đơn bán]:[Mã Khách]]),0),0)</f>
        <v>0</v>
      </c>
      <c r="Z25" s="48">
        <f>IF(ISBLANK(Table_Main[[#This Row],[Đơn bán]]),0,
VLOOKUP(Table_Main[[#This Row],[Mã SKU]],Table_SKU[[Mã SKU]:[Giá bán]],COUNTA(Table_SKU[[#Headers],[Mã SKU]:[Giá bán]]),0))</f>
        <v>0</v>
      </c>
      <c r="AA25" s="48">
        <f>IF(ISBLANK(Table_Main[[#This Row],[Đơn bán]]),0,
IF(Table_Main[[#This Row],[Loại]] = "Xuất",Table_Main[[#This Row],[Giá bán niêm yết]]*Table_Main[[#This Row],[Số lượng]],-Table_Main[[#This Row],[Giá bán niêm yết]]*Table_Main[[#This Row],[Số lượng]]))</f>
        <v>0</v>
      </c>
      <c r="AB25" s="230"/>
      <c r="AC2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5" s="48">
        <f xml:space="preserve">
IF(Table_Main[[#This Row],[Đơn bán]]="", 0,
IFERROR(
VLOOKUP(Table_Main[[#This Row],[Mã SKU]],Table_SKU[[Mã SKU]:[Tỷ suất VAT]],COUNTA(Table_SKU[[#Headers],[Mã SKU]:[Tỷ suất VAT]]),0),0)*Table_Main[[#This Row],[Giá trị bán trước VAT]])</f>
        <v>0</v>
      </c>
      <c r="AG25" s="51">
        <f>IFERROR(VLOOKUP(Table_Main[[#This Row],[Đơn bán]],Table_DonBan[[Mã Đơn bán]:[Add]],COUNTA(Table_DonBan[[#Headers],[Mã Đơn bán]:[Mã NV]]),0),0)</f>
        <v>0</v>
      </c>
      <c r="AH2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5" s="48">
        <f>IFERROR(Table_Main[[#This Row],[Giá trị bán trước VAT]]*Table_Main[[#This Row],[Tỷ lệ hoa hồng]],"")</f>
        <v>0</v>
      </c>
      <c r="AJ25" s="48">
        <f>IFERROR(VLOOKUP(Table_Main[[#This Row],[Đơn bán]],Table_DonBan[[Mã Đơn bán]:[Add]],COUNTA(Table_DonBan[[#Headers],[Mã Đơn bán]:[Kênh]]),0),0)</f>
        <v>0</v>
      </c>
      <c r="AK2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5" s="48">
        <f>IFERROR(Table_Main[[#This Row],[Giá trị bán trước VAT]]*Table_Main[[#This Row],[Tỷ lệ CK kênh]],"")</f>
        <v>0</v>
      </c>
      <c r="AM25" s="230"/>
      <c r="AN25" s="232"/>
      <c r="AO25" s="226">
        <f>Table_Main[[#This Row],[ĐK - Phân loại]]*Table_Main[[#This Row],[ĐK - Thời gian]]*Table_Main[[#This Row],[ĐK - Giá trị]]*Table_Main[[#This Row],[ĐK - Số lượng]]*Table_Main[[#This Row],[ĐK - Sinh nhật]]*Table_Main[[#This Row],[ĐK - Ngày mua cuối]]</f>
        <v>1</v>
      </c>
      <c r="AP25" s="226">
        <f xml:space="preserve">
IF(ISBLANK(Table_Main[[#This Row],[Chương trình]]),1,
IF(VLOOKUP(Table_Main[[#This Row],[Chương trình]],Table_ChuongTrinh[[Mã Chương trình]:[Đối tượng CK]],Sheet_ChuongTrinh!$C$1,0) = "Sản phẩm",1,0))</f>
        <v>1</v>
      </c>
      <c r="AQ2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6" spans="2:47" ht="18" customHeight="1" x14ac:dyDescent="0.3">
      <c r="B26" s="523" t="s">
        <v>1160</v>
      </c>
      <c r="C26" s="523"/>
      <c r="D26" s="537" t="str">
        <f>IF(ISBLANK(Table_Main[[#This Row],[Mã SKU]]),Table_Main[[#This Row],[Mã Nguyên liệu]],Table_Main[[#This Row],[Mã SKU]])</f>
        <v>TP1</v>
      </c>
      <c r="E26" s="420" cm="1">
        <f t="array" ref="E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26" s="420" cm="1">
        <f t="array" ref="F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135</v>
      </c>
      <c r="G26" s="420" cm="1">
        <f t="array" ref="G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6" s="420" cm="1">
        <f t="array" ref="H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6" s="420">
        <f>IFERROR(Table_Main[[#This Row],[Giá trị tồn đầu ngày]]/Table_Main[[#This Row],[Tồn kho đầu ngày]],0)</f>
        <v>0</v>
      </c>
      <c r="J26" s="420">
        <f>IFERROR(Table_Main[[#This Row],[Giá trị tồn cuối ngày]]/Table_Main[[#This Row],[Tồn kho cuối ngày]],0)</f>
        <v>0</v>
      </c>
      <c r="K26" s="415">
        <v>45782</v>
      </c>
      <c r="L2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6" s="29">
        <f>IFERROR(MONTH(Table_Main[[#This Row],[Ngày lên đơn]]),0)</f>
        <v>1</v>
      </c>
      <c r="N26" s="51" t="str">
        <f>IF(Table_Main[[#This Row],[Ngày lên đơn]]=0,"",Table_Main[[#This Row],[Ngày xuất nhập]]-Table_Main[[#This Row],[Ngày lên đơn]])</f>
        <v/>
      </c>
      <c r="O26" s="230" t="s">
        <v>1164</v>
      </c>
      <c r="P26" s="230" t="s">
        <v>1165</v>
      </c>
      <c r="Q26" s="408">
        <v>5</v>
      </c>
      <c r="R26" s="523"/>
      <c r="S26" s="537">
        <f>IFERROR(VLOOKUP(Table_Main[[#This Row],[Đơn Mua]],Table_DonMua[[Mã Đơn mua]:[Add]],COUNTA(Table_DonMua[[#Headers],[Mã Đơn mua]:[Mã Đối tác]]),0),0)</f>
        <v>0</v>
      </c>
      <c r="T26" s="409"/>
      <c r="U26" s="48">
        <f xml:space="preserve">
IF(NOT(ISBLANK(Table_Main[[#This Row],[Đơn Mua]])),Table_Main[[#This Row],[Số lượng]]*Table_Main[[#This Row],[Giá nhập]],Table_Main[[#This Row],[Số lượng]]*Table_Main[[#This Row],[Giá trị bình quân đầu ngày]])</f>
        <v>0</v>
      </c>
      <c r="V2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6" s="48">
        <f>IF(Table_Main[[#This Row],[Đơn Mua]]="", 0,IFERROR(Table_Main[[#This Row],[Tỷ suất VAT khấu trừ]]*(Table_Main[[#This Row],[Giá trị hàng nhập]]/(1+Table_Main[[#This Row],[Tỷ suất VAT khấu trừ]])),0))</f>
        <v>0</v>
      </c>
      <c r="X26" s="523"/>
      <c r="Y26" s="28">
        <f>IFERROR(VLOOKUP(Table_Main[[#This Row],[Đơn bán]],Table_DonBan[[Mã Đơn bán]:[Add]],COUNTA(Table_DonBan[[#Headers],[Mã Đơn bán]:[Mã Khách]]),0),0)</f>
        <v>0</v>
      </c>
      <c r="Z26" s="48">
        <f>IF(ISBLANK(Table_Main[[#This Row],[Đơn bán]]),0,
VLOOKUP(Table_Main[[#This Row],[Mã SKU]],Table_SKU[[Mã SKU]:[Giá bán]],COUNTA(Table_SKU[[#Headers],[Mã SKU]:[Giá bán]]),0))</f>
        <v>0</v>
      </c>
      <c r="AA26" s="48">
        <f>IF(ISBLANK(Table_Main[[#This Row],[Đơn bán]]),0,
IF(Table_Main[[#This Row],[Loại]] = "Xuất",Table_Main[[#This Row],[Giá bán niêm yết]]*Table_Main[[#This Row],[Số lượng]],-Table_Main[[#This Row],[Giá bán niêm yết]]*Table_Main[[#This Row],[Số lượng]]))</f>
        <v>0</v>
      </c>
      <c r="AB26" s="230"/>
      <c r="AC2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6" s="48">
        <f xml:space="preserve">
IF(Table_Main[[#This Row],[Đơn bán]]="", 0,
IFERROR(
VLOOKUP(Table_Main[[#This Row],[Mã SKU]],Table_SKU[[Mã SKU]:[Tỷ suất VAT]],COUNTA(Table_SKU[[#Headers],[Mã SKU]:[Tỷ suất VAT]]),0),0)*Table_Main[[#This Row],[Giá trị bán trước VAT]])</f>
        <v>0</v>
      </c>
      <c r="AG26" s="51">
        <f>IFERROR(VLOOKUP(Table_Main[[#This Row],[Đơn bán]],Table_DonBan[[Mã Đơn bán]:[Add]],COUNTA(Table_DonBan[[#Headers],[Mã Đơn bán]:[Mã NV]]),0),0)</f>
        <v>0</v>
      </c>
      <c r="AH2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6" s="48">
        <f>IFERROR(Table_Main[[#This Row],[Giá trị bán trước VAT]]*Table_Main[[#This Row],[Tỷ lệ hoa hồng]],"")</f>
        <v>0</v>
      </c>
      <c r="AJ26" s="48">
        <f>IFERROR(VLOOKUP(Table_Main[[#This Row],[Đơn bán]],Table_DonBan[[Mã Đơn bán]:[Add]],COUNTA(Table_DonBan[[#Headers],[Mã Đơn bán]:[Kênh]]),0),0)</f>
        <v>0</v>
      </c>
      <c r="AK2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6" s="48">
        <f>IFERROR(Table_Main[[#This Row],[Giá trị bán trước VAT]]*Table_Main[[#This Row],[Tỷ lệ CK kênh]],"")</f>
        <v>0</v>
      </c>
      <c r="AM26" s="230"/>
      <c r="AN26" s="232"/>
      <c r="AO26" s="226">
        <f>Table_Main[[#This Row],[ĐK - Phân loại]]*Table_Main[[#This Row],[ĐK - Thời gian]]*Table_Main[[#This Row],[ĐK - Giá trị]]*Table_Main[[#This Row],[ĐK - Số lượng]]*Table_Main[[#This Row],[ĐK - Sinh nhật]]*Table_Main[[#This Row],[ĐK - Ngày mua cuối]]</f>
        <v>1</v>
      </c>
      <c r="AP26" s="226">
        <f xml:space="preserve">
IF(ISBLANK(Table_Main[[#This Row],[Chương trình]]),1,
IF(VLOOKUP(Table_Main[[#This Row],[Chương trình]],Table_ChuongTrinh[[Mã Chương trình]:[Đối tượng CK]],Sheet_ChuongTrinh!$C$1,0) = "Sản phẩm",1,0))</f>
        <v>1</v>
      </c>
      <c r="AQ2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7" spans="2:47" ht="18" customHeight="1" x14ac:dyDescent="0.3">
      <c r="B27" s="523" t="s">
        <v>1160</v>
      </c>
      <c r="C27" s="523"/>
      <c r="D27" s="537" t="str">
        <f>IF(ISBLANK(Table_Main[[#This Row],[Mã SKU]]),Table_Main[[#This Row],[Mã Nguyên liệu]],Table_Main[[#This Row],[Mã SKU]])</f>
        <v>TP1</v>
      </c>
      <c r="E27" s="420" cm="1">
        <f t="array" ref="E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146</v>
      </c>
      <c r="F27" s="420" cm="1">
        <f t="array" ref="F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27" s="420" cm="1">
        <f t="array" ref="G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7" s="420" cm="1">
        <f t="array" ref="H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7" s="420">
        <f>IFERROR(Table_Main[[#This Row],[Giá trị tồn đầu ngày]]/Table_Main[[#This Row],[Tồn kho đầu ngày]],0)</f>
        <v>0</v>
      </c>
      <c r="J27" s="420">
        <f>IFERROR(Table_Main[[#This Row],[Giá trị tồn cuối ngày]]/Table_Main[[#This Row],[Tồn kho cuối ngày]],0)</f>
        <v>0</v>
      </c>
      <c r="K27" s="415">
        <v>45779</v>
      </c>
      <c r="L27" s="47">
        <f xml:space="preserve">
IFERROR(
IFERROR(
VLOOKUP(Table_Main[[#This Row],[Đơn Mua]],Table_DonMua[[Mã Đơn mua]:[Add]],COUNTA(Table_DonMua[[#Headers],[Mã Đơn mua]:[Ngày lập]]),0),
VLOOKUP(Table_Main[[#This Row],[Đơn bán]],Table_DonBan[[Mã Đơn bán]:[Add]], COUNTA(Table_DonBan[[#Headers],[Mã Đơn bán]:[Ngày lập]]),0)),0)</f>
        <v>45779</v>
      </c>
      <c r="M27" s="29">
        <f>IFERROR(MONTH(Table_Main[[#This Row],[Ngày lên đơn]]),0)</f>
        <v>5</v>
      </c>
      <c r="N27" s="51">
        <f>IF(Table_Main[[#This Row],[Ngày lên đơn]]=0,"",Table_Main[[#This Row],[Ngày xuất nhập]]-Table_Main[[#This Row],[Ngày lên đơn]])</f>
        <v>0</v>
      </c>
      <c r="O27" s="230" t="s">
        <v>53</v>
      </c>
      <c r="P27" s="230" t="s">
        <v>1165</v>
      </c>
      <c r="Q27" s="408">
        <v>16</v>
      </c>
      <c r="R27" s="523"/>
      <c r="S27" s="537">
        <f>IFERROR(VLOOKUP(Table_Main[[#This Row],[Đơn Mua]],Table_DonMua[[Mã Đơn mua]:[Add]],COUNTA(Table_DonMua[[#Headers],[Mã Đơn mua]:[Mã Đối tác]]),0),0)</f>
        <v>0</v>
      </c>
      <c r="T27" s="409"/>
      <c r="U27" s="48">
        <f xml:space="preserve">
IF(NOT(ISBLANK(Table_Main[[#This Row],[Đơn Mua]])),Table_Main[[#This Row],[Số lượng]]*Table_Main[[#This Row],[Giá nhập]],Table_Main[[#This Row],[Số lượng]]*Table_Main[[#This Row],[Giá trị bình quân đầu ngày]])</f>
        <v>0</v>
      </c>
      <c r="V2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7" s="48">
        <f>IF(Table_Main[[#This Row],[Đơn Mua]]="", 0,IFERROR(Table_Main[[#This Row],[Tỷ suất VAT khấu trừ]]*(Table_Main[[#This Row],[Giá trị hàng nhập]]/(1+Table_Main[[#This Row],[Tỷ suất VAT khấu trừ]])),0))</f>
        <v>0</v>
      </c>
      <c r="X27" s="523" t="s">
        <v>1225</v>
      </c>
      <c r="Y27" s="28" t="str">
        <f>IFERROR(VLOOKUP(Table_Main[[#This Row],[Đơn bán]],Table_DonBan[[Mã Đơn bán]:[Add]],COUNTA(Table_DonBan[[#Headers],[Mã Đơn bán]:[Mã Khách]]),0),0)</f>
        <v>KH2</v>
      </c>
      <c r="Z27" s="48">
        <f>IF(ISBLANK(Table_Main[[#This Row],[Đơn bán]]),0,
VLOOKUP(Table_Main[[#This Row],[Mã SKU]],Table_SKU[[Mã SKU]:[Giá bán]],COUNTA(Table_SKU[[#Headers],[Mã SKU]:[Giá bán]]),0))</f>
        <v>300000</v>
      </c>
      <c r="AA27" s="48">
        <f>IF(ISBLANK(Table_Main[[#This Row],[Đơn bán]]),0,
IF(Table_Main[[#This Row],[Loại]] = "Xuất",Table_Main[[#This Row],[Giá bán niêm yết]]*Table_Main[[#This Row],[Số lượng]],-Table_Main[[#This Row],[Giá bán niêm yết]]*Table_Main[[#This Row],[Số lượng]]))</f>
        <v>4800000</v>
      </c>
      <c r="AB27" s="230"/>
      <c r="AC2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4800000</v>
      </c>
      <c r="AF27" s="48">
        <f xml:space="preserve">
IF(Table_Main[[#This Row],[Đơn bán]]="", 0,
IFERROR(
VLOOKUP(Table_Main[[#This Row],[Mã SKU]],Table_SKU[[Mã SKU]:[Tỷ suất VAT]],COUNTA(Table_SKU[[#Headers],[Mã SKU]:[Tỷ suất VAT]]),0),0)*Table_Main[[#This Row],[Giá trị bán trước VAT]])</f>
        <v>0</v>
      </c>
      <c r="AG27" s="51">
        <f>IFERROR(VLOOKUP(Table_Main[[#This Row],[Đơn bán]],Table_DonBan[[Mã Đơn bán]:[Add]],COUNTA(Table_DonBan[[#Headers],[Mã Đơn bán]:[Mã NV]]),0),0)</f>
        <v>0</v>
      </c>
      <c r="AH2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7" s="48">
        <f>IFERROR(Table_Main[[#This Row],[Giá trị bán trước VAT]]*Table_Main[[#This Row],[Tỷ lệ hoa hồng]],"")</f>
        <v>0</v>
      </c>
      <c r="AJ27" s="48">
        <f>IFERROR(VLOOKUP(Table_Main[[#This Row],[Đơn bán]],Table_DonBan[[Mã Đơn bán]:[Add]],COUNTA(Table_DonBan[[#Headers],[Mã Đơn bán]:[Kênh]]),0),0)</f>
        <v>0</v>
      </c>
      <c r="AK2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7" s="48">
        <f>IFERROR(Table_Main[[#This Row],[Giá trị bán trước VAT]]*Table_Main[[#This Row],[Tỷ lệ CK kênh]],"")</f>
        <v>0</v>
      </c>
      <c r="AM27" s="230"/>
      <c r="AN27" s="232"/>
      <c r="AO27" s="226">
        <f>Table_Main[[#This Row],[ĐK - Phân loại]]*Table_Main[[#This Row],[ĐK - Thời gian]]*Table_Main[[#This Row],[ĐK - Giá trị]]*Table_Main[[#This Row],[ĐK - Số lượng]]*Table_Main[[#This Row],[ĐK - Sinh nhật]]*Table_Main[[#This Row],[ĐK - Ngày mua cuối]]</f>
        <v>1</v>
      </c>
      <c r="AP27" s="226">
        <f xml:space="preserve">
IF(ISBLANK(Table_Main[[#This Row],[Chương trình]]),1,
IF(VLOOKUP(Table_Main[[#This Row],[Chương trình]],Table_ChuongTrinh[[Mã Chương trình]:[Đối tượng CK]],Sheet_ChuongTrinh!$C$1,0) = "Sản phẩm",1,0))</f>
        <v>1</v>
      </c>
      <c r="AQ2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8" spans="2:47" ht="18" customHeight="1" x14ac:dyDescent="0.3">
      <c r="B28" s="523" t="s">
        <v>1161</v>
      </c>
      <c r="C28" s="523"/>
      <c r="D28" s="537" t="str">
        <f>IF(ISBLANK(Table_Main[[#This Row],[Mã SKU]]),Table_Main[[#This Row],[Mã Nguyên liệu]],Table_Main[[#This Row],[Mã SKU]])</f>
        <v>TP2</v>
      </c>
      <c r="E28" s="420" cm="1">
        <f t="array" ref="E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v>
      </c>
      <c r="F28" s="420" cm="1">
        <f t="array" ref="F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49</v>
      </c>
      <c r="G28" s="420" cm="1">
        <f t="array" ref="G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8" s="420" cm="1">
        <f t="array" ref="H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8" s="420">
        <f>IFERROR(Table_Main[[#This Row],[Giá trị tồn đầu ngày]]/Table_Main[[#This Row],[Tồn kho đầu ngày]],0)</f>
        <v>0</v>
      </c>
      <c r="J28" s="420">
        <f>IFERROR(Table_Main[[#This Row],[Giá trị tồn cuối ngày]]/Table_Main[[#This Row],[Tồn kho cuối ngày]],0)</f>
        <v>0</v>
      </c>
      <c r="K28" s="415">
        <v>45778</v>
      </c>
      <c r="L2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8" s="29">
        <f>IFERROR(MONTH(Table_Main[[#This Row],[Ngày lên đơn]]),0)</f>
        <v>1</v>
      </c>
      <c r="N28" s="51" t="str">
        <f>IF(Table_Main[[#This Row],[Ngày lên đơn]]=0,"",Table_Main[[#This Row],[Ngày xuất nhập]]-Table_Main[[#This Row],[Ngày lên đơn]])</f>
        <v/>
      </c>
      <c r="O28" s="230" t="s">
        <v>1164</v>
      </c>
      <c r="P28" s="230" t="s">
        <v>1165</v>
      </c>
      <c r="Q28" s="408">
        <v>29</v>
      </c>
      <c r="R28" s="523"/>
      <c r="S28" s="537">
        <f>IFERROR(VLOOKUP(Table_Main[[#This Row],[Đơn Mua]],Table_DonMua[[Mã Đơn mua]:[Add]],COUNTA(Table_DonMua[[#Headers],[Mã Đơn mua]:[Mã Đối tác]]),0),0)</f>
        <v>0</v>
      </c>
      <c r="T28" s="409"/>
      <c r="U28" s="48">
        <f xml:space="preserve">
IF(NOT(ISBLANK(Table_Main[[#This Row],[Đơn Mua]])),Table_Main[[#This Row],[Số lượng]]*Table_Main[[#This Row],[Giá nhập]],Table_Main[[#This Row],[Số lượng]]*Table_Main[[#This Row],[Giá trị bình quân đầu ngày]])</f>
        <v>0</v>
      </c>
      <c r="V2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8" s="48">
        <f>IF(Table_Main[[#This Row],[Đơn Mua]]="", 0,IFERROR(Table_Main[[#This Row],[Tỷ suất VAT khấu trừ]]*(Table_Main[[#This Row],[Giá trị hàng nhập]]/(1+Table_Main[[#This Row],[Tỷ suất VAT khấu trừ]])),0))</f>
        <v>0</v>
      </c>
      <c r="X28" s="523"/>
      <c r="Y28" s="28">
        <f>IFERROR(VLOOKUP(Table_Main[[#This Row],[Đơn bán]],Table_DonBan[[Mã Đơn bán]:[Add]],COUNTA(Table_DonBan[[#Headers],[Mã Đơn bán]:[Mã Khách]]),0),0)</f>
        <v>0</v>
      </c>
      <c r="Z28" s="48">
        <f>IF(ISBLANK(Table_Main[[#This Row],[Đơn bán]]),0,
VLOOKUP(Table_Main[[#This Row],[Mã SKU]],Table_SKU[[Mã SKU]:[Giá bán]],COUNTA(Table_SKU[[#Headers],[Mã SKU]:[Giá bán]]),0))</f>
        <v>0</v>
      </c>
      <c r="AA28" s="48">
        <f>IF(ISBLANK(Table_Main[[#This Row],[Đơn bán]]),0,
IF(Table_Main[[#This Row],[Loại]] = "Xuất",Table_Main[[#This Row],[Giá bán niêm yết]]*Table_Main[[#This Row],[Số lượng]],-Table_Main[[#This Row],[Giá bán niêm yết]]*Table_Main[[#This Row],[Số lượng]]))</f>
        <v>0</v>
      </c>
      <c r="AB28" s="230"/>
      <c r="AC2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8" s="48">
        <f xml:space="preserve">
IF(Table_Main[[#This Row],[Đơn bán]]="", 0,
IFERROR(
VLOOKUP(Table_Main[[#This Row],[Mã SKU]],Table_SKU[[Mã SKU]:[Tỷ suất VAT]],COUNTA(Table_SKU[[#Headers],[Mã SKU]:[Tỷ suất VAT]]),0),0)*Table_Main[[#This Row],[Giá trị bán trước VAT]])</f>
        <v>0</v>
      </c>
      <c r="AG28" s="51">
        <f>IFERROR(VLOOKUP(Table_Main[[#This Row],[Đơn bán]],Table_DonBan[[Mã Đơn bán]:[Add]],COUNTA(Table_DonBan[[#Headers],[Mã Đơn bán]:[Mã NV]]),0),0)</f>
        <v>0</v>
      </c>
      <c r="AH2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8" s="48">
        <f>IFERROR(Table_Main[[#This Row],[Giá trị bán trước VAT]]*Table_Main[[#This Row],[Tỷ lệ hoa hồng]],"")</f>
        <v>0</v>
      </c>
      <c r="AJ28" s="48">
        <f>IFERROR(VLOOKUP(Table_Main[[#This Row],[Đơn bán]],Table_DonBan[[Mã Đơn bán]:[Add]],COUNTA(Table_DonBan[[#Headers],[Mã Đơn bán]:[Kênh]]),0),0)</f>
        <v>0</v>
      </c>
      <c r="AK2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8" s="48">
        <f>IFERROR(Table_Main[[#This Row],[Giá trị bán trước VAT]]*Table_Main[[#This Row],[Tỷ lệ CK kênh]],"")</f>
        <v>0</v>
      </c>
      <c r="AM28" s="230"/>
      <c r="AN28" s="232"/>
      <c r="AO28" s="226">
        <f>Table_Main[[#This Row],[ĐK - Phân loại]]*Table_Main[[#This Row],[ĐK - Thời gian]]*Table_Main[[#This Row],[ĐK - Giá trị]]*Table_Main[[#This Row],[ĐK - Số lượng]]*Table_Main[[#This Row],[ĐK - Sinh nhật]]*Table_Main[[#This Row],[ĐK - Ngày mua cuối]]</f>
        <v>1</v>
      </c>
      <c r="AP28" s="226">
        <f xml:space="preserve">
IF(ISBLANK(Table_Main[[#This Row],[Chương trình]]),1,
IF(VLOOKUP(Table_Main[[#This Row],[Chương trình]],Table_ChuongTrinh[[Mã Chương trình]:[Đối tượng CK]],Sheet_ChuongTrinh!$C$1,0) = "Sản phẩm",1,0))</f>
        <v>1</v>
      </c>
      <c r="AQ2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9" spans="2:47" ht="18" customHeight="1" x14ac:dyDescent="0.3">
      <c r="B29" s="530"/>
      <c r="C29" s="239" t="s">
        <v>1163</v>
      </c>
      <c r="D29" s="538" t="str">
        <f>IF(ISBLANK(Table_Main[[#This Row],[Mã SKU]]),Table_Main[[#This Row],[Mã Nguyên liệu]],Table_Main[[#This Row],[Mã SKU]])</f>
        <v>NL1</v>
      </c>
      <c r="E29" s="420" cm="1">
        <f t="array" ref="E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152</v>
      </c>
      <c r="F29" s="420" cm="1">
        <f t="array" ref="F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168</v>
      </c>
      <c r="G29" s="420" cm="1">
        <f t="array" ref="G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14971777.070175439</v>
      </c>
      <c r="H29" s="420" cm="1">
        <f t="array" ref="H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16339105.070175439</v>
      </c>
      <c r="I29" s="420">
        <f>IFERROR(Table_Main[[#This Row],[Giá trị tồn đầu ngày]]/Table_Main[[#This Row],[Tồn kho đầu ngày]],0)</f>
        <v>98498.533356417363</v>
      </c>
      <c r="J29" s="420">
        <f>IFERROR(Table_Main[[#This Row],[Giá trị tồn cuối ngày]]/Table_Main[[#This Row],[Tồn kho cuối ngày]],0)</f>
        <v>97256.577798663333</v>
      </c>
      <c r="K29" s="415">
        <v>45779</v>
      </c>
      <c r="L29" s="47">
        <f xml:space="preserve">
IFERROR(
IFERROR(
VLOOKUP(Table_Main[[#This Row],[Đơn Mua]],Table_DonMua[[Mã Đơn mua]:[Add]],COUNTA(Table_DonMua[[#Headers],[Mã Đơn mua]:[Ngày lập]]),0),
VLOOKUP(Table_Main[[#This Row],[Đơn bán]],Table_DonBan[[Mã Đơn bán]:[Add]], COUNTA(Table_DonBan[[#Headers],[Mã Đơn bán]:[Ngày lập]]),0)),0)</f>
        <v>45778</v>
      </c>
      <c r="M29" s="29">
        <f>IFERROR(MONTH(Table_Main[[#This Row],[Ngày lên đơn]]),0)</f>
        <v>5</v>
      </c>
      <c r="N29" s="51">
        <f>IF(Table_Main[[#This Row],[Ngày lên đơn]]=0,"",Table_Main[[#This Row],[Ngày xuất nhập]]-Table_Main[[#This Row],[Ngày lên đơn]])</f>
        <v>1</v>
      </c>
      <c r="O29" s="230" t="s">
        <v>1164</v>
      </c>
      <c r="P29" s="230" t="s">
        <v>1165</v>
      </c>
      <c r="Q29" s="408">
        <v>16</v>
      </c>
      <c r="R29" s="523" t="s">
        <v>1182</v>
      </c>
      <c r="S29" s="537" t="str">
        <f>IFERROR(VLOOKUP(Table_Main[[#This Row],[Đơn Mua]],Table_DonMua[[Mã Đơn mua]:[Add]],COUNTA(Table_DonMua[[#Headers],[Mã Đơn mua]:[Mã Đối tác]]),0),0)</f>
        <v>NCC2</v>
      </c>
      <c r="T29" s="409">
        <v>85458</v>
      </c>
      <c r="U29" s="48">
        <f xml:space="preserve">
IF(NOT(ISBLANK(Table_Main[[#This Row],[Đơn Mua]])),Table_Main[[#This Row],[Số lượng]]*Table_Main[[#This Row],[Giá nhập]],Table_Main[[#This Row],[Số lượng]]*Table_Main[[#This Row],[Giá trị bình quân đầu ngày]])</f>
        <v>1367328</v>
      </c>
      <c r="V2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9" s="48">
        <f>IF(Table_Main[[#This Row],[Đơn Mua]]="", 0,IFERROR(Table_Main[[#This Row],[Tỷ suất VAT khấu trừ]]*(Table_Main[[#This Row],[Giá trị hàng nhập]]/(1+Table_Main[[#This Row],[Tỷ suất VAT khấu trừ]])),0))</f>
        <v>0</v>
      </c>
      <c r="X29" s="523"/>
      <c r="Y29" s="28">
        <f>IFERROR(VLOOKUP(Table_Main[[#This Row],[Đơn bán]],Table_DonBan[[Mã Đơn bán]:[Add]],COUNTA(Table_DonBan[[#Headers],[Mã Đơn bán]:[Mã Khách]]),0),0)</f>
        <v>0</v>
      </c>
      <c r="Z29" s="48">
        <f>IF(ISBLANK(Table_Main[[#This Row],[Đơn bán]]),0,
VLOOKUP(Table_Main[[#This Row],[Mã SKU]],Table_SKU[[Mã SKU]:[Giá bán]],COUNTA(Table_SKU[[#Headers],[Mã SKU]:[Giá bán]]),0))</f>
        <v>0</v>
      </c>
      <c r="AA29" s="48">
        <f>IF(ISBLANK(Table_Main[[#This Row],[Đơn bán]]),0,
IF(Table_Main[[#This Row],[Loại]] = "Xuất",Table_Main[[#This Row],[Giá bán niêm yết]]*Table_Main[[#This Row],[Số lượng]],-Table_Main[[#This Row],[Giá bán niêm yết]]*Table_Main[[#This Row],[Số lượng]]))</f>
        <v>0</v>
      </c>
      <c r="AB29" s="230"/>
      <c r="AC2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9" s="48">
        <f xml:space="preserve">
IF(Table_Main[[#This Row],[Đơn bán]]="", 0,
IFERROR(
VLOOKUP(Table_Main[[#This Row],[Mã SKU]],Table_SKU[[Mã SKU]:[Tỷ suất VAT]],COUNTA(Table_SKU[[#Headers],[Mã SKU]:[Tỷ suất VAT]]),0),0)*Table_Main[[#This Row],[Giá trị bán trước VAT]])</f>
        <v>0</v>
      </c>
      <c r="AG29" s="51">
        <f>IFERROR(VLOOKUP(Table_Main[[#This Row],[Đơn bán]],Table_DonBan[[Mã Đơn bán]:[Add]],COUNTA(Table_DonBan[[#Headers],[Mã Đơn bán]:[Mã NV]]),0),0)</f>
        <v>0</v>
      </c>
      <c r="AH2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9" s="48">
        <f>IFERROR(Table_Main[[#This Row],[Giá trị bán trước VAT]]*Table_Main[[#This Row],[Tỷ lệ hoa hồng]],"")</f>
        <v>0</v>
      </c>
      <c r="AJ29" s="48">
        <f>IFERROR(VLOOKUP(Table_Main[[#This Row],[Đơn bán]],Table_DonBan[[Mã Đơn bán]:[Add]],COUNTA(Table_DonBan[[#Headers],[Mã Đơn bán]:[Kênh]]),0),0)</f>
        <v>0</v>
      </c>
      <c r="AK2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9" s="48">
        <f>IFERROR(Table_Main[[#This Row],[Giá trị bán trước VAT]]*Table_Main[[#This Row],[Tỷ lệ CK kênh]],"")</f>
        <v>0</v>
      </c>
      <c r="AM29" s="230"/>
      <c r="AN29" s="232"/>
      <c r="AO29" s="226">
        <f>Table_Main[[#This Row],[ĐK - Phân loại]]*Table_Main[[#This Row],[ĐK - Thời gian]]*Table_Main[[#This Row],[ĐK - Giá trị]]*Table_Main[[#This Row],[ĐK - Số lượng]]*Table_Main[[#This Row],[ĐK - Sinh nhật]]*Table_Main[[#This Row],[ĐK - Ngày mua cuối]]</f>
        <v>1</v>
      </c>
      <c r="AP29" s="226">
        <f xml:space="preserve">
IF(ISBLANK(Table_Main[[#This Row],[Chương trình]]),1,
IF(VLOOKUP(Table_Main[[#This Row],[Chương trình]],Table_ChuongTrinh[[Mã Chương trình]:[Đối tượng CK]],Sheet_ChuongTrinh!$C$1,0) = "Sản phẩm",1,0))</f>
        <v>1</v>
      </c>
      <c r="AQ2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0" spans="2:47" ht="18" customHeight="1" x14ac:dyDescent="0.3">
      <c r="B30" s="523" t="s">
        <v>1161</v>
      </c>
      <c r="C30" s="523"/>
      <c r="D30" s="537" t="str">
        <f>IF(ISBLANK(Table_Main[[#This Row],[Mã SKU]]),Table_Main[[#This Row],[Mã Nguyên liệu]],Table_Main[[#This Row],[Mã SKU]])</f>
        <v>TP2</v>
      </c>
      <c r="E30" s="420" cm="1">
        <f t="array" ref="E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59</v>
      </c>
      <c r="F30" s="420" cm="1">
        <f t="array" ref="F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v>
      </c>
      <c r="G30" s="420" cm="1">
        <f t="array" ref="G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0" s="420" cm="1">
        <f t="array" ref="H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0" s="420">
        <f>IFERROR(Table_Main[[#This Row],[Giá trị tồn đầu ngày]]/Table_Main[[#This Row],[Tồn kho đầu ngày]],0)</f>
        <v>0</v>
      </c>
      <c r="J30" s="420">
        <f>IFERROR(Table_Main[[#This Row],[Giá trị tồn cuối ngày]]/Table_Main[[#This Row],[Tồn kho cuối ngày]],0)</f>
        <v>0</v>
      </c>
      <c r="K30" s="415">
        <v>45777</v>
      </c>
      <c r="L30" s="47">
        <f xml:space="preserve">
IFERROR(
IFERROR(
VLOOKUP(Table_Main[[#This Row],[Đơn Mua]],Table_DonMua[[Mã Đơn mua]:[Add]],COUNTA(Table_DonMua[[#Headers],[Mã Đơn mua]:[Ngày lập]]),0),
VLOOKUP(Table_Main[[#This Row],[Đơn bán]],Table_DonBan[[Mã Đơn bán]:[Add]], COUNTA(Table_DonBan[[#Headers],[Mã Đơn bán]:[Ngày lập]]),0)),0)</f>
        <v>45777</v>
      </c>
      <c r="M30" s="29">
        <f>IFERROR(MONTH(Table_Main[[#This Row],[Ngày lên đơn]]),0)</f>
        <v>4</v>
      </c>
      <c r="N30" s="51">
        <f>IF(Table_Main[[#This Row],[Ngày lên đơn]]=0,"",Table_Main[[#This Row],[Ngày xuất nhập]]-Table_Main[[#This Row],[Ngày lên đơn]])</f>
        <v>0</v>
      </c>
      <c r="O30" s="230" t="s">
        <v>53</v>
      </c>
      <c r="P30" s="230" t="s">
        <v>1165</v>
      </c>
      <c r="Q30" s="408">
        <v>39</v>
      </c>
      <c r="R30" s="523"/>
      <c r="S30" s="537">
        <f>IFERROR(VLOOKUP(Table_Main[[#This Row],[Đơn Mua]],Table_DonMua[[Mã Đơn mua]:[Add]],COUNTA(Table_DonMua[[#Headers],[Mã Đơn mua]:[Mã Đối tác]]),0),0)</f>
        <v>0</v>
      </c>
      <c r="T30" s="409"/>
      <c r="U30" s="48">
        <f xml:space="preserve">
IF(NOT(ISBLANK(Table_Main[[#This Row],[Đơn Mua]])),Table_Main[[#This Row],[Số lượng]]*Table_Main[[#This Row],[Giá nhập]],Table_Main[[#This Row],[Số lượng]]*Table_Main[[#This Row],[Giá trị bình quân đầu ngày]])</f>
        <v>0</v>
      </c>
      <c r="V3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0" s="48">
        <f>IF(Table_Main[[#This Row],[Đơn Mua]]="", 0,IFERROR(Table_Main[[#This Row],[Tỷ suất VAT khấu trừ]]*(Table_Main[[#This Row],[Giá trị hàng nhập]]/(1+Table_Main[[#This Row],[Tỷ suất VAT khấu trừ]])),0))</f>
        <v>0</v>
      </c>
      <c r="X30" s="523" t="s">
        <v>1224</v>
      </c>
      <c r="Y30" s="28" t="str">
        <f>IFERROR(VLOOKUP(Table_Main[[#This Row],[Đơn bán]],Table_DonBan[[Mã Đơn bán]:[Add]],COUNTA(Table_DonBan[[#Headers],[Mã Đơn bán]:[Mã Khách]]),0),0)</f>
        <v>KH3</v>
      </c>
      <c r="Z30" s="48">
        <f>IF(ISBLANK(Table_Main[[#This Row],[Đơn bán]]),0,
VLOOKUP(Table_Main[[#This Row],[Mã SKU]],Table_SKU[[Mã SKU]:[Giá bán]],COUNTA(Table_SKU[[#Headers],[Mã SKU]:[Giá bán]]),0))</f>
        <v>500000</v>
      </c>
      <c r="AA30" s="48">
        <f>IF(ISBLANK(Table_Main[[#This Row],[Đơn bán]]),0,
IF(Table_Main[[#This Row],[Loại]] = "Xuất",Table_Main[[#This Row],[Giá bán niêm yết]]*Table_Main[[#This Row],[Số lượng]],-Table_Main[[#This Row],[Giá bán niêm yết]]*Table_Main[[#This Row],[Số lượng]]))</f>
        <v>19500000</v>
      </c>
      <c r="AB30" s="230"/>
      <c r="AC3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19500000</v>
      </c>
      <c r="AF30" s="48">
        <f xml:space="preserve">
IF(Table_Main[[#This Row],[Đơn bán]]="", 0,
IFERROR(
VLOOKUP(Table_Main[[#This Row],[Mã SKU]],Table_SKU[[Mã SKU]:[Tỷ suất VAT]],COUNTA(Table_SKU[[#Headers],[Mã SKU]:[Tỷ suất VAT]]),0),0)*Table_Main[[#This Row],[Giá trị bán trước VAT]])</f>
        <v>0</v>
      </c>
      <c r="AG30" s="51">
        <f>IFERROR(VLOOKUP(Table_Main[[#This Row],[Đơn bán]],Table_DonBan[[Mã Đơn bán]:[Add]],COUNTA(Table_DonBan[[#Headers],[Mã Đơn bán]:[Mã NV]]),0),0)</f>
        <v>0</v>
      </c>
      <c r="AH3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0" s="48">
        <f>IFERROR(Table_Main[[#This Row],[Giá trị bán trước VAT]]*Table_Main[[#This Row],[Tỷ lệ hoa hồng]],"")</f>
        <v>0</v>
      </c>
      <c r="AJ30" s="48">
        <f>IFERROR(VLOOKUP(Table_Main[[#This Row],[Đơn bán]],Table_DonBan[[Mã Đơn bán]:[Add]],COUNTA(Table_DonBan[[#Headers],[Mã Đơn bán]:[Kênh]]),0),0)</f>
        <v>0</v>
      </c>
      <c r="AK3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0" s="48">
        <f>IFERROR(Table_Main[[#This Row],[Giá trị bán trước VAT]]*Table_Main[[#This Row],[Tỷ lệ CK kênh]],"")</f>
        <v>0</v>
      </c>
      <c r="AM30" s="230"/>
      <c r="AN30" s="232"/>
      <c r="AO30" s="226">
        <f>Table_Main[[#This Row],[ĐK - Phân loại]]*Table_Main[[#This Row],[ĐK - Thời gian]]*Table_Main[[#This Row],[ĐK - Giá trị]]*Table_Main[[#This Row],[ĐK - Số lượng]]*Table_Main[[#This Row],[ĐK - Sinh nhật]]*Table_Main[[#This Row],[ĐK - Ngày mua cuối]]</f>
        <v>1</v>
      </c>
      <c r="AP30" s="226">
        <f xml:space="preserve">
IF(ISBLANK(Table_Main[[#This Row],[Chương trình]]),1,
IF(VLOOKUP(Table_Main[[#This Row],[Chương trình]],Table_ChuongTrinh[[Mã Chương trình]:[Đối tượng CK]],Sheet_ChuongTrinh!$C$1,0) = "Sản phẩm",1,0))</f>
        <v>1</v>
      </c>
      <c r="AQ3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1" spans="2:47" ht="18" customHeight="1" x14ac:dyDescent="0.3">
      <c r="B31" s="523" t="s">
        <v>1161</v>
      </c>
      <c r="C31" s="523"/>
      <c r="D31" s="537" t="str">
        <f>IF(ISBLANK(Table_Main[[#This Row],[Mã SKU]]),Table_Main[[#This Row],[Mã Nguyên liệu]],Table_Main[[#This Row],[Mã SKU]])</f>
        <v>TP2</v>
      </c>
      <c r="E31" s="420" cm="1">
        <f t="array" ref="E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31" s="420" cm="1">
        <f t="array" ref="F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59</v>
      </c>
      <c r="G31" s="420" cm="1">
        <f t="array" ref="G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1" s="420" cm="1">
        <f t="array" ref="H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1" s="420">
        <f>IFERROR(Table_Main[[#This Row],[Giá trị tồn đầu ngày]]/Table_Main[[#This Row],[Tồn kho đầu ngày]],0)</f>
        <v>0</v>
      </c>
      <c r="J31" s="420">
        <f>IFERROR(Table_Main[[#This Row],[Giá trị tồn cuối ngày]]/Table_Main[[#This Row],[Tồn kho cuối ngày]],0)</f>
        <v>0</v>
      </c>
      <c r="K31" s="415">
        <v>45776</v>
      </c>
      <c r="L31" s="47">
        <f xml:space="preserve">
IFERROR(
IFERROR(
VLOOKUP(Table_Main[[#This Row],[Đơn Mua]],Table_DonMua[[Mã Đơn mua]:[Add]],COUNTA(Table_DonMua[[#Headers],[Mã Đơn mua]:[Ngày lập]]),0),
VLOOKUP(Table_Main[[#This Row],[Đơn bán]],Table_DonBan[[Mã Đơn bán]:[Add]], COUNTA(Table_DonBan[[#Headers],[Mã Đơn bán]:[Ngày lập]]),0)),0)</f>
        <v>45776</v>
      </c>
      <c r="M31" s="29">
        <f>IFERROR(MONTH(Table_Main[[#This Row],[Ngày lên đơn]]),0)</f>
        <v>4</v>
      </c>
      <c r="N31" s="51">
        <f>IF(Table_Main[[#This Row],[Ngày lên đơn]]=0,"",Table_Main[[#This Row],[Ngày xuất nhập]]-Table_Main[[#This Row],[Ngày lên đơn]])</f>
        <v>0</v>
      </c>
      <c r="O31" s="230" t="s">
        <v>53</v>
      </c>
      <c r="P31" s="230" t="s">
        <v>1165</v>
      </c>
      <c r="Q31" s="408">
        <v>21</v>
      </c>
      <c r="R31" s="523"/>
      <c r="S31" s="537">
        <f>IFERROR(VLOOKUP(Table_Main[[#This Row],[Đơn Mua]],Table_DonMua[[Mã Đơn mua]:[Add]],COUNTA(Table_DonMua[[#Headers],[Mã Đơn mua]:[Mã Đối tác]]),0),0)</f>
        <v>0</v>
      </c>
      <c r="T31" s="409"/>
      <c r="U31" s="48">
        <f xml:space="preserve">
IF(NOT(ISBLANK(Table_Main[[#This Row],[Đơn Mua]])),Table_Main[[#This Row],[Số lượng]]*Table_Main[[#This Row],[Giá nhập]],Table_Main[[#This Row],[Số lượng]]*Table_Main[[#This Row],[Giá trị bình quân đầu ngày]])</f>
        <v>0</v>
      </c>
      <c r="V3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1" s="48">
        <f>IF(Table_Main[[#This Row],[Đơn Mua]]="", 0,IFERROR(Table_Main[[#This Row],[Tỷ suất VAT khấu trừ]]*(Table_Main[[#This Row],[Giá trị hàng nhập]]/(1+Table_Main[[#This Row],[Tỷ suất VAT khấu trừ]])),0))</f>
        <v>0</v>
      </c>
      <c r="X31" s="523" t="s">
        <v>1223</v>
      </c>
      <c r="Y31" s="28" t="str">
        <f>IFERROR(VLOOKUP(Table_Main[[#This Row],[Đơn bán]],Table_DonBan[[Mã Đơn bán]:[Add]],COUNTA(Table_DonBan[[#Headers],[Mã Đơn bán]:[Mã Khách]]),0),0)</f>
        <v>KH3</v>
      </c>
      <c r="Z31" s="48">
        <f>IF(ISBLANK(Table_Main[[#This Row],[Đơn bán]]),0,
VLOOKUP(Table_Main[[#This Row],[Mã SKU]],Table_SKU[[Mã SKU]:[Giá bán]],COUNTA(Table_SKU[[#Headers],[Mã SKU]:[Giá bán]]),0))</f>
        <v>500000</v>
      </c>
      <c r="AA31" s="48">
        <f>IF(ISBLANK(Table_Main[[#This Row],[Đơn bán]]),0,
IF(Table_Main[[#This Row],[Loại]] = "Xuất",Table_Main[[#This Row],[Giá bán niêm yết]]*Table_Main[[#This Row],[Số lượng]],-Table_Main[[#This Row],[Giá bán niêm yết]]*Table_Main[[#This Row],[Số lượng]]))</f>
        <v>10500000</v>
      </c>
      <c r="AB31" s="230"/>
      <c r="AC3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10500000</v>
      </c>
      <c r="AF31" s="48">
        <f xml:space="preserve">
IF(Table_Main[[#This Row],[Đơn bán]]="", 0,
IFERROR(
VLOOKUP(Table_Main[[#This Row],[Mã SKU]],Table_SKU[[Mã SKU]:[Tỷ suất VAT]],COUNTA(Table_SKU[[#Headers],[Mã SKU]:[Tỷ suất VAT]]),0),0)*Table_Main[[#This Row],[Giá trị bán trước VAT]])</f>
        <v>0</v>
      </c>
      <c r="AG31" s="51">
        <f>IFERROR(VLOOKUP(Table_Main[[#This Row],[Đơn bán]],Table_DonBan[[Mã Đơn bán]:[Add]],COUNTA(Table_DonBan[[#Headers],[Mã Đơn bán]:[Mã NV]]),0),0)</f>
        <v>0</v>
      </c>
      <c r="AH3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1" s="48">
        <f>IFERROR(Table_Main[[#This Row],[Giá trị bán trước VAT]]*Table_Main[[#This Row],[Tỷ lệ hoa hồng]],"")</f>
        <v>0</v>
      </c>
      <c r="AJ31" s="48">
        <f>IFERROR(VLOOKUP(Table_Main[[#This Row],[Đơn bán]],Table_DonBan[[Mã Đơn bán]:[Add]],COUNTA(Table_DonBan[[#Headers],[Mã Đơn bán]:[Kênh]]),0),0)</f>
        <v>0</v>
      </c>
      <c r="AK3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1" s="48">
        <f>IFERROR(Table_Main[[#This Row],[Giá trị bán trước VAT]]*Table_Main[[#This Row],[Tỷ lệ CK kênh]],"")</f>
        <v>0</v>
      </c>
      <c r="AM31" s="230"/>
      <c r="AN31" s="232"/>
      <c r="AO31" s="226">
        <f>Table_Main[[#This Row],[ĐK - Phân loại]]*Table_Main[[#This Row],[ĐK - Thời gian]]*Table_Main[[#This Row],[ĐK - Giá trị]]*Table_Main[[#This Row],[ĐK - Số lượng]]*Table_Main[[#This Row],[ĐK - Sinh nhật]]*Table_Main[[#This Row],[ĐK - Ngày mua cuối]]</f>
        <v>1</v>
      </c>
      <c r="AP31" s="226">
        <f xml:space="preserve">
IF(ISBLANK(Table_Main[[#This Row],[Chương trình]]),1,
IF(VLOOKUP(Table_Main[[#This Row],[Chương trình]],Table_ChuongTrinh[[Mã Chương trình]:[Đối tượng CK]],Sheet_ChuongTrinh!$C$1,0) = "Sản phẩm",1,0))</f>
        <v>1</v>
      </c>
      <c r="AQ3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2" spans="2:47" ht="18" customHeight="1" x14ac:dyDescent="0.3">
      <c r="B32" s="530"/>
      <c r="C32" s="239" t="s">
        <v>1163</v>
      </c>
      <c r="D32" s="538" t="str">
        <f>IF(ISBLANK(Table_Main[[#This Row],[Mã SKU]]),Table_Main[[#This Row],[Mã Nguyên liệu]],Table_Main[[#This Row],[Mã SKU]])</f>
        <v>NL1</v>
      </c>
      <c r="E32" s="420" cm="1">
        <f t="array" ref="E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v>
      </c>
      <c r="F32" s="420" cm="1">
        <f t="array" ref="F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152</v>
      </c>
      <c r="G32" s="420" cm="1">
        <f t="array" ref="G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14023642.070175439</v>
      </c>
      <c r="H32" s="420" cm="1">
        <f t="array" ref="H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14971777.070175439</v>
      </c>
      <c r="I32" s="420">
        <f>IFERROR(Table_Main[[#This Row],[Giá trị tồn đầu ngày]]/Table_Main[[#This Row],[Tồn kho đầu ngày]],0)</f>
        <v>102362.35087719299</v>
      </c>
      <c r="J32" s="420">
        <f>IFERROR(Table_Main[[#This Row],[Giá trị tồn cuối ngày]]/Table_Main[[#This Row],[Tồn kho cuối ngày]],0)</f>
        <v>98498.533356417363</v>
      </c>
      <c r="K32" s="415">
        <v>45775</v>
      </c>
      <c r="L32" s="47">
        <f xml:space="preserve">
IFERROR(
IFERROR(
VLOOKUP(Table_Main[[#This Row],[Đơn Mua]],Table_DonMua[[Mã Đơn mua]:[Add]],COUNTA(Table_DonMua[[#Headers],[Mã Đơn mua]:[Ngày lập]]),0),
VLOOKUP(Table_Main[[#This Row],[Đơn bán]],Table_DonBan[[Mã Đơn bán]:[Add]], COUNTA(Table_DonBan[[#Headers],[Mã Đơn bán]:[Ngày lập]]),0)),0)</f>
        <v>45775</v>
      </c>
      <c r="M32" s="29">
        <f>IFERROR(MONTH(Table_Main[[#This Row],[Ngày lên đơn]]),0)</f>
        <v>4</v>
      </c>
      <c r="N32" s="51">
        <f>IF(Table_Main[[#This Row],[Ngày lên đơn]]=0,"",Table_Main[[#This Row],[Ngày xuất nhập]]-Table_Main[[#This Row],[Ngày lên đơn]])</f>
        <v>0</v>
      </c>
      <c r="O32" s="230" t="s">
        <v>1164</v>
      </c>
      <c r="P32" s="230" t="s">
        <v>1165</v>
      </c>
      <c r="Q32" s="408">
        <v>15</v>
      </c>
      <c r="R32" s="523" t="s">
        <v>1181</v>
      </c>
      <c r="S32" s="537" t="str">
        <f>IFERROR(VLOOKUP(Table_Main[[#This Row],[Đơn Mua]],Table_DonMua[[Mã Đơn mua]:[Add]],COUNTA(Table_DonMua[[#Headers],[Mã Đơn mua]:[Mã Đối tác]]),0),0)</f>
        <v>NCC1</v>
      </c>
      <c r="T32" s="409">
        <v>63209</v>
      </c>
      <c r="U32" s="48">
        <f xml:space="preserve">
IF(NOT(ISBLANK(Table_Main[[#This Row],[Đơn Mua]])),Table_Main[[#This Row],[Số lượng]]*Table_Main[[#This Row],[Giá nhập]],Table_Main[[#This Row],[Số lượng]]*Table_Main[[#This Row],[Giá trị bình quân đầu ngày]])</f>
        <v>948135</v>
      </c>
      <c r="V3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2" s="48">
        <f>IF(Table_Main[[#This Row],[Đơn Mua]]="", 0,IFERROR(Table_Main[[#This Row],[Tỷ suất VAT khấu trừ]]*(Table_Main[[#This Row],[Giá trị hàng nhập]]/(1+Table_Main[[#This Row],[Tỷ suất VAT khấu trừ]])),0))</f>
        <v>0</v>
      </c>
      <c r="X32" s="523"/>
      <c r="Y32" s="28">
        <f>IFERROR(VLOOKUP(Table_Main[[#This Row],[Đơn bán]],Table_DonBan[[Mã Đơn bán]:[Add]],COUNTA(Table_DonBan[[#Headers],[Mã Đơn bán]:[Mã Khách]]),0),0)</f>
        <v>0</v>
      </c>
      <c r="Z32" s="48">
        <f>IF(ISBLANK(Table_Main[[#This Row],[Đơn bán]]),0,
VLOOKUP(Table_Main[[#This Row],[Mã SKU]],Table_SKU[[Mã SKU]:[Giá bán]],COUNTA(Table_SKU[[#Headers],[Mã SKU]:[Giá bán]]),0))</f>
        <v>0</v>
      </c>
      <c r="AA32" s="48">
        <f>IF(ISBLANK(Table_Main[[#This Row],[Đơn bán]]),0,
IF(Table_Main[[#This Row],[Loại]] = "Xuất",Table_Main[[#This Row],[Giá bán niêm yết]]*Table_Main[[#This Row],[Số lượng]],-Table_Main[[#This Row],[Giá bán niêm yết]]*Table_Main[[#This Row],[Số lượng]]))</f>
        <v>0</v>
      </c>
      <c r="AB32" s="230"/>
      <c r="AC3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2" s="48">
        <f xml:space="preserve">
IF(Table_Main[[#This Row],[Đơn bán]]="", 0,
IFERROR(
VLOOKUP(Table_Main[[#This Row],[Mã SKU]],Table_SKU[[Mã SKU]:[Tỷ suất VAT]],COUNTA(Table_SKU[[#Headers],[Mã SKU]:[Tỷ suất VAT]]),0),0)*Table_Main[[#This Row],[Giá trị bán trước VAT]])</f>
        <v>0</v>
      </c>
      <c r="AG32" s="51">
        <f>IFERROR(VLOOKUP(Table_Main[[#This Row],[Đơn bán]],Table_DonBan[[Mã Đơn bán]:[Add]],COUNTA(Table_DonBan[[#Headers],[Mã Đơn bán]:[Mã NV]]),0),0)</f>
        <v>0</v>
      </c>
      <c r="AH3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2" s="48">
        <f>IFERROR(Table_Main[[#This Row],[Giá trị bán trước VAT]]*Table_Main[[#This Row],[Tỷ lệ hoa hồng]],"")</f>
        <v>0</v>
      </c>
      <c r="AJ32" s="48">
        <f>IFERROR(VLOOKUP(Table_Main[[#This Row],[Đơn bán]],Table_DonBan[[Mã Đơn bán]:[Add]],COUNTA(Table_DonBan[[#Headers],[Mã Đơn bán]:[Kênh]]),0),0)</f>
        <v>0</v>
      </c>
      <c r="AK3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2" s="48">
        <f>IFERROR(Table_Main[[#This Row],[Giá trị bán trước VAT]]*Table_Main[[#This Row],[Tỷ lệ CK kênh]],"")</f>
        <v>0</v>
      </c>
      <c r="AM32" s="230"/>
      <c r="AN32" s="232"/>
      <c r="AO32" s="226">
        <f>Table_Main[[#This Row],[ĐK - Phân loại]]*Table_Main[[#This Row],[ĐK - Thời gian]]*Table_Main[[#This Row],[ĐK - Giá trị]]*Table_Main[[#This Row],[ĐK - Số lượng]]*Table_Main[[#This Row],[ĐK - Sinh nhật]]*Table_Main[[#This Row],[ĐK - Ngày mua cuối]]</f>
        <v>1</v>
      </c>
      <c r="AP32" s="226">
        <f xml:space="preserve">
IF(ISBLANK(Table_Main[[#This Row],[Chương trình]]),1,
IF(VLOOKUP(Table_Main[[#This Row],[Chương trình]],Table_ChuongTrinh[[Mã Chương trình]:[Đối tượng CK]],Sheet_ChuongTrinh!$C$1,0) = "Sản phẩm",1,0))</f>
        <v>1</v>
      </c>
      <c r="AQ3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3" spans="2:47" ht="18" customHeight="1" x14ac:dyDescent="0.3">
      <c r="B33" s="523" t="s">
        <v>1160</v>
      </c>
      <c r="C33" s="523"/>
      <c r="D33" s="537" t="str">
        <f>IF(ISBLANK(Table_Main[[#This Row],[Mã SKU]]),Table_Main[[#This Row],[Mã Nguyên liệu]],Table_Main[[#This Row],[Mã SKU]])</f>
        <v>TP1</v>
      </c>
      <c r="E33" s="420" cm="1">
        <f t="array" ref="E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174</v>
      </c>
      <c r="F33" s="420" cm="1">
        <f t="array" ref="F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146</v>
      </c>
      <c r="G33" s="420" cm="1">
        <f t="array" ref="G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3" s="420" cm="1">
        <f t="array" ref="H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3" s="420">
        <f>IFERROR(Table_Main[[#This Row],[Giá trị tồn đầu ngày]]/Table_Main[[#This Row],[Tồn kho đầu ngày]],0)</f>
        <v>0</v>
      </c>
      <c r="J33" s="420">
        <f>IFERROR(Table_Main[[#This Row],[Giá trị tồn cuối ngày]]/Table_Main[[#This Row],[Tồn kho cuối ngày]],0)</f>
        <v>0</v>
      </c>
      <c r="K33" s="415">
        <v>45774</v>
      </c>
      <c r="L33" s="47">
        <f xml:space="preserve">
IFERROR(
IFERROR(
VLOOKUP(Table_Main[[#This Row],[Đơn Mua]],Table_DonMua[[Mã Đơn mua]:[Add]],COUNTA(Table_DonMua[[#Headers],[Mã Đơn mua]:[Ngày lập]]),0),
VLOOKUP(Table_Main[[#This Row],[Đơn bán]],Table_DonBan[[Mã Đơn bán]:[Add]], COUNTA(Table_DonBan[[#Headers],[Mã Đơn bán]:[Ngày lập]]),0)),0)</f>
        <v>45774</v>
      </c>
      <c r="M33" s="29">
        <f>IFERROR(MONTH(Table_Main[[#This Row],[Ngày lên đơn]]),0)</f>
        <v>4</v>
      </c>
      <c r="N33" s="51">
        <f>IF(Table_Main[[#This Row],[Ngày lên đơn]]=0,"",Table_Main[[#This Row],[Ngày xuất nhập]]-Table_Main[[#This Row],[Ngày lên đơn]])</f>
        <v>0</v>
      </c>
      <c r="O33" s="230" t="s">
        <v>53</v>
      </c>
      <c r="P33" s="230" t="s">
        <v>1165</v>
      </c>
      <c r="Q33" s="408">
        <v>28</v>
      </c>
      <c r="R33" s="523"/>
      <c r="S33" s="537">
        <f>IFERROR(VLOOKUP(Table_Main[[#This Row],[Đơn Mua]],Table_DonMua[[Mã Đơn mua]:[Add]],COUNTA(Table_DonMua[[#Headers],[Mã Đơn mua]:[Mã Đối tác]]),0),0)</f>
        <v>0</v>
      </c>
      <c r="T33" s="409"/>
      <c r="U33" s="48">
        <f xml:space="preserve">
IF(NOT(ISBLANK(Table_Main[[#This Row],[Đơn Mua]])),Table_Main[[#This Row],[Số lượng]]*Table_Main[[#This Row],[Giá nhập]],Table_Main[[#This Row],[Số lượng]]*Table_Main[[#This Row],[Giá trị bình quân đầu ngày]])</f>
        <v>0</v>
      </c>
      <c r="V3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3" s="48">
        <f>IF(Table_Main[[#This Row],[Đơn Mua]]="", 0,IFERROR(Table_Main[[#This Row],[Tỷ suất VAT khấu trừ]]*(Table_Main[[#This Row],[Giá trị hàng nhập]]/(1+Table_Main[[#This Row],[Tỷ suất VAT khấu trừ]])),0))</f>
        <v>0</v>
      </c>
      <c r="X33" s="523" t="s">
        <v>1222</v>
      </c>
      <c r="Y33" s="28" t="str">
        <f>IFERROR(VLOOKUP(Table_Main[[#This Row],[Đơn bán]],Table_DonBan[[Mã Đơn bán]:[Add]],COUNTA(Table_DonBan[[#Headers],[Mã Đơn bán]:[Mã Khách]]),0),0)</f>
        <v>KH2</v>
      </c>
      <c r="Z33" s="48">
        <f>IF(ISBLANK(Table_Main[[#This Row],[Đơn bán]]),0,
VLOOKUP(Table_Main[[#This Row],[Mã SKU]],Table_SKU[[Mã SKU]:[Giá bán]],COUNTA(Table_SKU[[#Headers],[Mã SKU]:[Giá bán]]),0))</f>
        <v>300000</v>
      </c>
      <c r="AA33" s="48">
        <f>IF(ISBLANK(Table_Main[[#This Row],[Đơn bán]]),0,
IF(Table_Main[[#This Row],[Loại]] = "Xuất",Table_Main[[#This Row],[Giá bán niêm yết]]*Table_Main[[#This Row],[Số lượng]],-Table_Main[[#This Row],[Giá bán niêm yết]]*Table_Main[[#This Row],[Số lượng]]))</f>
        <v>8400000</v>
      </c>
      <c r="AB33" s="230"/>
      <c r="AC3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33" s="48">
        <f xml:space="preserve">
IF(Table_Main[[#This Row],[Đơn bán]]="", 0,
IFERROR(
VLOOKUP(Table_Main[[#This Row],[Mã SKU]],Table_SKU[[Mã SKU]:[Tỷ suất VAT]],COUNTA(Table_SKU[[#Headers],[Mã SKU]:[Tỷ suất VAT]]),0),0)*Table_Main[[#This Row],[Giá trị bán trước VAT]])</f>
        <v>0</v>
      </c>
      <c r="AG33" s="51">
        <f>IFERROR(VLOOKUP(Table_Main[[#This Row],[Đơn bán]],Table_DonBan[[Mã Đơn bán]:[Add]],COUNTA(Table_DonBan[[#Headers],[Mã Đơn bán]:[Mã NV]]),0),0)</f>
        <v>0</v>
      </c>
      <c r="AH3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3" s="48">
        <f>IFERROR(Table_Main[[#This Row],[Giá trị bán trước VAT]]*Table_Main[[#This Row],[Tỷ lệ hoa hồng]],"")</f>
        <v>0</v>
      </c>
      <c r="AJ33" s="48">
        <f>IFERROR(VLOOKUP(Table_Main[[#This Row],[Đơn bán]],Table_DonBan[[Mã Đơn bán]:[Add]],COUNTA(Table_DonBan[[#Headers],[Mã Đơn bán]:[Kênh]]),0),0)</f>
        <v>0</v>
      </c>
      <c r="AK3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3" s="48">
        <f>IFERROR(Table_Main[[#This Row],[Giá trị bán trước VAT]]*Table_Main[[#This Row],[Tỷ lệ CK kênh]],"")</f>
        <v>0</v>
      </c>
      <c r="AM33" s="230"/>
      <c r="AN33" s="232"/>
      <c r="AO33" s="226">
        <f>Table_Main[[#This Row],[ĐK - Phân loại]]*Table_Main[[#This Row],[ĐK - Thời gian]]*Table_Main[[#This Row],[ĐK - Giá trị]]*Table_Main[[#This Row],[ĐK - Số lượng]]*Table_Main[[#This Row],[ĐK - Sinh nhật]]*Table_Main[[#This Row],[ĐK - Ngày mua cuối]]</f>
        <v>1</v>
      </c>
      <c r="AP33" s="226">
        <f xml:space="preserve">
IF(ISBLANK(Table_Main[[#This Row],[Chương trình]]),1,
IF(VLOOKUP(Table_Main[[#This Row],[Chương trình]],Table_ChuongTrinh[[Mã Chương trình]:[Đối tượng CK]],Sheet_ChuongTrinh!$C$1,0) = "Sản phẩm",1,0))</f>
        <v>1</v>
      </c>
      <c r="AQ3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4" spans="2:47" ht="18" customHeight="1" x14ac:dyDescent="0.3">
      <c r="B34" s="530"/>
      <c r="C34" s="239" t="s">
        <v>1163</v>
      </c>
      <c r="D34" s="538" t="str">
        <f>IF(ISBLANK(Table_Main[[#This Row],[Mã SKU]]),Table_Main[[#This Row],[Mã Nguyên liệu]],Table_Main[[#This Row],[Mã SKU]])</f>
        <v>NL1</v>
      </c>
      <c r="E34" s="420" cm="1">
        <f t="array" ref="E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171</v>
      </c>
      <c r="F34" s="420" cm="1">
        <f t="array" ref="F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v>
      </c>
      <c r="G34" s="420" cm="1">
        <f t="array" ref="G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17503962</v>
      </c>
      <c r="H34" s="420" cm="1">
        <f t="array" ref="H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14023642.070175439</v>
      </c>
      <c r="I34" s="420">
        <f>IFERROR(Table_Main[[#This Row],[Giá trị tồn đầu ngày]]/Table_Main[[#This Row],[Tồn kho đầu ngày]],0)</f>
        <v>102362.35087719298</v>
      </c>
      <c r="J34" s="420">
        <f>IFERROR(Table_Main[[#This Row],[Giá trị tồn cuối ngày]]/Table_Main[[#This Row],[Tồn kho cuối ngày]],0)</f>
        <v>102362.35087719299</v>
      </c>
      <c r="K34" s="415">
        <v>45774</v>
      </c>
      <c r="L3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4" s="29">
        <f>IFERROR(MONTH(Table_Main[[#This Row],[Ngày lên đơn]]),0)</f>
        <v>1</v>
      </c>
      <c r="N34" s="51" t="str">
        <f>IF(Table_Main[[#This Row],[Ngày lên đơn]]=0,"",Table_Main[[#This Row],[Ngày xuất nhập]]-Table_Main[[#This Row],[Ngày lên đơn]])</f>
        <v/>
      </c>
      <c r="O34" s="230" t="s">
        <v>53</v>
      </c>
      <c r="P34" s="230" t="s">
        <v>1165</v>
      </c>
      <c r="Q34" s="408">
        <v>34</v>
      </c>
      <c r="R34" s="523"/>
      <c r="S34" s="537">
        <f>IFERROR(VLOOKUP(Table_Main[[#This Row],[Đơn Mua]],Table_DonMua[[Mã Đơn mua]:[Add]],COUNTA(Table_DonMua[[#Headers],[Mã Đơn mua]:[Mã Đối tác]]),0),0)</f>
        <v>0</v>
      </c>
      <c r="T34" s="409"/>
      <c r="U34" s="48">
        <f xml:space="preserve">
IF(NOT(ISBLANK(Table_Main[[#This Row],[Đơn Mua]])),Table_Main[[#This Row],[Số lượng]]*Table_Main[[#This Row],[Giá nhập]],Table_Main[[#This Row],[Số lượng]]*Table_Main[[#This Row],[Giá trị bình quân đầu ngày]])</f>
        <v>3480319.9298245613</v>
      </c>
      <c r="V3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4" s="48">
        <f>IF(Table_Main[[#This Row],[Đơn Mua]]="", 0,IFERROR(Table_Main[[#This Row],[Tỷ suất VAT khấu trừ]]*(Table_Main[[#This Row],[Giá trị hàng nhập]]/(1+Table_Main[[#This Row],[Tỷ suất VAT khấu trừ]])),0))</f>
        <v>0</v>
      </c>
      <c r="X34" s="523"/>
      <c r="Y34" s="28">
        <f>IFERROR(VLOOKUP(Table_Main[[#This Row],[Đơn bán]],Table_DonBan[[Mã Đơn bán]:[Add]],COUNTA(Table_DonBan[[#Headers],[Mã Đơn bán]:[Mã Khách]]),0),0)</f>
        <v>0</v>
      </c>
      <c r="Z34" s="48">
        <f>IF(ISBLANK(Table_Main[[#This Row],[Đơn bán]]),0,
VLOOKUP(Table_Main[[#This Row],[Mã SKU]],Table_SKU[[Mã SKU]:[Giá bán]],COUNTA(Table_SKU[[#Headers],[Mã SKU]:[Giá bán]]),0))</f>
        <v>0</v>
      </c>
      <c r="AA34" s="48">
        <f>IF(ISBLANK(Table_Main[[#This Row],[Đơn bán]]),0,
IF(Table_Main[[#This Row],[Loại]] = "Xuất",Table_Main[[#This Row],[Giá bán niêm yết]]*Table_Main[[#This Row],[Số lượng]],-Table_Main[[#This Row],[Giá bán niêm yết]]*Table_Main[[#This Row],[Số lượng]]))</f>
        <v>0</v>
      </c>
      <c r="AB34" s="230"/>
      <c r="AC3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4" s="48">
        <f xml:space="preserve">
IF(Table_Main[[#This Row],[Đơn bán]]="", 0,
IFERROR(
VLOOKUP(Table_Main[[#This Row],[Mã SKU]],Table_SKU[[Mã SKU]:[Tỷ suất VAT]],COUNTA(Table_SKU[[#Headers],[Mã SKU]:[Tỷ suất VAT]]),0),0)*Table_Main[[#This Row],[Giá trị bán trước VAT]])</f>
        <v>0</v>
      </c>
      <c r="AG34" s="51">
        <f>IFERROR(VLOOKUP(Table_Main[[#This Row],[Đơn bán]],Table_DonBan[[Mã Đơn bán]:[Add]],COUNTA(Table_DonBan[[#Headers],[Mã Đơn bán]:[Mã NV]]),0),0)</f>
        <v>0</v>
      </c>
      <c r="AH3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4" s="48">
        <f>IFERROR(Table_Main[[#This Row],[Giá trị bán trước VAT]]*Table_Main[[#This Row],[Tỷ lệ hoa hồng]],"")</f>
        <v>0</v>
      </c>
      <c r="AJ34" s="48">
        <f>IFERROR(VLOOKUP(Table_Main[[#This Row],[Đơn bán]],Table_DonBan[[Mã Đơn bán]:[Add]],COUNTA(Table_DonBan[[#Headers],[Mã Đơn bán]:[Kênh]]),0),0)</f>
        <v>0</v>
      </c>
      <c r="AK3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4" s="48">
        <f>IFERROR(Table_Main[[#This Row],[Giá trị bán trước VAT]]*Table_Main[[#This Row],[Tỷ lệ CK kênh]],"")</f>
        <v>0</v>
      </c>
      <c r="AM34" s="230"/>
      <c r="AN34" s="232"/>
      <c r="AO34" s="226">
        <f>Table_Main[[#This Row],[ĐK - Phân loại]]*Table_Main[[#This Row],[ĐK - Thời gian]]*Table_Main[[#This Row],[ĐK - Giá trị]]*Table_Main[[#This Row],[ĐK - Số lượng]]*Table_Main[[#This Row],[ĐK - Sinh nhật]]*Table_Main[[#This Row],[ĐK - Ngày mua cuối]]</f>
        <v>1</v>
      </c>
      <c r="AP34" s="226">
        <f xml:space="preserve">
IF(ISBLANK(Table_Main[[#This Row],[Chương trình]]),1,
IF(VLOOKUP(Table_Main[[#This Row],[Chương trình]],Table_ChuongTrinh[[Mã Chương trình]:[Đối tượng CK]],Sheet_ChuongTrinh!$C$1,0) = "Sản phẩm",1,0))</f>
        <v>1</v>
      </c>
      <c r="AQ3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5" spans="2:47" ht="18" customHeight="1" x14ac:dyDescent="0.3">
      <c r="B35" s="523" t="s">
        <v>1160</v>
      </c>
      <c r="C35" s="523"/>
      <c r="D35" s="537" t="str">
        <f>IF(ISBLANK(Table_Main[[#This Row],[Mã SKU]]),Table_Main[[#This Row],[Mã Nguyên liệu]],Table_Main[[#This Row],[Mã SKU]])</f>
        <v>TP1</v>
      </c>
      <c r="E35" s="420" cm="1">
        <f t="array" ref="E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v>
      </c>
      <c r="F35" s="420" cm="1">
        <f t="array" ref="F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174</v>
      </c>
      <c r="G35" s="420" cm="1">
        <f t="array" ref="G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5" s="420" cm="1">
        <f t="array" ref="H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5" s="420">
        <f>IFERROR(Table_Main[[#This Row],[Giá trị tồn đầu ngày]]/Table_Main[[#This Row],[Tồn kho đầu ngày]],0)</f>
        <v>0</v>
      </c>
      <c r="J35" s="420">
        <f>IFERROR(Table_Main[[#This Row],[Giá trị tồn cuối ngày]]/Table_Main[[#This Row],[Tồn kho cuối ngày]],0)</f>
        <v>0</v>
      </c>
      <c r="K35" s="415">
        <v>45773</v>
      </c>
      <c r="L3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5" s="29">
        <f>IFERROR(MONTH(Table_Main[[#This Row],[Ngày lên đơn]]),0)</f>
        <v>1</v>
      </c>
      <c r="N35" s="51" t="str">
        <f>IF(Table_Main[[#This Row],[Ngày lên đơn]]=0,"",Table_Main[[#This Row],[Ngày xuất nhập]]-Table_Main[[#This Row],[Ngày lên đơn]])</f>
        <v/>
      </c>
      <c r="O35" s="230" t="s">
        <v>1164</v>
      </c>
      <c r="P35" s="230" t="s">
        <v>1165</v>
      </c>
      <c r="Q35" s="408">
        <v>32</v>
      </c>
      <c r="R35" s="523"/>
      <c r="S35" s="537">
        <f>IFERROR(VLOOKUP(Table_Main[[#This Row],[Đơn Mua]],Table_DonMua[[Mã Đơn mua]:[Add]],COUNTA(Table_DonMua[[#Headers],[Mã Đơn mua]:[Mã Đối tác]]),0),0)</f>
        <v>0</v>
      </c>
      <c r="T35" s="409"/>
      <c r="U35" s="48">
        <f xml:space="preserve">
IF(NOT(ISBLANK(Table_Main[[#This Row],[Đơn Mua]])),Table_Main[[#This Row],[Số lượng]]*Table_Main[[#This Row],[Giá nhập]],Table_Main[[#This Row],[Số lượng]]*Table_Main[[#This Row],[Giá trị bình quân đầu ngày]])</f>
        <v>0</v>
      </c>
      <c r="V3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5" s="48">
        <f>IF(Table_Main[[#This Row],[Đơn Mua]]="", 0,IFERROR(Table_Main[[#This Row],[Tỷ suất VAT khấu trừ]]*(Table_Main[[#This Row],[Giá trị hàng nhập]]/(1+Table_Main[[#This Row],[Tỷ suất VAT khấu trừ]])),0))</f>
        <v>0</v>
      </c>
      <c r="X35" s="523"/>
      <c r="Y35" s="28">
        <f>IFERROR(VLOOKUP(Table_Main[[#This Row],[Đơn bán]],Table_DonBan[[Mã Đơn bán]:[Add]],COUNTA(Table_DonBan[[#Headers],[Mã Đơn bán]:[Mã Khách]]),0),0)</f>
        <v>0</v>
      </c>
      <c r="Z35" s="48">
        <f>IF(ISBLANK(Table_Main[[#This Row],[Đơn bán]]),0,
VLOOKUP(Table_Main[[#This Row],[Mã SKU]],Table_SKU[[Mã SKU]:[Giá bán]],COUNTA(Table_SKU[[#Headers],[Mã SKU]:[Giá bán]]),0))</f>
        <v>0</v>
      </c>
      <c r="AA35" s="48">
        <f>IF(ISBLANK(Table_Main[[#This Row],[Đơn bán]]),0,
IF(Table_Main[[#This Row],[Loại]] = "Xuất",Table_Main[[#This Row],[Giá bán niêm yết]]*Table_Main[[#This Row],[Số lượng]],-Table_Main[[#This Row],[Giá bán niêm yết]]*Table_Main[[#This Row],[Số lượng]]))</f>
        <v>0</v>
      </c>
      <c r="AB35" s="230"/>
      <c r="AC3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5" s="48">
        <f xml:space="preserve">
IF(Table_Main[[#This Row],[Đơn bán]]="", 0,
IFERROR(
VLOOKUP(Table_Main[[#This Row],[Mã SKU]],Table_SKU[[Mã SKU]:[Tỷ suất VAT]],COUNTA(Table_SKU[[#Headers],[Mã SKU]:[Tỷ suất VAT]]),0),0)*Table_Main[[#This Row],[Giá trị bán trước VAT]])</f>
        <v>0</v>
      </c>
      <c r="AG35" s="51">
        <f>IFERROR(VLOOKUP(Table_Main[[#This Row],[Đơn bán]],Table_DonBan[[Mã Đơn bán]:[Add]],COUNTA(Table_DonBan[[#Headers],[Mã Đơn bán]:[Mã NV]]),0),0)</f>
        <v>0</v>
      </c>
      <c r="AH3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5" s="48">
        <f>IFERROR(Table_Main[[#This Row],[Giá trị bán trước VAT]]*Table_Main[[#This Row],[Tỷ lệ hoa hồng]],"")</f>
        <v>0</v>
      </c>
      <c r="AJ35" s="48">
        <f>IFERROR(VLOOKUP(Table_Main[[#This Row],[Đơn bán]],Table_DonBan[[Mã Đơn bán]:[Add]],COUNTA(Table_DonBan[[#Headers],[Mã Đơn bán]:[Kênh]]),0),0)</f>
        <v>0</v>
      </c>
      <c r="AK3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5" s="48">
        <f>IFERROR(Table_Main[[#This Row],[Giá trị bán trước VAT]]*Table_Main[[#This Row],[Tỷ lệ CK kênh]],"")</f>
        <v>0</v>
      </c>
      <c r="AM35" s="230"/>
      <c r="AN35" s="232"/>
      <c r="AO35" s="226">
        <f>Table_Main[[#This Row],[ĐK - Phân loại]]*Table_Main[[#This Row],[ĐK - Thời gian]]*Table_Main[[#This Row],[ĐK - Giá trị]]*Table_Main[[#This Row],[ĐK - Số lượng]]*Table_Main[[#This Row],[ĐK - Sinh nhật]]*Table_Main[[#This Row],[ĐK - Ngày mua cuối]]</f>
        <v>1</v>
      </c>
      <c r="AP35" s="226">
        <f xml:space="preserve">
IF(ISBLANK(Table_Main[[#This Row],[Chương trình]]),1,
IF(VLOOKUP(Table_Main[[#This Row],[Chương trình]],Table_ChuongTrinh[[Mã Chương trình]:[Đối tượng CK]],Sheet_ChuongTrinh!$C$1,0) = "Sản phẩm",1,0))</f>
        <v>1</v>
      </c>
      <c r="AQ3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6" spans="2:47" ht="18" customHeight="1" x14ac:dyDescent="0.3">
      <c r="B36" s="523" t="s">
        <v>1160</v>
      </c>
      <c r="C36" s="523"/>
      <c r="D36" s="537" t="str">
        <f>IF(ISBLANK(Table_Main[[#This Row],[Mã SKU]]),Table_Main[[#This Row],[Mã Nguyên liệu]],Table_Main[[#This Row],[Mã SKU]])</f>
        <v>TP1</v>
      </c>
      <c r="E36" s="420" cm="1">
        <f t="array" ref="E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121</v>
      </c>
      <c r="F36" s="420" cm="1">
        <f t="array" ref="F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v>
      </c>
      <c r="G36" s="420" cm="1">
        <f t="array" ref="G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6" s="420" cm="1">
        <f t="array" ref="H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6" s="420">
        <f>IFERROR(Table_Main[[#This Row],[Giá trị tồn đầu ngày]]/Table_Main[[#This Row],[Tồn kho đầu ngày]],0)</f>
        <v>0</v>
      </c>
      <c r="J36" s="420">
        <f>IFERROR(Table_Main[[#This Row],[Giá trị tồn cuối ngày]]/Table_Main[[#This Row],[Tồn kho cuối ngày]],0)</f>
        <v>0</v>
      </c>
      <c r="K36" s="415">
        <v>45772</v>
      </c>
      <c r="L3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6" s="29">
        <f>IFERROR(MONTH(Table_Main[[#This Row],[Ngày lên đơn]]),0)</f>
        <v>1</v>
      </c>
      <c r="N36" s="51" t="str">
        <f>IF(Table_Main[[#This Row],[Ngày lên đơn]]=0,"",Table_Main[[#This Row],[Ngày xuất nhập]]-Table_Main[[#This Row],[Ngày lên đơn]])</f>
        <v/>
      </c>
      <c r="O36" s="230" t="s">
        <v>1164</v>
      </c>
      <c r="P36" s="230" t="s">
        <v>1165</v>
      </c>
      <c r="Q36" s="408">
        <v>21</v>
      </c>
      <c r="R36" s="523"/>
      <c r="S36" s="537">
        <f>IFERROR(VLOOKUP(Table_Main[[#This Row],[Đơn Mua]],Table_DonMua[[Mã Đơn mua]:[Add]],COUNTA(Table_DonMua[[#Headers],[Mã Đơn mua]:[Mã Đối tác]]),0),0)</f>
        <v>0</v>
      </c>
      <c r="T36" s="409"/>
      <c r="U36" s="48">
        <f xml:space="preserve">
IF(NOT(ISBLANK(Table_Main[[#This Row],[Đơn Mua]])),Table_Main[[#This Row],[Số lượng]]*Table_Main[[#This Row],[Giá nhập]],Table_Main[[#This Row],[Số lượng]]*Table_Main[[#This Row],[Giá trị bình quân đầu ngày]])</f>
        <v>0</v>
      </c>
      <c r="V3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6" s="48">
        <f>IF(Table_Main[[#This Row],[Đơn Mua]]="", 0,IFERROR(Table_Main[[#This Row],[Tỷ suất VAT khấu trừ]]*(Table_Main[[#This Row],[Giá trị hàng nhập]]/(1+Table_Main[[#This Row],[Tỷ suất VAT khấu trừ]])),0))</f>
        <v>0</v>
      </c>
      <c r="X36" s="523"/>
      <c r="Y36" s="28">
        <f>IFERROR(VLOOKUP(Table_Main[[#This Row],[Đơn bán]],Table_DonBan[[Mã Đơn bán]:[Add]],COUNTA(Table_DonBan[[#Headers],[Mã Đơn bán]:[Mã Khách]]),0),0)</f>
        <v>0</v>
      </c>
      <c r="Z36" s="48">
        <f>IF(ISBLANK(Table_Main[[#This Row],[Đơn bán]]),0,
VLOOKUP(Table_Main[[#This Row],[Mã SKU]],Table_SKU[[Mã SKU]:[Giá bán]],COUNTA(Table_SKU[[#Headers],[Mã SKU]:[Giá bán]]),0))</f>
        <v>0</v>
      </c>
      <c r="AA36" s="48">
        <f>IF(ISBLANK(Table_Main[[#This Row],[Đơn bán]]),0,
IF(Table_Main[[#This Row],[Loại]] = "Xuất",Table_Main[[#This Row],[Giá bán niêm yết]]*Table_Main[[#This Row],[Số lượng]],-Table_Main[[#This Row],[Giá bán niêm yết]]*Table_Main[[#This Row],[Số lượng]]))</f>
        <v>0</v>
      </c>
      <c r="AB36" s="230"/>
      <c r="AC3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6" s="48">
        <f xml:space="preserve">
IF(Table_Main[[#This Row],[Đơn bán]]="", 0,
IFERROR(
VLOOKUP(Table_Main[[#This Row],[Mã SKU]],Table_SKU[[Mã SKU]:[Tỷ suất VAT]],COUNTA(Table_SKU[[#Headers],[Mã SKU]:[Tỷ suất VAT]]),0),0)*Table_Main[[#This Row],[Giá trị bán trước VAT]])</f>
        <v>0</v>
      </c>
      <c r="AG36" s="51">
        <f>IFERROR(VLOOKUP(Table_Main[[#This Row],[Đơn bán]],Table_DonBan[[Mã Đơn bán]:[Add]],COUNTA(Table_DonBan[[#Headers],[Mã Đơn bán]:[Mã NV]]),0),0)</f>
        <v>0</v>
      </c>
      <c r="AH3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6" s="48">
        <f>IFERROR(Table_Main[[#This Row],[Giá trị bán trước VAT]]*Table_Main[[#This Row],[Tỷ lệ hoa hồng]],"")</f>
        <v>0</v>
      </c>
      <c r="AJ36" s="48">
        <f>IFERROR(VLOOKUP(Table_Main[[#This Row],[Đơn bán]],Table_DonBan[[Mã Đơn bán]:[Add]],COUNTA(Table_DonBan[[#Headers],[Mã Đơn bán]:[Kênh]]),0),0)</f>
        <v>0</v>
      </c>
      <c r="AK3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6" s="48">
        <f>IFERROR(Table_Main[[#This Row],[Giá trị bán trước VAT]]*Table_Main[[#This Row],[Tỷ lệ CK kênh]],"")</f>
        <v>0</v>
      </c>
      <c r="AM36" s="230"/>
      <c r="AN36" s="232"/>
      <c r="AO36" s="226">
        <f>Table_Main[[#This Row],[ĐK - Phân loại]]*Table_Main[[#This Row],[ĐK - Thời gian]]*Table_Main[[#This Row],[ĐK - Giá trị]]*Table_Main[[#This Row],[ĐK - Số lượng]]*Table_Main[[#This Row],[ĐK - Sinh nhật]]*Table_Main[[#This Row],[ĐK - Ngày mua cuối]]</f>
        <v>1</v>
      </c>
      <c r="AP36" s="226">
        <f xml:space="preserve">
IF(ISBLANK(Table_Main[[#This Row],[Chương trình]]),1,
IF(VLOOKUP(Table_Main[[#This Row],[Chương trình]],Table_ChuongTrinh[[Mã Chương trình]:[Đối tượng CK]],Sheet_ChuongTrinh!$C$1,0) = "Sản phẩm",1,0))</f>
        <v>1</v>
      </c>
      <c r="AQ3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7" spans="2:47" ht="18" customHeight="1" x14ac:dyDescent="0.15">
      <c r="B37" s="530"/>
      <c r="C37" s="239" t="s">
        <v>1162</v>
      </c>
      <c r="D37" s="538" t="str">
        <f>IF(ISBLANK(Table_Main[[#This Row],[Mã SKU]]),Table_Main[[#This Row],[Mã Nguyên liệu]],Table_Main[[#This Row],[Mã SKU]])</f>
        <v>NL2</v>
      </c>
      <c r="E37" s="420" cm="1">
        <f t="array" ref="E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61</v>
      </c>
      <c r="F37" s="420" cm="1">
        <f t="array" ref="F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50</v>
      </c>
      <c r="G37" s="420" cm="1">
        <f t="array" ref="G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6906093.4782608673</v>
      </c>
      <c r="H37" s="420" cm="1">
        <f t="array" ref="H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5660732.3592302203</v>
      </c>
      <c r="I37" s="420">
        <f>IFERROR(Table_Main[[#This Row],[Giá trị tồn đầu ngày]]/Table_Main[[#This Row],[Tồn kho đầu ngày]],0)</f>
        <v>113214.64718460439</v>
      </c>
      <c r="J37" s="420">
        <f>IFERROR(Table_Main[[#This Row],[Giá trị tồn cuối ngày]]/Table_Main[[#This Row],[Tồn kho cuối ngày]],0)</f>
        <v>113214.6471846044</v>
      </c>
      <c r="K37" s="415">
        <v>45772</v>
      </c>
      <c r="L3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7" s="29">
        <f>IFERROR(MONTH(Table_Main[[#This Row],[Ngày lên đơn]]),0)</f>
        <v>1</v>
      </c>
      <c r="N37" s="551" t="str">
        <f>IF(Table_Main[[#This Row],[Ngày lên đơn]]=0,"",Table_Main[[#This Row],[Ngày xuất nhập]]-Table_Main[[#This Row],[Ngày lên đơn]])</f>
        <v/>
      </c>
      <c r="O37" s="7" t="s">
        <v>53</v>
      </c>
      <c r="P37" s="230" t="s">
        <v>1165</v>
      </c>
      <c r="Q37" s="408">
        <v>11</v>
      </c>
      <c r="R37" s="523"/>
      <c r="S37" s="537">
        <f>IFERROR(VLOOKUP(Table_Main[[#This Row],[Đơn Mua]],Table_DonMua[[Mã Đơn mua]:[Add]],COUNTA(Table_DonMua[[#Headers],[Mã Đơn mua]:[Mã Đối tác]]),0),0)</f>
        <v>0</v>
      </c>
      <c r="T37" s="409"/>
      <c r="U37" s="48">
        <f xml:space="preserve">
IF(NOT(ISBLANK(Table_Main[[#This Row],[Đơn Mua]])),Table_Main[[#This Row],[Số lượng]]*Table_Main[[#This Row],[Giá nhập]],Table_Main[[#This Row],[Số lượng]]*Table_Main[[#This Row],[Giá trị bình quân đầu ngày]])</f>
        <v>1245361.1190306481</v>
      </c>
      <c r="V3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7" s="48">
        <f>IF(Table_Main[[#This Row],[Đơn Mua]]="", 0,IFERROR(Table_Main[[#This Row],[Tỷ suất VAT khấu trừ]]*(Table_Main[[#This Row],[Giá trị hàng nhập]]/(1+Table_Main[[#This Row],[Tỷ suất VAT khấu trừ]])),0))</f>
        <v>0</v>
      </c>
      <c r="X37" s="523"/>
      <c r="Y37" s="28">
        <f>IFERROR(VLOOKUP(Table_Main[[#This Row],[Đơn bán]],Table_DonBan[[Mã Đơn bán]:[Add]],COUNTA(Table_DonBan[[#Headers],[Mã Đơn bán]:[Mã Khách]]),0),0)</f>
        <v>0</v>
      </c>
      <c r="Z37" s="48">
        <f>IF(ISBLANK(Table_Main[[#This Row],[Đơn bán]]),0,
VLOOKUP(Table_Main[[#This Row],[Mã SKU]],Table_SKU[[Mã SKU]:[Giá bán]],COUNTA(Table_SKU[[#Headers],[Mã SKU]:[Giá bán]]),0))</f>
        <v>0</v>
      </c>
      <c r="AA37" s="48">
        <f>IF(ISBLANK(Table_Main[[#This Row],[Đơn bán]]),0,
IF(Table_Main[[#This Row],[Loại]] = "Xuất",Table_Main[[#This Row],[Giá bán niêm yết]]*Table_Main[[#This Row],[Số lượng]],-Table_Main[[#This Row],[Giá bán niêm yết]]*Table_Main[[#This Row],[Số lượng]]))</f>
        <v>0</v>
      </c>
      <c r="AB37" s="230"/>
      <c r="AC3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7" s="48">
        <f xml:space="preserve">
IF(Table_Main[[#This Row],[Đơn bán]]="", 0,
IFERROR(
VLOOKUP(Table_Main[[#This Row],[Mã SKU]],Table_SKU[[Mã SKU]:[Tỷ suất VAT]],COUNTA(Table_SKU[[#Headers],[Mã SKU]:[Tỷ suất VAT]]),0),0)*Table_Main[[#This Row],[Giá trị bán trước VAT]])</f>
        <v>0</v>
      </c>
      <c r="AG37" s="51">
        <f>IFERROR(VLOOKUP(Table_Main[[#This Row],[Đơn bán]],Table_DonBan[[Mã Đơn bán]:[Add]],COUNTA(Table_DonBan[[#Headers],[Mã Đơn bán]:[Mã NV]]),0),0)</f>
        <v>0</v>
      </c>
      <c r="AH3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7" s="48">
        <f>IFERROR(Table_Main[[#This Row],[Giá trị bán trước VAT]]*Table_Main[[#This Row],[Tỷ lệ hoa hồng]],"")</f>
        <v>0</v>
      </c>
      <c r="AJ37" s="48">
        <f>IFERROR(VLOOKUP(Table_Main[[#This Row],[Đơn bán]],Table_DonBan[[Mã Đơn bán]:[Add]],COUNTA(Table_DonBan[[#Headers],[Mã Đơn bán]:[Kênh]]),0),0)</f>
        <v>0</v>
      </c>
      <c r="AK3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7" s="48">
        <f>IFERROR(Table_Main[[#This Row],[Giá trị bán trước VAT]]*Table_Main[[#This Row],[Tỷ lệ CK kênh]],"")</f>
        <v>0</v>
      </c>
      <c r="AM37" s="230"/>
      <c r="AN37" s="232"/>
      <c r="AO37" s="226">
        <f>Table_Main[[#This Row],[ĐK - Phân loại]]*Table_Main[[#This Row],[ĐK - Thời gian]]*Table_Main[[#This Row],[ĐK - Giá trị]]*Table_Main[[#This Row],[ĐK - Số lượng]]*Table_Main[[#This Row],[ĐK - Sinh nhật]]*Table_Main[[#This Row],[ĐK - Ngày mua cuối]]</f>
        <v>1</v>
      </c>
      <c r="AP37" s="226">
        <f xml:space="preserve">
IF(ISBLANK(Table_Main[[#This Row],[Chương trình]]),1,
IF(VLOOKUP(Table_Main[[#This Row],[Chương trình]],Table_ChuongTrinh[[Mã Chương trình]:[Đối tượng CK]],Sheet_ChuongTrinh!$C$1,0) = "Sản phẩm",1,0))</f>
        <v>1</v>
      </c>
      <c r="AQ3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8" spans="2:47" ht="18" customHeight="1" x14ac:dyDescent="0.15">
      <c r="B38" s="530"/>
      <c r="C38" s="239" t="s">
        <v>1162</v>
      </c>
      <c r="D38" s="538" t="str">
        <f>IF(ISBLANK(Table_Main[[#This Row],[Mã SKU]]),Table_Main[[#This Row],[Mã Nguyên liệu]],Table_Main[[#This Row],[Mã SKU]])</f>
        <v>NL2</v>
      </c>
      <c r="E38" s="420" cm="1">
        <f t="array" ref="E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50</v>
      </c>
      <c r="F38" s="420" cm="1">
        <f t="array" ref="F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v>
      </c>
      <c r="G38" s="420" cm="1">
        <f t="array" ref="G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5660732.3592302203</v>
      </c>
      <c r="H38" s="420" cm="1">
        <f t="array" ref="H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9332607.3592302203</v>
      </c>
      <c r="I38" s="420">
        <f>IFERROR(Table_Main[[#This Row],[Giá trị tồn đầu ngày]]/Table_Main[[#This Row],[Tồn kho đầu ngày]],0)</f>
        <v>113214.6471846044</v>
      </c>
      <c r="J38" s="420">
        <f>IFERROR(Table_Main[[#This Row],[Giá trị tồn cuối ngày]]/Table_Main[[#This Row],[Tồn kho cuối ngày]],0)</f>
        <v>124434.76478973628</v>
      </c>
      <c r="K38" s="415">
        <v>45775</v>
      </c>
      <c r="L38" s="47">
        <f xml:space="preserve">
IFERROR(
IFERROR(
VLOOKUP(Table_Main[[#This Row],[Đơn Mua]],Table_DonMua[[Mã Đơn mua]:[Add]],COUNTA(Table_DonMua[[#Headers],[Mã Đơn mua]:[Ngày lập]]),0),
VLOOKUP(Table_Main[[#This Row],[Đơn bán]],Table_DonBan[[Mã Đơn bán]:[Add]], COUNTA(Table_DonBan[[#Headers],[Mã Đơn bán]:[Ngày lập]]),0)),0)</f>
        <v>45772</v>
      </c>
      <c r="M38" s="29">
        <f>IFERROR(MONTH(Table_Main[[#This Row],[Ngày lên đơn]]),0)</f>
        <v>4</v>
      </c>
      <c r="N38" s="551">
        <f>IF(Table_Main[[#This Row],[Ngày lên đơn]]=0,"",Table_Main[[#This Row],[Ngày xuất nhập]]-Table_Main[[#This Row],[Ngày lên đơn]])</f>
        <v>3</v>
      </c>
      <c r="O38" s="7" t="s">
        <v>1164</v>
      </c>
      <c r="P38" s="230" t="s">
        <v>1165</v>
      </c>
      <c r="Q38" s="408">
        <v>25</v>
      </c>
      <c r="R38" s="523" t="s">
        <v>1180</v>
      </c>
      <c r="S38" s="537" t="str">
        <f>IFERROR(VLOOKUP(Table_Main[[#This Row],[Đơn Mua]],Table_DonMua[[Mã Đơn mua]:[Add]],COUNTA(Table_DonMua[[#Headers],[Mã Đơn mua]:[Mã Đối tác]]),0),0)</f>
        <v>NCC2</v>
      </c>
      <c r="T38" s="409">
        <v>146875</v>
      </c>
      <c r="U38" s="48">
        <f xml:space="preserve">
IF(NOT(ISBLANK(Table_Main[[#This Row],[Đơn Mua]])),Table_Main[[#This Row],[Số lượng]]*Table_Main[[#This Row],[Giá nhập]],Table_Main[[#This Row],[Số lượng]]*Table_Main[[#This Row],[Giá trị bình quân đầu ngày]])</f>
        <v>3671875</v>
      </c>
      <c r="V3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8" s="48">
        <f>IF(Table_Main[[#This Row],[Đơn Mua]]="", 0,IFERROR(Table_Main[[#This Row],[Tỷ suất VAT khấu trừ]]*(Table_Main[[#This Row],[Giá trị hàng nhập]]/(1+Table_Main[[#This Row],[Tỷ suất VAT khấu trừ]])),0))</f>
        <v>0</v>
      </c>
      <c r="X38" s="523"/>
      <c r="Y38" s="28">
        <f>IFERROR(VLOOKUP(Table_Main[[#This Row],[Đơn bán]],Table_DonBan[[Mã Đơn bán]:[Add]],COUNTA(Table_DonBan[[#Headers],[Mã Đơn bán]:[Mã Khách]]),0),0)</f>
        <v>0</v>
      </c>
      <c r="Z38" s="48">
        <f>IF(ISBLANK(Table_Main[[#This Row],[Đơn bán]]),0,
VLOOKUP(Table_Main[[#This Row],[Mã SKU]],Table_SKU[[Mã SKU]:[Giá bán]],COUNTA(Table_SKU[[#Headers],[Mã SKU]:[Giá bán]]),0))</f>
        <v>0</v>
      </c>
      <c r="AA38" s="48">
        <f>IF(ISBLANK(Table_Main[[#This Row],[Đơn bán]]),0,
IF(Table_Main[[#This Row],[Loại]] = "Xuất",Table_Main[[#This Row],[Giá bán niêm yết]]*Table_Main[[#This Row],[Số lượng]],-Table_Main[[#This Row],[Giá bán niêm yết]]*Table_Main[[#This Row],[Số lượng]]))</f>
        <v>0</v>
      </c>
      <c r="AB38" s="230"/>
      <c r="AC3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8" s="48">
        <f xml:space="preserve">
IF(Table_Main[[#This Row],[Đơn bán]]="", 0,
IFERROR(
VLOOKUP(Table_Main[[#This Row],[Mã SKU]],Table_SKU[[Mã SKU]:[Tỷ suất VAT]],COUNTA(Table_SKU[[#Headers],[Mã SKU]:[Tỷ suất VAT]]),0),0)*Table_Main[[#This Row],[Giá trị bán trước VAT]])</f>
        <v>0</v>
      </c>
      <c r="AG38" s="51">
        <f>IFERROR(VLOOKUP(Table_Main[[#This Row],[Đơn bán]],Table_DonBan[[Mã Đơn bán]:[Add]],COUNTA(Table_DonBan[[#Headers],[Mã Đơn bán]:[Mã NV]]),0),0)</f>
        <v>0</v>
      </c>
      <c r="AH3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8" s="48">
        <f>IFERROR(Table_Main[[#This Row],[Giá trị bán trước VAT]]*Table_Main[[#This Row],[Tỷ lệ hoa hồng]],"")</f>
        <v>0</v>
      </c>
      <c r="AJ38" s="48">
        <f>IFERROR(VLOOKUP(Table_Main[[#This Row],[Đơn bán]],Table_DonBan[[Mã Đơn bán]:[Add]],COUNTA(Table_DonBan[[#Headers],[Mã Đơn bán]:[Kênh]]),0),0)</f>
        <v>0</v>
      </c>
      <c r="AK3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8" s="48">
        <f>IFERROR(Table_Main[[#This Row],[Giá trị bán trước VAT]]*Table_Main[[#This Row],[Tỷ lệ CK kênh]],"")</f>
        <v>0</v>
      </c>
      <c r="AM38" s="230"/>
      <c r="AN38" s="232"/>
      <c r="AO38" s="226">
        <f>Table_Main[[#This Row],[ĐK - Phân loại]]*Table_Main[[#This Row],[ĐK - Thời gian]]*Table_Main[[#This Row],[ĐK - Giá trị]]*Table_Main[[#This Row],[ĐK - Số lượng]]*Table_Main[[#This Row],[ĐK - Sinh nhật]]*Table_Main[[#This Row],[ĐK - Ngày mua cuối]]</f>
        <v>1</v>
      </c>
      <c r="AP38" s="226">
        <f xml:space="preserve">
IF(ISBLANK(Table_Main[[#This Row],[Chương trình]]),1,
IF(VLOOKUP(Table_Main[[#This Row],[Chương trình]],Table_ChuongTrinh[[Mã Chương trình]:[Đối tượng CK]],Sheet_ChuongTrinh!$C$1,0) = "Sản phẩm",1,0))</f>
        <v>1</v>
      </c>
      <c r="AQ3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9" spans="2:47" ht="18" customHeight="1" x14ac:dyDescent="0.3">
      <c r="B39" s="523" t="s">
        <v>1160</v>
      </c>
      <c r="C39" s="523"/>
      <c r="D39" s="537" t="str">
        <f>IF(ISBLANK(Table_Main[[#This Row],[Mã SKU]]),Table_Main[[#This Row],[Mã Nguyên liệu]],Table_Main[[#This Row],[Mã SKU]])</f>
        <v>TP1</v>
      </c>
      <c r="E39" s="420" cm="1">
        <f t="array" ref="E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139</v>
      </c>
      <c r="F39" s="420" cm="1">
        <f t="array" ref="F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121</v>
      </c>
      <c r="G39" s="420" cm="1">
        <f t="array" ref="G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9" s="420" cm="1">
        <f t="array" ref="H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9" s="420">
        <f>IFERROR(Table_Main[[#This Row],[Giá trị tồn đầu ngày]]/Table_Main[[#This Row],[Tồn kho đầu ngày]],0)</f>
        <v>0</v>
      </c>
      <c r="J39" s="420">
        <f>IFERROR(Table_Main[[#This Row],[Giá trị tồn cuối ngày]]/Table_Main[[#This Row],[Tồn kho cuối ngày]],0)</f>
        <v>0</v>
      </c>
      <c r="K39" s="415">
        <v>45771</v>
      </c>
      <c r="L39" s="47">
        <f xml:space="preserve">
IFERROR(
IFERROR(
VLOOKUP(Table_Main[[#This Row],[Đơn Mua]],Table_DonMua[[Mã Đơn mua]:[Add]],COUNTA(Table_DonMua[[#Headers],[Mã Đơn mua]:[Ngày lập]]),0),
VLOOKUP(Table_Main[[#This Row],[Đơn bán]],Table_DonBan[[Mã Đơn bán]:[Add]], COUNTA(Table_DonBan[[#Headers],[Mã Đơn bán]:[Ngày lập]]),0)),0)</f>
        <v>45771</v>
      </c>
      <c r="M39" s="29">
        <f>IFERROR(MONTH(Table_Main[[#This Row],[Ngày lên đơn]]),0)</f>
        <v>4</v>
      </c>
      <c r="N39" s="51">
        <f>IF(Table_Main[[#This Row],[Ngày lên đơn]]=0,"",Table_Main[[#This Row],[Ngày xuất nhập]]-Table_Main[[#This Row],[Ngày lên đơn]])</f>
        <v>0</v>
      </c>
      <c r="O39" s="230" t="s">
        <v>53</v>
      </c>
      <c r="P39" s="230" t="s">
        <v>1165</v>
      </c>
      <c r="Q39" s="408">
        <v>18</v>
      </c>
      <c r="R39" s="523"/>
      <c r="S39" s="537">
        <f>IFERROR(VLOOKUP(Table_Main[[#This Row],[Đơn Mua]],Table_DonMua[[Mã Đơn mua]:[Add]],COUNTA(Table_DonMua[[#Headers],[Mã Đơn mua]:[Mã Đối tác]]),0),0)</f>
        <v>0</v>
      </c>
      <c r="T39" s="409"/>
      <c r="U39" s="48">
        <f xml:space="preserve">
IF(NOT(ISBLANK(Table_Main[[#This Row],[Đơn Mua]])),Table_Main[[#This Row],[Số lượng]]*Table_Main[[#This Row],[Giá nhập]],Table_Main[[#This Row],[Số lượng]]*Table_Main[[#This Row],[Giá trị bình quân đầu ngày]])</f>
        <v>0</v>
      </c>
      <c r="V3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9" s="48">
        <f>IF(Table_Main[[#This Row],[Đơn Mua]]="", 0,IFERROR(Table_Main[[#This Row],[Tỷ suất VAT khấu trừ]]*(Table_Main[[#This Row],[Giá trị hàng nhập]]/(1+Table_Main[[#This Row],[Tỷ suất VAT khấu trừ]])),0))</f>
        <v>0</v>
      </c>
      <c r="X39" s="523" t="s">
        <v>1221</v>
      </c>
      <c r="Y39" s="28" t="str">
        <f>IFERROR(VLOOKUP(Table_Main[[#This Row],[Đơn bán]],Table_DonBan[[Mã Đơn bán]:[Add]],COUNTA(Table_DonBan[[#Headers],[Mã Đơn bán]:[Mã Khách]]),0),0)</f>
        <v>KH2</v>
      </c>
      <c r="Z39" s="48">
        <f>IF(ISBLANK(Table_Main[[#This Row],[Đơn bán]]),0,
VLOOKUP(Table_Main[[#This Row],[Mã SKU]],Table_SKU[[Mã SKU]:[Giá bán]],COUNTA(Table_SKU[[#Headers],[Mã SKU]:[Giá bán]]),0))</f>
        <v>300000</v>
      </c>
      <c r="AA39" s="48">
        <f>IF(ISBLANK(Table_Main[[#This Row],[Đơn bán]]),0,
IF(Table_Main[[#This Row],[Loại]] = "Xuất",Table_Main[[#This Row],[Giá bán niêm yết]]*Table_Main[[#This Row],[Số lượng]],-Table_Main[[#This Row],[Giá bán niêm yết]]*Table_Main[[#This Row],[Số lượng]]))</f>
        <v>5400000</v>
      </c>
      <c r="AB39" s="230"/>
      <c r="AC3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9"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5400000</v>
      </c>
      <c r="AF39" s="48">
        <f xml:space="preserve">
IF(Table_Main[[#This Row],[Đơn bán]]="", 0,
IFERROR(
VLOOKUP(Table_Main[[#This Row],[Mã SKU]],Table_SKU[[Mã SKU]:[Tỷ suất VAT]],COUNTA(Table_SKU[[#Headers],[Mã SKU]:[Tỷ suất VAT]]),0),0)*Table_Main[[#This Row],[Giá trị bán trước VAT]])</f>
        <v>0</v>
      </c>
      <c r="AG39" s="51">
        <f>IFERROR(VLOOKUP(Table_Main[[#This Row],[Đơn bán]],Table_DonBan[[Mã Đơn bán]:[Add]],COUNTA(Table_DonBan[[#Headers],[Mã Đơn bán]:[Mã NV]]),0),0)</f>
        <v>0</v>
      </c>
      <c r="AH3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9" s="48">
        <f>IFERROR(Table_Main[[#This Row],[Giá trị bán trước VAT]]*Table_Main[[#This Row],[Tỷ lệ hoa hồng]],"")</f>
        <v>0</v>
      </c>
      <c r="AJ39" s="48">
        <f>IFERROR(VLOOKUP(Table_Main[[#This Row],[Đơn bán]],Table_DonBan[[Mã Đơn bán]:[Add]],COUNTA(Table_DonBan[[#Headers],[Mã Đơn bán]:[Kênh]]),0),0)</f>
        <v>0</v>
      </c>
      <c r="AK3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9" s="48">
        <f>IFERROR(Table_Main[[#This Row],[Giá trị bán trước VAT]]*Table_Main[[#This Row],[Tỷ lệ CK kênh]],"")</f>
        <v>0</v>
      </c>
      <c r="AM39" s="230"/>
      <c r="AN39" s="232"/>
      <c r="AO39" s="226">
        <f>Table_Main[[#This Row],[ĐK - Phân loại]]*Table_Main[[#This Row],[ĐK - Thời gian]]*Table_Main[[#This Row],[ĐK - Giá trị]]*Table_Main[[#This Row],[ĐK - Số lượng]]*Table_Main[[#This Row],[ĐK - Sinh nhật]]*Table_Main[[#This Row],[ĐK - Ngày mua cuối]]</f>
        <v>1</v>
      </c>
      <c r="AP39" s="226">
        <f xml:space="preserve">
IF(ISBLANK(Table_Main[[#This Row],[Chương trình]]),1,
IF(VLOOKUP(Table_Main[[#This Row],[Chương trình]],Table_ChuongTrinh[[Mã Chương trình]:[Đối tượng CK]],Sheet_ChuongTrinh!$C$1,0) = "Sản phẩm",1,0))</f>
        <v>1</v>
      </c>
      <c r="AQ3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0" spans="2:47" ht="18" customHeight="1" x14ac:dyDescent="0.15">
      <c r="B40" s="530"/>
      <c r="C40" s="239" t="s">
        <v>1162</v>
      </c>
      <c r="D40" s="538" t="str">
        <f>IF(ISBLANK(Table_Main[[#This Row],[Mã SKU]]),Table_Main[[#This Row],[Mã Nguyên liệu]],Table_Main[[#This Row],[Mã SKU]])</f>
        <v>NL2</v>
      </c>
      <c r="E40" s="420" cm="1">
        <f t="array" ref="E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38</v>
      </c>
      <c r="F40" s="420" cm="1">
        <f t="array" ref="F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61</v>
      </c>
      <c r="G40" s="420" cm="1">
        <f t="array" ref="G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5321807.4782608673</v>
      </c>
      <c r="H40" s="420" cm="1">
        <f t="array" ref="H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6906093.4782608673</v>
      </c>
      <c r="I40" s="420">
        <f>IFERROR(Table_Main[[#This Row],[Giá trị tồn đầu ngày]]/Table_Main[[#This Row],[Tồn kho đầu ngày]],0)</f>
        <v>140047.56521739124</v>
      </c>
      <c r="J40" s="420">
        <f>IFERROR(Table_Main[[#This Row],[Giá trị tồn cuối ngày]]/Table_Main[[#This Row],[Tồn kho cuối ngày]],0)</f>
        <v>113214.64718460439</v>
      </c>
      <c r="K40" s="415">
        <v>45769</v>
      </c>
      <c r="L40" s="47">
        <f xml:space="preserve">
IFERROR(
IFERROR(
VLOOKUP(Table_Main[[#This Row],[Đơn Mua]],Table_DonMua[[Mã Đơn mua]:[Add]],COUNTA(Table_DonMua[[#Headers],[Mã Đơn mua]:[Ngày lập]]),0),
VLOOKUP(Table_Main[[#This Row],[Đơn bán]],Table_DonBan[[Mã Đơn bán]:[Add]], COUNTA(Table_DonBan[[#Headers],[Mã Đơn bán]:[Ngày lập]]),0)),0)</f>
        <v>45767</v>
      </c>
      <c r="M40" s="29">
        <f>IFERROR(MONTH(Table_Main[[#This Row],[Ngày lên đơn]]),0)</f>
        <v>4</v>
      </c>
      <c r="N40" s="551">
        <f>IF(Table_Main[[#This Row],[Ngày lên đơn]]=0,"",Table_Main[[#This Row],[Ngày xuất nhập]]-Table_Main[[#This Row],[Ngày lên đơn]])</f>
        <v>2</v>
      </c>
      <c r="O40" s="7" t="s">
        <v>1164</v>
      </c>
      <c r="P40" s="230" t="s">
        <v>1165</v>
      </c>
      <c r="Q40" s="408">
        <v>23</v>
      </c>
      <c r="R40" s="523" t="s">
        <v>1179</v>
      </c>
      <c r="S40" s="537" t="str">
        <f>IFERROR(VLOOKUP(Table_Main[[#This Row],[Đơn Mua]],Table_DonMua[[Mã Đơn mua]:[Add]],COUNTA(Table_DonMua[[#Headers],[Mã Đơn mua]:[Mã Đối tác]]),0),0)</f>
        <v>NCC3</v>
      </c>
      <c r="T40" s="409">
        <v>68882</v>
      </c>
      <c r="U40" s="48">
        <f xml:space="preserve">
IF(NOT(ISBLANK(Table_Main[[#This Row],[Đơn Mua]])),Table_Main[[#This Row],[Số lượng]]*Table_Main[[#This Row],[Giá nhập]],Table_Main[[#This Row],[Số lượng]]*Table_Main[[#This Row],[Giá trị bình quân đầu ngày]])</f>
        <v>1584286</v>
      </c>
      <c r="V4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0" s="48">
        <f>IF(Table_Main[[#This Row],[Đơn Mua]]="", 0,IFERROR(Table_Main[[#This Row],[Tỷ suất VAT khấu trừ]]*(Table_Main[[#This Row],[Giá trị hàng nhập]]/(1+Table_Main[[#This Row],[Tỷ suất VAT khấu trừ]])),0))</f>
        <v>0</v>
      </c>
      <c r="X40" s="523"/>
      <c r="Y40" s="28">
        <f>IFERROR(VLOOKUP(Table_Main[[#This Row],[Đơn bán]],Table_DonBan[[Mã Đơn bán]:[Add]],COUNTA(Table_DonBan[[#Headers],[Mã Đơn bán]:[Mã Khách]]),0),0)</f>
        <v>0</v>
      </c>
      <c r="Z40" s="48">
        <f>IF(ISBLANK(Table_Main[[#This Row],[Đơn bán]]),0,
VLOOKUP(Table_Main[[#This Row],[Mã SKU]],Table_SKU[[Mã SKU]:[Giá bán]],COUNTA(Table_SKU[[#Headers],[Mã SKU]:[Giá bán]]),0))</f>
        <v>0</v>
      </c>
      <c r="AA40" s="48">
        <f>IF(ISBLANK(Table_Main[[#This Row],[Đơn bán]]),0,
IF(Table_Main[[#This Row],[Loại]] = "Xuất",Table_Main[[#This Row],[Giá bán niêm yết]]*Table_Main[[#This Row],[Số lượng]],-Table_Main[[#This Row],[Giá bán niêm yết]]*Table_Main[[#This Row],[Số lượng]]))</f>
        <v>0</v>
      </c>
      <c r="AB40" s="230"/>
      <c r="AC4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0" s="48">
        <f xml:space="preserve">
IF(Table_Main[[#This Row],[Đơn bán]]="", 0,
IFERROR(
VLOOKUP(Table_Main[[#This Row],[Mã SKU]],Table_SKU[[Mã SKU]:[Tỷ suất VAT]],COUNTA(Table_SKU[[#Headers],[Mã SKU]:[Tỷ suất VAT]]),0),0)*Table_Main[[#This Row],[Giá trị bán trước VAT]])</f>
        <v>0</v>
      </c>
      <c r="AG40" s="51">
        <f>IFERROR(VLOOKUP(Table_Main[[#This Row],[Đơn bán]],Table_DonBan[[Mã Đơn bán]:[Add]],COUNTA(Table_DonBan[[#Headers],[Mã Đơn bán]:[Mã NV]]),0),0)</f>
        <v>0</v>
      </c>
      <c r="AH4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0" s="48">
        <f>IFERROR(Table_Main[[#This Row],[Giá trị bán trước VAT]]*Table_Main[[#This Row],[Tỷ lệ hoa hồng]],"")</f>
        <v>0</v>
      </c>
      <c r="AJ40" s="48">
        <f>IFERROR(VLOOKUP(Table_Main[[#This Row],[Đơn bán]],Table_DonBan[[Mã Đơn bán]:[Add]],COUNTA(Table_DonBan[[#Headers],[Mã Đơn bán]:[Kênh]]),0),0)</f>
        <v>0</v>
      </c>
      <c r="AK4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0" s="48">
        <f>IFERROR(Table_Main[[#This Row],[Giá trị bán trước VAT]]*Table_Main[[#This Row],[Tỷ lệ CK kênh]],"")</f>
        <v>0</v>
      </c>
      <c r="AM40" s="230"/>
      <c r="AN40" s="232"/>
      <c r="AO40" s="226">
        <f>Table_Main[[#This Row],[ĐK - Phân loại]]*Table_Main[[#This Row],[ĐK - Thời gian]]*Table_Main[[#This Row],[ĐK - Giá trị]]*Table_Main[[#This Row],[ĐK - Số lượng]]*Table_Main[[#This Row],[ĐK - Sinh nhật]]*Table_Main[[#This Row],[ĐK - Ngày mua cuối]]</f>
        <v>1</v>
      </c>
      <c r="AP40" s="226">
        <f xml:space="preserve">
IF(ISBLANK(Table_Main[[#This Row],[Chương trình]]),1,
IF(VLOOKUP(Table_Main[[#This Row],[Chương trình]],Table_ChuongTrinh[[Mã Chương trình]:[Đối tượng CK]],Sheet_ChuongTrinh!$C$1,0) = "Sản phẩm",1,0))</f>
        <v>1</v>
      </c>
      <c r="AQ4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1" spans="2:47" ht="18" customHeight="1" x14ac:dyDescent="0.15">
      <c r="B41" s="523" t="s">
        <v>1159</v>
      </c>
      <c r="C41" s="523"/>
      <c r="D41" s="537" t="str">
        <f>IF(ISBLANK(Table_Main[[#This Row],[Mã SKU]]),Table_Main[[#This Row],[Mã Nguyên liệu]],Table_Main[[#This Row],[Mã SKU]])</f>
        <v>HH1</v>
      </c>
      <c r="E41" s="420" cm="1">
        <f t="array" ref="E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v>
      </c>
      <c r="F41" s="420" cm="1">
        <f t="array" ref="F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v>
      </c>
      <c r="G41" s="420" cm="1">
        <f t="array" ref="G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-450663.50746268593</v>
      </c>
      <c r="H41" s="420" cm="1">
        <f t="array" ref="H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280105.49253731407</v>
      </c>
      <c r="I41" s="420">
        <f>IFERROR(Table_Main[[#This Row],[Giá trị tồn đầu ngày]]/Table_Main[[#This Row],[Tồn kho đầu ngày]],0)</f>
        <v>90132.701492537191</v>
      </c>
      <c r="J41" s="420">
        <f>IFERROR(Table_Main[[#This Row],[Giá trị tồn cuối ngày]]/Table_Main[[#This Row],[Tồn kho cuối ngày]],0)</f>
        <v>35013.186567164259</v>
      </c>
      <c r="K41" s="415">
        <v>45765</v>
      </c>
      <c r="L41"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1" s="29">
        <f>IFERROR(MONTH(Table_Main[[#This Row],[Ngày lên đơn]]),0)</f>
        <v>4</v>
      </c>
      <c r="N41" s="551">
        <f>IF(Table_Main[[#This Row],[Ngày lên đơn]]=0,"",Table_Main[[#This Row],[Ngày xuất nhập]]-Table_Main[[#This Row],[Ngày lên đơn]])</f>
        <v>1</v>
      </c>
      <c r="O41" s="7" t="s">
        <v>1164</v>
      </c>
      <c r="P41" s="230" t="s">
        <v>1165</v>
      </c>
      <c r="Q41" s="408">
        <v>13</v>
      </c>
      <c r="R41" s="523" t="s">
        <v>1178</v>
      </c>
      <c r="S41" s="537" t="str">
        <f>IFERROR(VLOOKUP(Table_Main[[#This Row],[Đơn Mua]],Table_DonMua[[Mã Đơn mua]:[Add]],COUNTA(Table_DonMua[[#Headers],[Mã Đơn mua]:[Mã Đối tác]]),0),0)</f>
        <v>NCC1</v>
      </c>
      <c r="T41" s="409">
        <v>56213</v>
      </c>
      <c r="U41" s="48">
        <f xml:space="preserve">
IF(NOT(ISBLANK(Table_Main[[#This Row],[Đơn Mua]])),Table_Main[[#This Row],[Số lượng]]*Table_Main[[#This Row],[Giá nhập]],Table_Main[[#This Row],[Số lượng]]*Table_Main[[#This Row],[Giá trị bình quân đầu ngày]])</f>
        <v>730769</v>
      </c>
      <c r="V4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1" s="48">
        <f>IF(Table_Main[[#This Row],[Đơn Mua]]="", 0,IFERROR(Table_Main[[#This Row],[Tỷ suất VAT khấu trừ]]*(Table_Main[[#This Row],[Giá trị hàng nhập]]/(1+Table_Main[[#This Row],[Tỷ suất VAT khấu trừ]])),0))</f>
        <v>0</v>
      </c>
      <c r="X41" s="523"/>
      <c r="Y41" s="28">
        <f>IFERROR(VLOOKUP(Table_Main[[#This Row],[Đơn bán]],Table_DonBan[[Mã Đơn bán]:[Add]],COUNTA(Table_DonBan[[#Headers],[Mã Đơn bán]:[Mã Khách]]),0),0)</f>
        <v>0</v>
      </c>
      <c r="Z41" s="48">
        <f>IF(ISBLANK(Table_Main[[#This Row],[Đơn bán]]),0,
VLOOKUP(Table_Main[[#This Row],[Mã SKU]],Table_SKU[[Mã SKU]:[Giá bán]],COUNTA(Table_SKU[[#Headers],[Mã SKU]:[Giá bán]]),0))</f>
        <v>0</v>
      </c>
      <c r="AA41" s="48">
        <f>IF(ISBLANK(Table_Main[[#This Row],[Đơn bán]]),0,
IF(Table_Main[[#This Row],[Loại]] = "Xuất",Table_Main[[#This Row],[Giá bán niêm yết]]*Table_Main[[#This Row],[Số lượng]],-Table_Main[[#This Row],[Giá bán niêm yết]]*Table_Main[[#This Row],[Số lượng]]))</f>
        <v>0</v>
      </c>
      <c r="AB41" s="230"/>
      <c r="AC4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1" s="48">
        <f xml:space="preserve">
IF(Table_Main[[#This Row],[Đơn bán]]="", 0,
IFERROR(
VLOOKUP(Table_Main[[#This Row],[Mã SKU]],Table_SKU[[Mã SKU]:[Tỷ suất VAT]],COUNTA(Table_SKU[[#Headers],[Mã SKU]:[Tỷ suất VAT]]),0),0)*Table_Main[[#This Row],[Giá trị bán trước VAT]])</f>
        <v>0</v>
      </c>
      <c r="AG41" s="51">
        <f>IFERROR(VLOOKUP(Table_Main[[#This Row],[Đơn bán]],Table_DonBan[[Mã Đơn bán]:[Add]],COUNTA(Table_DonBan[[#Headers],[Mã Đơn bán]:[Mã NV]]),0),0)</f>
        <v>0</v>
      </c>
      <c r="AH4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1" s="48">
        <f>IFERROR(Table_Main[[#This Row],[Giá trị bán trước VAT]]*Table_Main[[#This Row],[Tỷ lệ hoa hồng]],"")</f>
        <v>0</v>
      </c>
      <c r="AJ41" s="48">
        <f>IFERROR(VLOOKUP(Table_Main[[#This Row],[Đơn bán]],Table_DonBan[[Mã Đơn bán]:[Add]],COUNTA(Table_DonBan[[#Headers],[Mã Đơn bán]:[Kênh]]),0),0)</f>
        <v>0</v>
      </c>
      <c r="AK4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1" s="48">
        <f>IFERROR(Table_Main[[#This Row],[Giá trị bán trước VAT]]*Table_Main[[#This Row],[Tỷ lệ CK kênh]],"")</f>
        <v>0</v>
      </c>
      <c r="AM41" s="230"/>
      <c r="AN41" s="232"/>
      <c r="AO41" s="226">
        <f>Table_Main[[#This Row],[ĐK - Phân loại]]*Table_Main[[#This Row],[ĐK - Thời gian]]*Table_Main[[#This Row],[ĐK - Giá trị]]*Table_Main[[#This Row],[ĐK - Số lượng]]*Table_Main[[#This Row],[ĐK - Sinh nhật]]*Table_Main[[#This Row],[ĐK - Ngày mua cuối]]</f>
        <v>1</v>
      </c>
      <c r="AP41" s="226">
        <f xml:space="preserve">
IF(ISBLANK(Table_Main[[#This Row],[Chương trình]]),1,
IF(VLOOKUP(Table_Main[[#This Row],[Chương trình]],Table_ChuongTrinh[[Mã Chương trình]:[Đối tượng CK]],Sheet_ChuongTrinh!$C$1,0) = "Sản phẩm",1,0))</f>
        <v>1</v>
      </c>
      <c r="AQ4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2" spans="2:47" ht="18" customHeight="1" x14ac:dyDescent="0.3">
      <c r="B42" s="523" t="s">
        <v>1159</v>
      </c>
      <c r="C42" s="523"/>
      <c r="D42" s="537" t="str">
        <f>IF(ISBLANK(Table_Main[[#This Row],[Mã SKU]]),Table_Main[[#This Row],[Mã Nguyên liệu]],Table_Main[[#This Row],[Mã SKU]])</f>
        <v>HH1</v>
      </c>
      <c r="E42" s="420" cm="1">
        <f t="array" ref="E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v>
      </c>
      <c r="F42" s="420" cm="1">
        <f t="array" ref="F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v>
      </c>
      <c r="G42" s="420" cm="1">
        <f t="array" ref="G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1622388.6268656738</v>
      </c>
      <c r="H42" s="420" cm="1">
        <f t="array" ref="H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-450663.50746268593</v>
      </c>
      <c r="I42" s="420">
        <f>IFERROR(Table_Main[[#This Row],[Giá trị tồn đầu ngày]]/Table_Main[[#This Row],[Tồn kho đầu ngày]],0)</f>
        <v>90132.701492537439</v>
      </c>
      <c r="J42" s="420">
        <f>IFERROR(Table_Main[[#This Row],[Giá trị tồn cuối ngày]]/Table_Main[[#This Row],[Tồn kho cuối ngày]],0)</f>
        <v>90132.701492537191</v>
      </c>
      <c r="K42" s="415">
        <v>45764</v>
      </c>
      <c r="L42"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2" s="29">
        <f>IFERROR(MONTH(Table_Main[[#This Row],[Ngày lên đơn]]),0)</f>
        <v>4</v>
      </c>
      <c r="N42" s="51">
        <f>IF(Table_Main[[#This Row],[Ngày lên đơn]]=0,"",Table_Main[[#This Row],[Ngày xuất nhập]]-Table_Main[[#This Row],[Ngày lên đơn]])</f>
        <v>0</v>
      </c>
      <c r="O42" s="230" t="s">
        <v>53</v>
      </c>
      <c r="P42" s="230" t="s">
        <v>1165</v>
      </c>
      <c r="Q42" s="408">
        <v>23</v>
      </c>
      <c r="R42" s="523"/>
      <c r="S42" s="537">
        <f>IFERROR(VLOOKUP(Table_Main[[#This Row],[Đơn Mua]],Table_DonMua[[Mã Đơn mua]:[Add]],COUNTA(Table_DonMua[[#Headers],[Mã Đơn mua]:[Mã Đối tác]]),0),0)</f>
        <v>0</v>
      </c>
      <c r="T42" s="409"/>
      <c r="U42" s="48">
        <f xml:space="preserve">
IF(NOT(ISBLANK(Table_Main[[#This Row],[Đơn Mua]])),Table_Main[[#This Row],[Số lượng]]*Table_Main[[#This Row],[Giá nhập]],Table_Main[[#This Row],[Số lượng]]*Table_Main[[#This Row],[Giá trị bình quân đầu ngày]])</f>
        <v>2073052.1343283611</v>
      </c>
      <c r="V4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2" s="48">
        <f>IF(Table_Main[[#This Row],[Đơn Mua]]="", 0,IFERROR(Table_Main[[#This Row],[Tỷ suất VAT khấu trừ]]*(Table_Main[[#This Row],[Giá trị hàng nhập]]/(1+Table_Main[[#This Row],[Tỷ suất VAT khấu trừ]])),0))</f>
        <v>0</v>
      </c>
      <c r="X42" s="523" t="s">
        <v>1220</v>
      </c>
      <c r="Y42" s="28" t="str">
        <f>IFERROR(VLOOKUP(Table_Main[[#This Row],[Đơn bán]],Table_DonBan[[Mã Đơn bán]:[Add]],COUNTA(Table_DonBan[[#Headers],[Mã Đơn bán]:[Mã Khách]]),0),0)</f>
        <v>KH3</v>
      </c>
      <c r="Z42" s="48">
        <f>IF(ISBLANK(Table_Main[[#This Row],[Đơn bán]]),0,
VLOOKUP(Table_Main[[#This Row],[Mã SKU]],Table_SKU[[Mã SKU]:[Giá bán]],COUNTA(Table_SKU[[#Headers],[Mã SKU]:[Giá bán]]),0))</f>
        <v>100000</v>
      </c>
      <c r="AA42" s="48">
        <f>IF(ISBLANK(Table_Main[[#This Row],[Đơn bán]]),0,
IF(Table_Main[[#This Row],[Loại]] = "Xuất",Table_Main[[#This Row],[Giá bán niêm yết]]*Table_Main[[#This Row],[Số lượng]],-Table_Main[[#This Row],[Giá bán niêm yết]]*Table_Main[[#This Row],[Số lượng]]))</f>
        <v>2300000</v>
      </c>
      <c r="AB42" s="230"/>
      <c r="AC4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2300000</v>
      </c>
      <c r="AF42" s="48">
        <f xml:space="preserve">
IF(Table_Main[[#This Row],[Đơn bán]]="", 0,
IFERROR(
VLOOKUP(Table_Main[[#This Row],[Mã SKU]],Table_SKU[[Mã SKU]:[Tỷ suất VAT]],COUNTA(Table_SKU[[#Headers],[Mã SKU]:[Tỷ suất VAT]]),0),0)*Table_Main[[#This Row],[Giá trị bán trước VAT]])</f>
        <v>0</v>
      </c>
      <c r="AG42" s="51">
        <f>IFERROR(VLOOKUP(Table_Main[[#This Row],[Đơn bán]],Table_DonBan[[Mã Đơn bán]:[Add]],COUNTA(Table_DonBan[[#Headers],[Mã Đơn bán]:[Mã NV]]),0),0)</f>
        <v>0</v>
      </c>
      <c r="AH4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2" s="48">
        <f>IFERROR(Table_Main[[#This Row],[Giá trị bán trước VAT]]*Table_Main[[#This Row],[Tỷ lệ hoa hồng]],"")</f>
        <v>0</v>
      </c>
      <c r="AJ42" s="48">
        <f>IFERROR(VLOOKUP(Table_Main[[#This Row],[Đơn bán]],Table_DonBan[[Mã Đơn bán]:[Add]],COUNTA(Table_DonBan[[#Headers],[Mã Đơn bán]:[Kênh]]),0),0)</f>
        <v>0</v>
      </c>
      <c r="AK4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2" s="48">
        <f>IFERROR(Table_Main[[#This Row],[Giá trị bán trước VAT]]*Table_Main[[#This Row],[Tỷ lệ CK kênh]],"")</f>
        <v>0</v>
      </c>
      <c r="AM42" s="230"/>
      <c r="AN42" s="232"/>
      <c r="AO42" s="226">
        <f>Table_Main[[#This Row],[ĐK - Phân loại]]*Table_Main[[#This Row],[ĐK - Thời gian]]*Table_Main[[#This Row],[ĐK - Giá trị]]*Table_Main[[#This Row],[ĐK - Số lượng]]*Table_Main[[#This Row],[ĐK - Sinh nhật]]*Table_Main[[#This Row],[ĐK - Ngày mua cuối]]</f>
        <v>1</v>
      </c>
      <c r="AP42" s="226">
        <f xml:space="preserve">
IF(ISBLANK(Table_Main[[#This Row],[Chương trình]]),1,
IF(VLOOKUP(Table_Main[[#This Row],[Chương trình]],Table_ChuongTrinh[[Mã Chương trình]:[Đối tượng CK]],Sheet_ChuongTrinh!$C$1,0) = "Sản phẩm",1,0))</f>
        <v>1</v>
      </c>
      <c r="AQ4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3" spans="2:47" ht="18" customHeight="1" x14ac:dyDescent="0.3">
      <c r="B43" s="523" t="s">
        <v>1160</v>
      </c>
      <c r="C43" s="523"/>
      <c r="D43" s="537" t="str">
        <f>IF(ISBLANK(Table_Main[[#This Row],[Mã SKU]]),Table_Main[[#This Row],[Mã Nguyên liệu]],Table_Main[[#This Row],[Mã SKU]])</f>
        <v>TP1</v>
      </c>
      <c r="E43" s="420" cm="1">
        <f t="array" ref="E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43" s="420" cm="1">
        <f t="array" ref="F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139</v>
      </c>
      <c r="G43" s="420" cm="1">
        <f t="array" ref="G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3" s="420" cm="1">
        <f t="array" ref="H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3" s="420">
        <f>IFERROR(Table_Main[[#This Row],[Giá trị tồn đầu ngày]]/Table_Main[[#This Row],[Tồn kho đầu ngày]],0)</f>
        <v>0</v>
      </c>
      <c r="J43" s="420">
        <f>IFERROR(Table_Main[[#This Row],[Giá trị tồn cuối ngày]]/Table_Main[[#This Row],[Tồn kho cuối ngày]],0)</f>
        <v>0</v>
      </c>
      <c r="K43" s="415">
        <v>45762</v>
      </c>
      <c r="L43" s="47">
        <f xml:space="preserve">
IFERROR(
IFERROR(
VLOOKUP(Table_Main[[#This Row],[Đơn Mua]],Table_DonMua[[Mã Đơn mua]:[Add]],COUNTA(Table_DonMua[[#Headers],[Mã Đơn mua]:[Ngày lập]]),0),
VLOOKUP(Table_Main[[#This Row],[Đơn bán]],Table_DonBan[[Mã Đơn bán]:[Add]], COUNTA(Table_DonBan[[#Headers],[Mã Đơn bán]:[Ngày lập]]),0)),0)</f>
        <v>45762</v>
      </c>
      <c r="M43" s="29">
        <f>IFERROR(MONTH(Table_Main[[#This Row],[Ngày lên đơn]]),0)</f>
        <v>4</v>
      </c>
      <c r="N43" s="51">
        <f>IF(Table_Main[[#This Row],[Ngày lên đơn]]=0,"",Table_Main[[#This Row],[Ngày xuất nhập]]-Table_Main[[#This Row],[Ngày lên đơn]])</f>
        <v>0</v>
      </c>
      <c r="O43" s="230" t="s">
        <v>53</v>
      </c>
      <c r="P43" s="230" t="s">
        <v>1165</v>
      </c>
      <c r="Q43" s="408">
        <v>11</v>
      </c>
      <c r="R43" s="523"/>
      <c r="S43" s="537">
        <f>IFERROR(VLOOKUP(Table_Main[[#This Row],[Đơn Mua]],Table_DonMua[[Mã Đơn mua]:[Add]],COUNTA(Table_DonMua[[#Headers],[Mã Đơn mua]:[Mã Đối tác]]),0),0)</f>
        <v>0</v>
      </c>
      <c r="T43" s="409"/>
      <c r="U43" s="48">
        <f xml:space="preserve">
IF(NOT(ISBLANK(Table_Main[[#This Row],[Đơn Mua]])),Table_Main[[#This Row],[Số lượng]]*Table_Main[[#This Row],[Giá nhập]],Table_Main[[#This Row],[Số lượng]]*Table_Main[[#This Row],[Giá trị bình quân đầu ngày]])</f>
        <v>0</v>
      </c>
      <c r="V4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3" s="48">
        <f>IF(Table_Main[[#This Row],[Đơn Mua]]="", 0,IFERROR(Table_Main[[#This Row],[Tỷ suất VAT khấu trừ]]*(Table_Main[[#This Row],[Giá trị hàng nhập]]/(1+Table_Main[[#This Row],[Tỷ suất VAT khấu trừ]])),0))</f>
        <v>0</v>
      </c>
      <c r="X43" s="523" t="s">
        <v>1219</v>
      </c>
      <c r="Y43" s="28" t="str">
        <f>IFERROR(VLOOKUP(Table_Main[[#This Row],[Đơn bán]],Table_DonBan[[Mã Đơn bán]:[Add]],COUNTA(Table_DonBan[[#Headers],[Mã Đơn bán]:[Mã Khách]]),0),0)</f>
        <v>KH2</v>
      </c>
      <c r="Z43" s="48">
        <f>IF(ISBLANK(Table_Main[[#This Row],[Đơn bán]]),0,
VLOOKUP(Table_Main[[#This Row],[Mã SKU]],Table_SKU[[Mã SKU]:[Giá bán]],COUNTA(Table_SKU[[#Headers],[Mã SKU]:[Giá bán]]),0))</f>
        <v>300000</v>
      </c>
      <c r="AA43" s="48">
        <f>IF(ISBLANK(Table_Main[[#This Row],[Đơn bán]]),0,
IF(Table_Main[[#This Row],[Loại]] = "Xuất",Table_Main[[#This Row],[Giá bán niêm yết]]*Table_Main[[#This Row],[Số lượng]],-Table_Main[[#This Row],[Giá bán niêm yết]]*Table_Main[[#This Row],[Số lượng]]))</f>
        <v>3300000</v>
      </c>
      <c r="AB43" s="230"/>
      <c r="AC4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3300000</v>
      </c>
      <c r="AF43" s="48">
        <f xml:space="preserve">
IF(Table_Main[[#This Row],[Đơn bán]]="", 0,
IFERROR(
VLOOKUP(Table_Main[[#This Row],[Mã SKU]],Table_SKU[[Mã SKU]:[Tỷ suất VAT]],COUNTA(Table_SKU[[#Headers],[Mã SKU]:[Tỷ suất VAT]]),0),0)*Table_Main[[#This Row],[Giá trị bán trước VAT]])</f>
        <v>0</v>
      </c>
      <c r="AG43" s="51">
        <f>IFERROR(VLOOKUP(Table_Main[[#This Row],[Đơn bán]],Table_DonBan[[Mã Đơn bán]:[Add]],COUNTA(Table_DonBan[[#Headers],[Mã Đơn bán]:[Mã NV]]),0),0)</f>
        <v>0</v>
      </c>
      <c r="AH4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3" s="48">
        <f>IFERROR(Table_Main[[#This Row],[Giá trị bán trước VAT]]*Table_Main[[#This Row],[Tỷ lệ hoa hồng]],"")</f>
        <v>0</v>
      </c>
      <c r="AJ43" s="48">
        <f>IFERROR(VLOOKUP(Table_Main[[#This Row],[Đơn bán]],Table_DonBan[[Mã Đơn bán]:[Add]],COUNTA(Table_DonBan[[#Headers],[Mã Đơn bán]:[Kênh]]),0),0)</f>
        <v>0</v>
      </c>
      <c r="AK4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3" s="48">
        <f>IFERROR(Table_Main[[#This Row],[Giá trị bán trước VAT]]*Table_Main[[#This Row],[Tỷ lệ CK kênh]],"")</f>
        <v>0</v>
      </c>
      <c r="AM43" s="230"/>
      <c r="AN43" s="232"/>
      <c r="AO43" s="226">
        <f>Table_Main[[#This Row],[ĐK - Phân loại]]*Table_Main[[#This Row],[ĐK - Thời gian]]*Table_Main[[#This Row],[ĐK - Giá trị]]*Table_Main[[#This Row],[ĐK - Số lượng]]*Table_Main[[#This Row],[ĐK - Sinh nhật]]*Table_Main[[#This Row],[ĐK - Ngày mua cuối]]</f>
        <v>1</v>
      </c>
      <c r="AP43" s="226">
        <f xml:space="preserve">
IF(ISBLANK(Table_Main[[#This Row],[Chương trình]]),1,
IF(VLOOKUP(Table_Main[[#This Row],[Chương trình]],Table_ChuongTrinh[[Mã Chương trình]:[Đối tượng CK]],Sheet_ChuongTrinh!$C$1,0) = "Sản phẩm",1,0))</f>
        <v>1</v>
      </c>
      <c r="AQ4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4" spans="2:47" ht="18" customHeight="1" x14ac:dyDescent="0.3">
      <c r="B44" s="523" t="s">
        <v>1159</v>
      </c>
      <c r="C44" s="523"/>
      <c r="D44" s="537" t="str">
        <f>IF(ISBLANK(Table_Main[[#This Row],[Mã SKU]]),Table_Main[[#This Row],[Mã Nguyên liệu]],Table_Main[[#This Row],[Mã SKU]])</f>
        <v>HH1</v>
      </c>
      <c r="E44" s="420" cm="1">
        <f t="array" ref="E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57</v>
      </c>
      <c r="F44" s="420" cm="1">
        <f t="array" ref="F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v>
      </c>
      <c r="G44" s="420" cm="1">
        <f t="array" ref="G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5137563.9850746244</v>
      </c>
      <c r="H44" s="420" cm="1">
        <f t="array" ref="H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1622388.6268656738</v>
      </c>
      <c r="I44" s="420">
        <f>IFERROR(Table_Main[[#This Row],[Giá trị tồn đầu ngày]]/Table_Main[[#This Row],[Tồn kho đầu ngày]],0)</f>
        <v>90132.701492537264</v>
      </c>
      <c r="J44" s="420">
        <f>IFERROR(Table_Main[[#This Row],[Giá trị tồn cuối ngày]]/Table_Main[[#This Row],[Tồn kho cuối ngày]],0)</f>
        <v>90132.701492537439</v>
      </c>
      <c r="K44" s="415">
        <v>45761</v>
      </c>
      <c r="L44" s="47">
        <f xml:space="preserve">
IFERROR(
IFERROR(
VLOOKUP(Table_Main[[#This Row],[Đơn Mua]],Table_DonMua[[Mã Đơn mua]:[Add]],COUNTA(Table_DonMua[[#Headers],[Mã Đơn mua]:[Ngày lập]]),0),
VLOOKUP(Table_Main[[#This Row],[Đơn bán]],Table_DonBan[[Mã Đơn bán]:[Add]], COUNTA(Table_DonBan[[#Headers],[Mã Đơn bán]:[Ngày lập]]),0)),0)</f>
        <v>45761</v>
      </c>
      <c r="M44" s="29">
        <f>IFERROR(MONTH(Table_Main[[#This Row],[Ngày lên đơn]]),0)</f>
        <v>4</v>
      </c>
      <c r="N44" s="51">
        <f>IF(Table_Main[[#This Row],[Ngày lên đơn]]=0,"",Table_Main[[#This Row],[Ngày xuất nhập]]-Table_Main[[#This Row],[Ngày lên đơn]])</f>
        <v>0</v>
      </c>
      <c r="O44" s="230" t="s">
        <v>53</v>
      </c>
      <c r="P44" s="230" t="s">
        <v>1165</v>
      </c>
      <c r="Q44" s="408">
        <v>39</v>
      </c>
      <c r="R44" s="523"/>
      <c r="S44" s="537">
        <f>IFERROR(VLOOKUP(Table_Main[[#This Row],[Đơn Mua]],Table_DonMua[[Mã Đơn mua]:[Add]],COUNTA(Table_DonMua[[#Headers],[Mã Đơn mua]:[Mã Đối tác]]),0),0)</f>
        <v>0</v>
      </c>
      <c r="T44" s="409"/>
      <c r="U44" s="48">
        <f xml:space="preserve">
IF(NOT(ISBLANK(Table_Main[[#This Row],[Đơn Mua]])),Table_Main[[#This Row],[Số lượng]]*Table_Main[[#This Row],[Giá nhập]],Table_Main[[#This Row],[Số lượng]]*Table_Main[[#This Row],[Giá trị bình quân đầu ngày]])</f>
        <v>3515175.3582089534</v>
      </c>
      <c r="V4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4" s="48">
        <f>IF(Table_Main[[#This Row],[Đơn Mua]]="", 0,IFERROR(Table_Main[[#This Row],[Tỷ suất VAT khấu trừ]]*(Table_Main[[#This Row],[Giá trị hàng nhập]]/(1+Table_Main[[#This Row],[Tỷ suất VAT khấu trừ]])),0))</f>
        <v>0</v>
      </c>
      <c r="X44" s="523" t="s">
        <v>1218</v>
      </c>
      <c r="Y44" s="28" t="str">
        <f>IFERROR(VLOOKUP(Table_Main[[#This Row],[Đơn bán]],Table_DonBan[[Mã Đơn bán]:[Add]],COUNTA(Table_DonBan[[#Headers],[Mã Đơn bán]:[Mã Khách]]),0),0)</f>
        <v>KH2</v>
      </c>
      <c r="Z44" s="48">
        <f>IF(ISBLANK(Table_Main[[#This Row],[Đơn bán]]),0,
VLOOKUP(Table_Main[[#This Row],[Mã SKU]],Table_SKU[[Mã SKU]:[Giá bán]],COUNTA(Table_SKU[[#Headers],[Mã SKU]:[Giá bán]]),0))</f>
        <v>100000</v>
      </c>
      <c r="AA44" s="48">
        <f>IF(ISBLANK(Table_Main[[#This Row],[Đơn bán]]),0,
IF(Table_Main[[#This Row],[Loại]] = "Xuất",Table_Main[[#This Row],[Giá bán niêm yết]]*Table_Main[[#This Row],[Số lượng]],-Table_Main[[#This Row],[Giá bán niêm yết]]*Table_Main[[#This Row],[Số lượng]]))</f>
        <v>3900000</v>
      </c>
      <c r="AB44" s="230"/>
      <c r="AC4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44" s="48">
        <f xml:space="preserve">
IF(Table_Main[[#This Row],[Đơn bán]]="", 0,
IFERROR(
VLOOKUP(Table_Main[[#This Row],[Mã SKU]],Table_SKU[[Mã SKU]:[Tỷ suất VAT]],COUNTA(Table_SKU[[#Headers],[Mã SKU]:[Tỷ suất VAT]]),0),0)*Table_Main[[#This Row],[Giá trị bán trước VAT]])</f>
        <v>0</v>
      </c>
      <c r="AG44" s="51">
        <f>IFERROR(VLOOKUP(Table_Main[[#This Row],[Đơn bán]],Table_DonBan[[Mã Đơn bán]:[Add]],COUNTA(Table_DonBan[[#Headers],[Mã Đơn bán]:[Mã NV]]),0),0)</f>
        <v>0</v>
      </c>
      <c r="AH4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4" s="48">
        <f>IFERROR(Table_Main[[#This Row],[Giá trị bán trước VAT]]*Table_Main[[#This Row],[Tỷ lệ hoa hồng]],"")</f>
        <v>0</v>
      </c>
      <c r="AJ44" s="48">
        <f>IFERROR(VLOOKUP(Table_Main[[#This Row],[Đơn bán]],Table_DonBan[[Mã Đơn bán]:[Add]],COUNTA(Table_DonBan[[#Headers],[Mã Đơn bán]:[Kênh]]),0),0)</f>
        <v>0</v>
      </c>
      <c r="AK4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4" s="48">
        <f>IFERROR(Table_Main[[#This Row],[Giá trị bán trước VAT]]*Table_Main[[#This Row],[Tỷ lệ CK kênh]],"")</f>
        <v>0</v>
      </c>
      <c r="AM44" s="230"/>
      <c r="AN44" s="232"/>
      <c r="AO44" s="226">
        <f>Table_Main[[#This Row],[ĐK - Phân loại]]*Table_Main[[#This Row],[ĐK - Thời gian]]*Table_Main[[#This Row],[ĐK - Giá trị]]*Table_Main[[#This Row],[ĐK - Số lượng]]*Table_Main[[#This Row],[ĐK - Sinh nhật]]*Table_Main[[#This Row],[ĐK - Ngày mua cuối]]</f>
        <v>1</v>
      </c>
      <c r="AP44" s="226">
        <f xml:space="preserve">
IF(ISBLANK(Table_Main[[#This Row],[Chương trình]]),1,
IF(VLOOKUP(Table_Main[[#This Row],[Chương trình]],Table_ChuongTrinh[[Mã Chương trình]:[Đối tượng CK]],Sheet_ChuongTrinh!$C$1,0) = "Sản phẩm",1,0))</f>
        <v>1</v>
      </c>
      <c r="AQ4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5" spans="2:47" ht="18" customHeight="1" x14ac:dyDescent="0.3">
      <c r="B45" s="530"/>
      <c r="C45" s="239" t="s">
        <v>1162</v>
      </c>
      <c r="D45" s="538" t="str">
        <f>IF(ISBLANK(Table_Main[[#This Row],[Mã SKU]]),Table_Main[[#This Row],[Mã Nguyên liệu]],Table_Main[[#This Row],[Mã SKU]])</f>
        <v>NL2</v>
      </c>
      <c r="E45" s="420" cm="1">
        <f t="array" ref="E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73</v>
      </c>
      <c r="F45" s="420" cm="1">
        <f t="array" ref="F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38</v>
      </c>
      <c r="G45" s="420" cm="1">
        <f t="array" ref="G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10223472.260869566</v>
      </c>
      <c r="H45" s="420" cm="1">
        <f t="array" ref="H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5321807.4782608673</v>
      </c>
      <c r="I45" s="420">
        <f>IFERROR(Table_Main[[#This Row],[Giá trị tồn đầu ngày]]/Table_Main[[#This Row],[Tồn kho đầu ngày]],0)</f>
        <v>140047.56521739133</v>
      </c>
      <c r="J45" s="420">
        <f>IFERROR(Table_Main[[#This Row],[Giá trị tồn cuối ngày]]/Table_Main[[#This Row],[Tồn kho cuối ngày]],0)</f>
        <v>140047.56521739124</v>
      </c>
      <c r="K45" s="415">
        <v>45761</v>
      </c>
      <c r="L4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5" s="29">
        <f>IFERROR(MONTH(Table_Main[[#This Row],[Ngày lên đơn]]),0)</f>
        <v>1</v>
      </c>
      <c r="N45" s="51" t="str">
        <f>IF(Table_Main[[#This Row],[Ngày lên đơn]]=0,"",Table_Main[[#This Row],[Ngày xuất nhập]]-Table_Main[[#This Row],[Ngày lên đơn]])</f>
        <v/>
      </c>
      <c r="O45" s="230" t="s">
        <v>53</v>
      </c>
      <c r="P45" s="230" t="s">
        <v>1165</v>
      </c>
      <c r="Q45" s="408">
        <v>35</v>
      </c>
      <c r="R45" s="523"/>
      <c r="S45" s="537">
        <f>IFERROR(VLOOKUP(Table_Main[[#This Row],[Đơn Mua]],Table_DonMua[[Mã Đơn mua]:[Add]],COUNTA(Table_DonMua[[#Headers],[Mã Đơn mua]:[Mã Đối tác]]),0),0)</f>
        <v>0</v>
      </c>
      <c r="T45" s="409"/>
      <c r="U45" s="48">
        <f xml:space="preserve">
IF(NOT(ISBLANK(Table_Main[[#This Row],[Đơn Mua]])),Table_Main[[#This Row],[Số lượng]]*Table_Main[[#This Row],[Giá nhập]],Table_Main[[#This Row],[Số lượng]]*Table_Main[[#This Row],[Giá trị bình quân đầu ngày]])</f>
        <v>4901664.7826086963</v>
      </c>
      <c r="V4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5" s="48">
        <f>IF(Table_Main[[#This Row],[Đơn Mua]]="", 0,IFERROR(Table_Main[[#This Row],[Tỷ suất VAT khấu trừ]]*(Table_Main[[#This Row],[Giá trị hàng nhập]]/(1+Table_Main[[#This Row],[Tỷ suất VAT khấu trừ]])),0))</f>
        <v>0</v>
      </c>
      <c r="X45" s="523"/>
      <c r="Y45" s="28">
        <f>IFERROR(VLOOKUP(Table_Main[[#This Row],[Đơn bán]],Table_DonBan[[Mã Đơn bán]:[Add]],COUNTA(Table_DonBan[[#Headers],[Mã Đơn bán]:[Mã Khách]]),0),0)</f>
        <v>0</v>
      </c>
      <c r="Z45" s="48">
        <f>IF(ISBLANK(Table_Main[[#This Row],[Đơn bán]]),0,
VLOOKUP(Table_Main[[#This Row],[Mã SKU]],Table_SKU[[Mã SKU]:[Giá bán]],COUNTA(Table_SKU[[#Headers],[Mã SKU]:[Giá bán]]),0))</f>
        <v>0</v>
      </c>
      <c r="AA45" s="48">
        <f>IF(ISBLANK(Table_Main[[#This Row],[Đơn bán]]),0,
IF(Table_Main[[#This Row],[Loại]] = "Xuất",Table_Main[[#This Row],[Giá bán niêm yết]]*Table_Main[[#This Row],[Số lượng]],-Table_Main[[#This Row],[Giá bán niêm yết]]*Table_Main[[#This Row],[Số lượng]]))</f>
        <v>0</v>
      </c>
      <c r="AB45" s="230"/>
      <c r="AC4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5" s="48">
        <f xml:space="preserve">
IF(Table_Main[[#This Row],[Đơn bán]]="", 0,
IFERROR(
VLOOKUP(Table_Main[[#This Row],[Mã SKU]],Table_SKU[[Mã SKU]:[Tỷ suất VAT]],COUNTA(Table_SKU[[#Headers],[Mã SKU]:[Tỷ suất VAT]]),0),0)*Table_Main[[#This Row],[Giá trị bán trước VAT]])</f>
        <v>0</v>
      </c>
      <c r="AG45" s="51">
        <f>IFERROR(VLOOKUP(Table_Main[[#This Row],[Đơn bán]],Table_DonBan[[Mã Đơn bán]:[Add]],COUNTA(Table_DonBan[[#Headers],[Mã Đơn bán]:[Mã NV]]),0),0)</f>
        <v>0</v>
      </c>
      <c r="AH4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5" s="48">
        <f>IFERROR(Table_Main[[#This Row],[Giá trị bán trước VAT]]*Table_Main[[#This Row],[Tỷ lệ hoa hồng]],"")</f>
        <v>0</v>
      </c>
      <c r="AJ45" s="48">
        <f>IFERROR(VLOOKUP(Table_Main[[#This Row],[Đơn bán]],Table_DonBan[[Mã Đơn bán]:[Add]],COUNTA(Table_DonBan[[#Headers],[Mã Đơn bán]:[Kênh]]),0),0)</f>
        <v>0</v>
      </c>
      <c r="AK4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5" s="48">
        <f>IFERROR(Table_Main[[#This Row],[Giá trị bán trước VAT]]*Table_Main[[#This Row],[Tỷ lệ CK kênh]],"")</f>
        <v>0</v>
      </c>
      <c r="AM45" s="230"/>
      <c r="AN45" s="232"/>
      <c r="AO45" s="226">
        <f>Table_Main[[#This Row],[ĐK - Phân loại]]*Table_Main[[#This Row],[ĐK - Thời gian]]*Table_Main[[#This Row],[ĐK - Giá trị]]*Table_Main[[#This Row],[ĐK - Số lượng]]*Table_Main[[#This Row],[ĐK - Sinh nhật]]*Table_Main[[#This Row],[ĐK - Ngày mua cuối]]</f>
        <v>1</v>
      </c>
      <c r="AP45" s="226">
        <f xml:space="preserve">
IF(ISBLANK(Table_Main[[#This Row],[Chương trình]]),1,
IF(VLOOKUP(Table_Main[[#This Row],[Chương trình]],Table_ChuongTrinh[[Mã Chương trình]:[Đối tượng CK]],Sheet_ChuongTrinh!$C$1,0) = "Sản phẩm",1,0))</f>
        <v>1</v>
      </c>
      <c r="AQ4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6" spans="2:47" ht="18" customHeight="1" x14ac:dyDescent="0.15">
      <c r="B46" s="523" t="s">
        <v>1161</v>
      </c>
      <c r="C46" s="523"/>
      <c r="D46" s="537" t="str">
        <f>IF(ISBLANK(Table_Main[[#This Row],[Mã SKU]]),Table_Main[[#This Row],[Mã Nguyên liệu]],Table_Main[[#This Row],[Mã SKU]])</f>
        <v>TP2</v>
      </c>
      <c r="E46" s="420" cm="1">
        <f t="array" ref="E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46" s="420" cm="1">
        <f t="array" ref="F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46" s="420" cm="1">
        <f t="array" ref="G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6" s="420" cm="1">
        <f t="array" ref="H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6" s="420">
        <f>IFERROR(Table_Main[[#This Row],[Giá trị tồn đầu ngày]]/Table_Main[[#This Row],[Tồn kho đầu ngày]],0)</f>
        <v>0</v>
      </c>
      <c r="J46" s="420">
        <f>IFERROR(Table_Main[[#This Row],[Giá trị tồn cuối ngày]]/Table_Main[[#This Row],[Tồn kho cuối ngày]],0)</f>
        <v>0</v>
      </c>
      <c r="K46" s="415">
        <v>45759</v>
      </c>
      <c r="L4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6" s="29">
        <f>IFERROR(MONTH(Table_Main[[#This Row],[Ngày lên đơn]]),0)</f>
        <v>1</v>
      </c>
      <c r="N46" s="551" t="str">
        <f>IF(Table_Main[[#This Row],[Ngày lên đơn]]=0,"",Table_Main[[#This Row],[Ngày xuất nhập]]-Table_Main[[#This Row],[Ngày lên đơn]])</f>
        <v/>
      </c>
      <c r="O46" s="7" t="s">
        <v>1164</v>
      </c>
      <c r="P46" s="230" t="s">
        <v>1165</v>
      </c>
      <c r="Q46" s="408">
        <v>45</v>
      </c>
      <c r="R46" s="523"/>
      <c r="S46" s="537">
        <f>IFERROR(VLOOKUP(Table_Main[[#This Row],[Đơn Mua]],Table_DonMua[[Mã Đơn mua]:[Add]],COUNTA(Table_DonMua[[#Headers],[Mã Đơn mua]:[Mã Đối tác]]),0),0)</f>
        <v>0</v>
      </c>
      <c r="T46" s="409"/>
      <c r="U46" s="48">
        <f xml:space="preserve">
IF(NOT(ISBLANK(Table_Main[[#This Row],[Đơn Mua]])),Table_Main[[#This Row],[Số lượng]]*Table_Main[[#This Row],[Giá nhập]],Table_Main[[#This Row],[Số lượng]]*Table_Main[[#This Row],[Giá trị bình quân đầu ngày]])</f>
        <v>0</v>
      </c>
      <c r="V4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6" s="48">
        <f>IF(Table_Main[[#This Row],[Đơn Mua]]="", 0,IFERROR(Table_Main[[#This Row],[Tỷ suất VAT khấu trừ]]*(Table_Main[[#This Row],[Giá trị hàng nhập]]/(1+Table_Main[[#This Row],[Tỷ suất VAT khấu trừ]])),0))</f>
        <v>0</v>
      </c>
      <c r="X46" s="523"/>
      <c r="Y46" s="28">
        <f>IFERROR(VLOOKUP(Table_Main[[#This Row],[Đơn bán]],Table_DonBan[[Mã Đơn bán]:[Add]],COUNTA(Table_DonBan[[#Headers],[Mã Đơn bán]:[Mã Khách]]),0),0)</f>
        <v>0</v>
      </c>
      <c r="Z46" s="48">
        <f>IF(ISBLANK(Table_Main[[#This Row],[Đơn bán]]),0,
VLOOKUP(Table_Main[[#This Row],[Mã SKU]],Table_SKU[[Mã SKU]:[Giá bán]],COUNTA(Table_SKU[[#Headers],[Mã SKU]:[Giá bán]]),0))</f>
        <v>0</v>
      </c>
      <c r="AA46" s="48">
        <f>IF(ISBLANK(Table_Main[[#This Row],[Đơn bán]]),0,
IF(Table_Main[[#This Row],[Loại]] = "Xuất",Table_Main[[#This Row],[Giá bán niêm yết]]*Table_Main[[#This Row],[Số lượng]],-Table_Main[[#This Row],[Giá bán niêm yết]]*Table_Main[[#This Row],[Số lượng]]))</f>
        <v>0</v>
      </c>
      <c r="AB46" s="230"/>
      <c r="AC4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6" s="48">
        <f xml:space="preserve">
IF(Table_Main[[#This Row],[Đơn bán]]="", 0,
IFERROR(
VLOOKUP(Table_Main[[#This Row],[Mã SKU]],Table_SKU[[Mã SKU]:[Tỷ suất VAT]],COUNTA(Table_SKU[[#Headers],[Mã SKU]:[Tỷ suất VAT]]),0),0)*Table_Main[[#This Row],[Giá trị bán trước VAT]])</f>
        <v>0</v>
      </c>
      <c r="AG46" s="51">
        <f>IFERROR(VLOOKUP(Table_Main[[#This Row],[Đơn bán]],Table_DonBan[[Mã Đơn bán]:[Add]],COUNTA(Table_DonBan[[#Headers],[Mã Đơn bán]:[Mã NV]]),0),0)</f>
        <v>0</v>
      </c>
      <c r="AH4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6" s="48">
        <f>IFERROR(Table_Main[[#This Row],[Giá trị bán trước VAT]]*Table_Main[[#This Row],[Tỷ lệ hoa hồng]],"")</f>
        <v>0</v>
      </c>
      <c r="AJ46" s="48">
        <f>IFERROR(VLOOKUP(Table_Main[[#This Row],[Đơn bán]],Table_DonBan[[Mã Đơn bán]:[Add]],COUNTA(Table_DonBan[[#Headers],[Mã Đơn bán]:[Kênh]]),0),0)</f>
        <v>0</v>
      </c>
      <c r="AK4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6" s="48">
        <f>IFERROR(Table_Main[[#This Row],[Giá trị bán trước VAT]]*Table_Main[[#This Row],[Tỷ lệ CK kênh]],"")</f>
        <v>0</v>
      </c>
      <c r="AM46" s="230"/>
      <c r="AN46" s="232"/>
      <c r="AO46" s="226">
        <f>Table_Main[[#This Row],[ĐK - Phân loại]]*Table_Main[[#This Row],[ĐK - Thời gian]]*Table_Main[[#This Row],[ĐK - Giá trị]]*Table_Main[[#This Row],[ĐK - Số lượng]]*Table_Main[[#This Row],[ĐK - Sinh nhật]]*Table_Main[[#This Row],[ĐK - Ngày mua cuối]]</f>
        <v>1</v>
      </c>
      <c r="AP46" s="226">
        <f xml:space="preserve">
IF(ISBLANK(Table_Main[[#This Row],[Chương trình]]),1,
IF(VLOOKUP(Table_Main[[#This Row],[Chương trình]],Table_ChuongTrinh[[Mã Chương trình]:[Đối tượng CK]],Sheet_ChuongTrinh!$C$1,0) = "Sản phẩm",1,0))</f>
        <v>1</v>
      </c>
      <c r="AQ4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7" spans="2:47" ht="18" customHeight="1" x14ac:dyDescent="0.3">
      <c r="B47" s="523" t="s">
        <v>1159</v>
      </c>
      <c r="C47" s="523"/>
      <c r="D47" s="537" t="str">
        <f>IF(ISBLANK(Table_Main[[#This Row],[Mã SKU]]),Table_Main[[#This Row],[Mã Nguyên liệu]],Table_Main[[#This Row],[Mã SKU]])</f>
        <v>HH1</v>
      </c>
      <c r="E47" s="420" cm="1">
        <f t="array" ref="E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84</v>
      </c>
      <c r="F47" s="420" cm="1">
        <f t="array" ref="F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57</v>
      </c>
      <c r="G47" s="420" cm="1">
        <f t="array" ref="G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7571146.9253731333</v>
      </c>
      <c r="H47" s="420" cm="1">
        <f t="array" ref="H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5137563.9850746244</v>
      </c>
      <c r="I47" s="420">
        <f>IFERROR(Table_Main[[#This Row],[Giá trị tồn đầu ngày]]/Table_Main[[#This Row],[Tồn kho đầu ngày]],0)</f>
        <v>90132.701492537308</v>
      </c>
      <c r="J47" s="420">
        <f>IFERROR(Table_Main[[#This Row],[Giá trị tồn cuối ngày]]/Table_Main[[#This Row],[Tồn kho cuối ngày]],0)</f>
        <v>90132.701492537264</v>
      </c>
      <c r="K47" s="415">
        <v>45758</v>
      </c>
      <c r="L47" s="47">
        <f xml:space="preserve">
IFERROR(
IFERROR(
VLOOKUP(Table_Main[[#This Row],[Đơn Mua]],Table_DonMua[[Mã Đơn mua]:[Add]],COUNTA(Table_DonMua[[#Headers],[Mã Đơn mua]:[Ngày lập]]),0),
VLOOKUP(Table_Main[[#This Row],[Đơn bán]],Table_DonBan[[Mã Đơn bán]:[Add]], COUNTA(Table_DonBan[[#Headers],[Mã Đơn bán]:[Ngày lập]]),0)),0)</f>
        <v>45758</v>
      </c>
      <c r="M47" s="29">
        <f>IFERROR(MONTH(Table_Main[[#This Row],[Ngày lên đơn]]),0)</f>
        <v>4</v>
      </c>
      <c r="N47" s="51">
        <f>IF(Table_Main[[#This Row],[Ngày lên đơn]]=0,"",Table_Main[[#This Row],[Ngày xuất nhập]]-Table_Main[[#This Row],[Ngày lên đơn]])</f>
        <v>0</v>
      </c>
      <c r="O47" s="230" t="s">
        <v>53</v>
      </c>
      <c r="P47" s="230" t="s">
        <v>1165</v>
      </c>
      <c r="Q47" s="408">
        <v>27</v>
      </c>
      <c r="R47" s="523"/>
      <c r="S47" s="537">
        <f>IFERROR(VLOOKUP(Table_Main[[#This Row],[Đơn Mua]],Table_DonMua[[Mã Đơn mua]:[Add]],COUNTA(Table_DonMua[[#Headers],[Mã Đơn mua]:[Mã Đối tác]]),0),0)</f>
        <v>0</v>
      </c>
      <c r="T47" s="409"/>
      <c r="U47" s="48">
        <f xml:space="preserve">
IF(NOT(ISBLANK(Table_Main[[#This Row],[Đơn Mua]])),Table_Main[[#This Row],[Số lượng]]*Table_Main[[#This Row],[Giá nhập]],Table_Main[[#This Row],[Số lượng]]*Table_Main[[#This Row],[Giá trị bình quân đầu ngày]])</f>
        <v>2433582.9402985075</v>
      </c>
      <c r="V4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7" s="48">
        <f>IF(Table_Main[[#This Row],[Đơn Mua]]="", 0,IFERROR(Table_Main[[#This Row],[Tỷ suất VAT khấu trừ]]*(Table_Main[[#This Row],[Giá trị hàng nhập]]/(1+Table_Main[[#This Row],[Tỷ suất VAT khấu trừ]])),0))</f>
        <v>0</v>
      </c>
      <c r="X47" s="523" t="s">
        <v>1217</v>
      </c>
      <c r="Y47" s="28" t="str">
        <f>IFERROR(VLOOKUP(Table_Main[[#This Row],[Đơn bán]],Table_DonBan[[Mã Đơn bán]:[Add]],COUNTA(Table_DonBan[[#Headers],[Mã Đơn bán]:[Mã Khách]]),0),0)</f>
        <v>KH1</v>
      </c>
      <c r="Z47" s="48">
        <f>IF(ISBLANK(Table_Main[[#This Row],[Đơn bán]]),0,
VLOOKUP(Table_Main[[#This Row],[Mã SKU]],Table_SKU[[Mã SKU]:[Giá bán]],COUNTA(Table_SKU[[#Headers],[Mã SKU]:[Giá bán]]),0))</f>
        <v>100000</v>
      </c>
      <c r="AA47" s="48">
        <f>IF(ISBLANK(Table_Main[[#This Row],[Đơn bán]]),0,
IF(Table_Main[[#This Row],[Loại]] = "Xuất",Table_Main[[#This Row],[Giá bán niêm yết]]*Table_Main[[#This Row],[Số lượng]],-Table_Main[[#This Row],[Giá bán niêm yết]]*Table_Main[[#This Row],[Số lượng]]))</f>
        <v>2700000</v>
      </c>
      <c r="AB47" s="230"/>
      <c r="AC4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2700000</v>
      </c>
      <c r="AF47" s="48">
        <f xml:space="preserve">
IF(Table_Main[[#This Row],[Đơn bán]]="", 0,
IFERROR(
VLOOKUP(Table_Main[[#This Row],[Mã SKU]],Table_SKU[[Mã SKU]:[Tỷ suất VAT]],COUNTA(Table_SKU[[#Headers],[Mã SKU]:[Tỷ suất VAT]]),0),0)*Table_Main[[#This Row],[Giá trị bán trước VAT]])</f>
        <v>0</v>
      </c>
      <c r="AG47" s="51">
        <f>IFERROR(VLOOKUP(Table_Main[[#This Row],[Đơn bán]],Table_DonBan[[Mã Đơn bán]:[Add]],COUNTA(Table_DonBan[[#Headers],[Mã Đơn bán]:[Mã NV]]),0),0)</f>
        <v>0</v>
      </c>
      <c r="AH4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7" s="48">
        <f>IFERROR(Table_Main[[#This Row],[Giá trị bán trước VAT]]*Table_Main[[#This Row],[Tỷ lệ hoa hồng]],"")</f>
        <v>0</v>
      </c>
      <c r="AJ47" s="48">
        <f>IFERROR(VLOOKUP(Table_Main[[#This Row],[Đơn bán]],Table_DonBan[[Mã Đơn bán]:[Add]],COUNTA(Table_DonBan[[#Headers],[Mã Đơn bán]:[Kênh]]),0),0)</f>
        <v>0</v>
      </c>
      <c r="AK4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7" s="48">
        <f>IFERROR(Table_Main[[#This Row],[Giá trị bán trước VAT]]*Table_Main[[#This Row],[Tỷ lệ CK kênh]],"")</f>
        <v>0</v>
      </c>
      <c r="AM47" s="230"/>
      <c r="AN47" s="232"/>
      <c r="AO47" s="226">
        <f>Table_Main[[#This Row],[ĐK - Phân loại]]*Table_Main[[#This Row],[ĐK - Thời gian]]*Table_Main[[#This Row],[ĐK - Giá trị]]*Table_Main[[#This Row],[ĐK - Số lượng]]*Table_Main[[#This Row],[ĐK - Sinh nhật]]*Table_Main[[#This Row],[ĐK - Ngày mua cuối]]</f>
        <v>1</v>
      </c>
      <c r="AP47" s="226">
        <f xml:space="preserve">
IF(ISBLANK(Table_Main[[#This Row],[Chương trình]]),1,
IF(VLOOKUP(Table_Main[[#This Row],[Chương trình]],Table_ChuongTrinh[[Mã Chương trình]:[Đối tượng CK]],Sheet_ChuongTrinh!$C$1,0) = "Sản phẩm",1,0))</f>
        <v>1</v>
      </c>
      <c r="AQ4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8" spans="2:47" ht="18" customHeight="1" x14ac:dyDescent="0.3">
      <c r="B48" s="523" t="s">
        <v>1160</v>
      </c>
      <c r="C48" s="523"/>
      <c r="D48" s="537" t="str">
        <f>IF(ISBLANK(Table_Main[[#This Row],[Mã SKU]]),Table_Main[[#This Row],[Mã Nguyên liệu]],Table_Main[[#This Row],[Mã SKU]])</f>
        <v>TP1</v>
      </c>
      <c r="E48" s="420" cm="1">
        <f t="array" ref="E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8" s="420" cm="1">
        <f t="array" ref="F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8" s="420" cm="1">
        <f t="array" ref="G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8" s="420" cm="1">
        <f t="array" ref="H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8" s="420">
        <f>IFERROR(Table_Main[[#This Row],[Giá trị tồn đầu ngày]]/Table_Main[[#This Row],[Tồn kho đầu ngày]],0)</f>
        <v>0</v>
      </c>
      <c r="J48" s="420">
        <f>IFERROR(Table_Main[[#This Row],[Giá trị tồn cuối ngày]]/Table_Main[[#This Row],[Tồn kho cuối ngày]],0)</f>
        <v>0</v>
      </c>
      <c r="K48" s="415">
        <v>45756</v>
      </c>
      <c r="L48" s="47">
        <f xml:space="preserve">
IFERROR(
IFERROR(
VLOOKUP(Table_Main[[#This Row],[Đơn Mua]],Table_DonMua[[Mã Đơn mua]:[Add]],COUNTA(Table_DonMua[[#Headers],[Mã Đơn mua]:[Ngày lập]]),0),
VLOOKUP(Table_Main[[#This Row],[Đơn bán]],Table_DonBan[[Mã Đơn bán]:[Add]], COUNTA(Table_DonBan[[#Headers],[Mã Đơn bán]:[Ngày lập]]),0)),0)</f>
        <v>45756</v>
      </c>
      <c r="M48" s="29">
        <f>IFERROR(MONTH(Table_Main[[#This Row],[Ngày lên đơn]]),0)</f>
        <v>4</v>
      </c>
      <c r="N48" s="51">
        <f>IF(Table_Main[[#This Row],[Ngày lên đơn]]=0,"",Table_Main[[#This Row],[Ngày xuất nhập]]-Table_Main[[#This Row],[Ngày lên đơn]])</f>
        <v>0</v>
      </c>
      <c r="O48" s="230" t="s">
        <v>53</v>
      </c>
      <c r="P48" s="230" t="s">
        <v>1165</v>
      </c>
      <c r="Q48" s="408">
        <v>14</v>
      </c>
      <c r="R48" s="523"/>
      <c r="S48" s="537">
        <f>IFERROR(VLOOKUP(Table_Main[[#This Row],[Đơn Mua]],Table_DonMua[[Mã Đơn mua]:[Add]],COUNTA(Table_DonMua[[#Headers],[Mã Đơn mua]:[Mã Đối tác]]),0),0)</f>
        <v>0</v>
      </c>
      <c r="T48" s="409"/>
      <c r="U48" s="48">
        <f xml:space="preserve">
IF(NOT(ISBLANK(Table_Main[[#This Row],[Đơn Mua]])),Table_Main[[#This Row],[Số lượng]]*Table_Main[[#This Row],[Giá nhập]],Table_Main[[#This Row],[Số lượng]]*Table_Main[[#This Row],[Giá trị bình quân đầu ngày]])</f>
        <v>0</v>
      </c>
      <c r="V4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8" s="48">
        <f>IF(Table_Main[[#This Row],[Đơn Mua]]="", 0,IFERROR(Table_Main[[#This Row],[Tỷ suất VAT khấu trừ]]*(Table_Main[[#This Row],[Giá trị hàng nhập]]/(1+Table_Main[[#This Row],[Tỷ suất VAT khấu trừ]])),0))</f>
        <v>0</v>
      </c>
      <c r="X48" s="523" t="s">
        <v>1216</v>
      </c>
      <c r="Y48" s="28" t="str">
        <f>IFERROR(VLOOKUP(Table_Main[[#This Row],[Đơn bán]],Table_DonBan[[Mã Đơn bán]:[Add]],COUNTA(Table_DonBan[[#Headers],[Mã Đơn bán]:[Mã Khách]]),0),0)</f>
        <v>KH3</v>
      </c>
      <c r="Z48" s="48">
        <f>IF(ISBLANK(Table_Main[[#This Row],[Đơn bán]]),0,
VLOOKUP(Table_Main[[#This Row],[Mã SKU]],Table_SKU[[Mã SKU]:[Giá bán]],COUNTA(Table_SKU[[#Headers],[Mã SKU]:[Giá bán]]),0))</f>
        <v>300000</v>
      </c>
      <c r="AA48" s="48">
        <f>IF(ISBLANK(Table_Main[[#This Row],[Đơn bán]]),0,
IF(Table_Main[[#This Row],[Loại]] = "Xuất",Table_Main[[#This Row],[Giá bán niêm yết]]*Table_Main[[#This Row],[Số lượng]],-Table_Main[[#This Row],[Giá bán niêm yết]]*Table_Main[[#This Row],[Số lượng]]))</f>
        <v>4200000</v>
      </c>
      <c r="AB48" s="230"/>
      <c r="AC4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48" s="48">
        <f xml:space="preserve">
IF(Table_Main[[#This Row],[Đơn bán]]="", 0,
IFERROR(
VLOOKUP(Table_Main[[#This Row],[Mã SKU]],Table_SKU[[Mã SKU]:[Tỷ suất VAT]],COUNTA(Table_SKU[[#Headers],[Mã SKU]:[Tỷ suất VAT]]),0),0)*Table_Main[[#This Row],[Giá trị bán trước VAT]])</f>
        <v>0</v>
      </c>
      <c r="AG48" s="51">
        <f>IFERROR(VLOOKUP(Table_Main[[#This Row],[Đơn bán]],Table_DonBan[[Mã Đơn bán]:[Add]],COUNTA(Table_DonBan[[#Headers],[Mã Đơn bán]:[Mã NV]]),0),0)</f>
        <v>0</v>
      </c>
      <c r="AH4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8" s="48">
        <f>IFERROR(Table_Main[[#This Row],[Giá trị bán trước VAT]]*Table_Main[[#This Row],[Tỷ lệ hoa hồng]],"")</f>
        <v>0</v>
      </c>
      <c r="AJ48" s="48">
        <f>IFERROR(VLOOKUP(Table_Main[[#This Row],[Đơn bán]],Table_DonBan[[Mã Đơn bán]:[Add]],COUNTA(Table_DonBan[[#Headers],[Mã Đơn bán]:[Kênh]]),0),0)</f>
        <v>0</v>
      </c>
      <c r="AK4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8" s="48">
        <f>IFERROR(Table_Main[[#This Row],[Giá trị bán trước VAT]]*Table_Main[[#This Row],[Tỷ lệ CK kênh]],"")</f>
        <v>0</v>
      </c>
      <c r="AM48" s="230"/>
      <c r="AN48" s="232"/>
      <c r="AO48" s="226">
        <f>Table_Main[[#This Row],[ĐK - Phân loại]]*Table_Main[[#This Row],[ĐK - Thời gian]]*Table_Main[[#This Row],[ĐK - Giá trị]]*Table_Main[[#This Row],[ĐK - Số lượng]]*Table_Main[[#This Row],[ĐK - Sinh nhật]]*Table_Main[[#This Row],[ĐK - Ngày mua cuối]]</f>
        <v>1</v>
      </c>
      <c r="AP48" s="226">
        <f xml:space="preserve">
IF(ISBLANK(Table_Main[[#This Row],[Chương trình]]),1,
IF(VLOOKUP(Table_Main[[#This Row],[Chương trình]],Table_ChuongTrinh[[Mã Chương trình]:[Đối tượng CK]],Sheet_ChuongTrinh!$C$1,0) = "Sản phẩm",1,0))</f>
        <v>1</v>
      </c>
      <c r="AQ4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9" spans="2:47" ht="18" customHeight="1" x14ac:dyDescent="0.3">
      <c r="B49" s="523" t="s">
        <v>1160</v>
      </c>
      <c r="C49" s="523"/>
      <c r="D49" s="537" t="str">
        <f>IF(ISBLANK(Table_Main[[#This Row],[Mã SKU]]),Table_Main[[#This Row],[Mã Nguyên liệu]],Table_Main[[#This Row],[Mã SKU]])</f>
        <v>TP1</v>
      </c>
      <c r="E49" s="420" cm="1">
        <f t="array" ref="E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9" s="420" cm="1">
        <f t="array" ref="F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9" s="420" cm="1">
        <f t="array" ref="G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9" s="420" cm="1">
        <f t="array" ref="H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9" s="420">
        <f>IFERROR(Table_Main[[#This Row],[Giá trị tồn đầu ngày]]/Table_Main[[#This Row],[Tồn kho đầu ngày]],0)</f>
        <v>0</v>
      </c>
      <c r="J49" s="420">
        <f>IFERROR(Table_Main[[#This Row],[Giá trị tồn cuối ngày]]/Table_Main[[#This Row],[Tồn kho cuối ngày]],0)</f>
        <v>0</v>
      </c>
      <c r="K49" s="415">
        <v>45756</v>
      </c>
      <c r="L4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9" s="29">
        <f>IFERROR(MONTH(Table_Main[[#This Row],[Ngày lên đơn]]),0)</f>
        <v>1</v>
      </c>
      <c r="N49" s="51" t="str">
        <f>IF(Table_Main[[#This Row],[Ngày lên đơn]]=0,"",Table_Main[[#This Row],[Ngày xuất nhập]]-Table_Main[[#This Row],[Ngày lên đơn]])</f>
        <v/>
      </c>
      <c r="O49" s="230" t="s">
        <v>1164</v>
      </c>
      <c r="P49" s="230" t="s">
        <v>1165</v>
      </c>
      <c r="Q49" s="408">
        <v>28</v>
      </c>
      <c r="R49" s="523"/>
      <c r="S49" s="537">
        <f>IFERROR(VLOOKUP(Table_Main[[#This Row],[Đơn Mua]],Table_DonMua[[Mã Đơn mua]:[Add]],COUNTA(Table_DonMua[[#Headers],[Mã Đơn mua]:[Mã Đối tác]]),0),0)</f>
        <v>0</v>
      </c>
      <c r="T49" s="409"/>
      <c r="U49" s="48">
        <f xml:space="preserve">
IF(NOT(ISBLANK(Table_Main[[#This Row],[Đơn Mua]])),Table_Main[[#This Row],[Số lượng]]*Table_Main[[#This Row],[Giá nhập]],Table_Main[[#This Row],[Số lượng]]*Table_Main[[#This Row],[Giá trị bình quân đầu ngày]])</f>
        <v>0</v>
      </c>
      <c r="V4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9" s="48">
        <f>IF(Table_Main[[#This Row],[Đơn Mua]]="", 0,IFERROR(Table_Main[[#This Row],[Tỷ suất VAT khấu trừ]]*(Table_Main[[#This Row],[Giá trị hàng nhập]]/(1+Table_Main[[#This Row],[Tỷ suất VAT khấu trừ]])),0))</f>
        <v>0</v>
      </c>
      <c r="X49" s="523"/>
      <c r="Y49" s="28">
        <f>IFERROR(VLOOKUP(Table_Main[[#This Row],[Đơn bán]],Table_DonBan[[Mã Đơn bán]:[Add]],COUNTA(Table_DonBan[[#Headers],[Mã Đơn bán]:[Mã Khách]]),0),0)</f>
        <v>0</v>
      </c>
      <c r="Z49" s="48">
        <f>IF(ISBLANK(Table_Main[[#This Row],[Đơn bán]]),0,
VLOOKUP(Table_Main[[#This Row],[Mã SKU]],Table_SKU[[Mã SKU]:[Giá bán]],COUNTA(Table_SKU[[#Headers],[Mã SKU]:[Giá bán]]),0))</f>
        <v>0</v>
      </c>
      <c r="AA49" s="48">
        <f>IF(ISBLANK(Table_Main[[#This Row],[Đơn bán]]),0,
IF(Table_Main[[#This Row],[Loại]] = "Xuất",Table_Main[[#This Row],[Giá bán niêm yết]]*Table_Main[[#This Row],[Số lượng]],-Table_Main[[#This Row],[Giá bán niêm yết]]*Table_Main[[#This Row],[Số lượng]]))</f>
        <v>0</v>
      </c>
      <c r="AB49" s="230"/>
      <c r="AC4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9" s="48">
        <f xml:space="preserve">
IF(Table_Main[[#This Row],[Đơn bán]]="", 0,
IFERROR(
VLOOKUP(Table_Main[[#This Row],[Mã SKU]],Table_SKU[[Mã SKU]:[Tỷ suất VAT]],COUNTA(Table_SKU[[#Headers],[Mã SKU]:[Tỷ suất VAT]]),0),0)*Table_Main[[#This Row],[Giá trị bán trước VAT]])</f>
        <v>0</v>
      </c>
      <c r="AG49" s="51">
        <f>IFERROR(VLOOKUP(Table_Main[[#This Row],[Đơn bán]],Table_DonBan[[Mã Đơn bán]:[Add]],COUNTA(Table_DonBan[[#Headers],[Mã Đơn bán]:[Mã NV]]),0),0)</f>
        <v>0</v>
      </c>
      <c r="AH4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9" s="48">
        <f>IFERROR(Table_Main[[#This Row],[Giá trị bán trước VAT]]*Table_Main[[#This Row],[Tỷ lệ hoa hồng]],"")</f>
        <v>0</v>
      </c>
      <c r="AJ49" s="48">
        <f>IFERROR(VLOOKUP(Table_Main[[#This Row],[Đơn bán]],Table_DonBan[[Mã Đơn bán]:[Add]],COUNTA(Table_DonBan[[#Headers],[Mã Đơn bán]:[Kênh]]),0),0)</f>
        <v>0</v>
      </c>
      <c r="AK4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9" s="48">
        <f>IFERROR(Table_Main[[#This Row],[Giá trị bán trước VAT]]*Table_Main[[#This Row],[Tỷ lệ CK kênh]],"")</f>
        <v>0</v>
      </c>
      <c r="AM49" s="230"/>
      <c r="AN49" s="232"/>
      <c r="AO49" s="226">
        <f>Table_Main[[#This Row],[ĐK - Phân loại]]*Table_Main[[#This Row],[ĐK - Thời gian]]*Table_Main[[#This Row],[ĐK - Giá trị]]*Table_Main[[#This Row],[ĐK - Số lượng]]*Table_Main[[#This Row],[ĐK - Sinh nhật]]*Table_Main[[#This Row],[ĐK - Ngày mua cuối]]</f>
        <v>1</v>
      </c>
      <c r="AP49" s="226">
        <f xml:space="preserve">
IF(ISBLANK(Table_Main[[#This Row],[Chương trình]]),1,
IF(VLOOKUP(Table_Main[[#This Row],[Chương trình]],Table_ChuongTrinh[[Mã Chương trình]:[Đối tượng CK]],Sheet_ChuongTrinh!$C$1,0) = "Sản phẩm",1,0))</f>
        <v>1</v>
      </c>
      <c r="AQ4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0" spans="2:47" ht="18" customHeight="1" x14ac:dyDescent="0.15">
      <c r="B50" s="523" t="s">
        <v>1159</v>
      </c>
      <c r="C50" s="523"/>
      <c r="D50" s="537" t="str">
        <f>IF(ISBLANK(Table_Main[[#This Row],[Mã SKU]]),Table_Main[[#This Row],[Mã Nguyên liệu]],Table_Main[[#This Row],[Mã SKU]])</f>
        <v>HH1</v>
      </c>
      <c r="E50" s="420" cm="1">
        <f t="array" ref="E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50" s="420" cm="1">
        <f t="array" ref="F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84</v>
      </c>
      <c r="G50" s="420" cm="1">
        <f t="array" ref="G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9283668.2537313439</v>
      </c>
      <c r="H50" s="420" cm="1">
        <f t="array" ref="H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7571146.9253731333</v>
      </c>
      <c r="I50" s="420">
        <f>IFERROR(Table_Main[[#This Row],[Giá trị tồn đầu ngày]]/Table_Main[[#This Row],[Tồn kho đầu ngày]],0)</f>
        <v>90132.701492537322</v>
      </c>
      <c r="J50" s="420">
        <f>IFERROR(Table_Main[[#This Row],[Giá trị tồn cuối ngày]]/Table_Main[[#This Row],[Tồn kho cuối ngày]],0)</f>
        <v>90132.701492537308</v>
      </c>
      <c r="K50" s="415">
        <v>45755</v>
      </c>
      <c r="L50" s="47">
        <f xml:space="preserve">
IFERROR(
IFERROR(
VLOOKUP(Table_Main[[#This Row],[Đơn Mua]],Table_DonMua[[Mã Đơn mua]:[Add]],COUNTA(Table_DonMua[[#Headers],[Mã Đơn mua]:[Ngày lập]]),0),
VLOOKUP(Table_Main[[#This Row],[Đơn bán]],Table_DonBan[[Mã Đơn bán]:[Add]], COUNTA(Table_DonBan[[#Headers],[Mã Đơn bán]:[Ngày lập]]),0)),0)</f>
        <v>45755</v>
      </c>
      <c r="M50" s="29">
        <f>IFERROR(MONTH(Table_Main[[#This Row],[Ngày lên đơn]]),0)</f>
        <v>4</v>
      </c>
      <c r="N50" s="551">
        <f>IF(Table_Main[[#This Row],[Ngày lên đơn]]=0,"",Table_Main[[#This Row],[Ngày xuất nhập]]-Table_Main[[#This Row],[Ngày lên đơn]])</f>
        <v>0</v>
      </c>
      <c r="O50" s="7" t="s">
        <v>53</v>
      </c>
      <c r="P50" s="230" t="s">
        <v>1165</v>
      </c>
      <c r="Q50" s="408">
        <v>19</v>
      </c>
      <c r="R50" s="523"/>
      <c r="S50" s="537">
        <f>IFERROR(VLOOKUP(Table_Main[[#This Row],[Đơn Mua]],Table_DonMua[[Mã Đơn mua]:[Add]],COUNTA(Table_DonMua[[#Headers],[Mã Đơn mua]:[Mã Đối tác]]),0),0)</f>
        <v>0</v>
      </c>
      <c r="T50" s="409"/>
      <c r="U50" s="48">
        <f xml:space="preserve">
IF(NOT(ISBLANK(Table_Main[[#This Row],[Đơn Mua]])),Table_Main[[#This Row],[Số lượng]]*Table_Main[[#This Row],[Giá nhập]],Table_Main[[#This Row],[Số lượng]]*Table_Main[[#This Row],[Giá trị bình quân đầu ngày]])</f>
        <v>1712521.3283582092</v>
      </c>
      <c r="V5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0" s="48">
        <f>IF(Table_Main[[#This Row],[Đơn Mua]]="", 0,IFERROR(Table_Main[[#This Row],[Tỷ suất VAT khấu trừ]]*(Table_Main[[#This Row],[Giá trị hàng nhập]]/(1+Table_Main[[#This Row],[Tỷ suất VAT khấu trừ]])),0))</f>
        <v>0</v>
      </c>
      <c r="X50" s="523" t="s">
        <v>1215</v>
      </c>
      <c r="Y50" s="28" t="str">
        <f>IFERROR(VLOOKUP(Table_Main[[#This Row],[Đơn bán]],Table_DonBan[[Mã Đơn bán]:[Add]],COUNTA(Table_DonBan[[#Headers],[Mã Đơn bán]:[Mã Khách]]),0),0)</f>
        <v>KH2</v>
      </c>
      <c r="Z50" s="48">
        <f>IF(ISBLANK(Table_Main[[#This Row],[Đơn bán]]),0,
VLOOKUP(Table_Main[[#This Row],[Mã SKU]],Table_SKU[[Mã SKU]:[Giá bán]],COUNTA(Table_SKU[[#Headers],[Mã SKU]:[Giá bán]]),0))</f>
        <v>100000</v>
      </c>
      <c r="AA50" s="48">
        <f>IF(ISBLANK(Table_Main[[#This Row],[Đơn bán]]),0,
IF(Table_Main[[#This Row],[Loại]] = "Xuất",Table_Main[[#This Row],[Giá bán niêm yết]]*Table_Main[[#This Row],[Số lượng]],-Table_Main[[#This Row],[Giá bán niêm yết]]*Table_Main[[#This Row],[Số lượng]]))</f>
        <v>1900000</v>
      </c>
      <c r="AB50" s="230"/>
      <c r="AC5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1900000</v>
      </c>
      <c r="AF50" s="48">
        <f xml:space="preserve">
IF(Table_Main[[#This Row],[Đơn bán]]="", 0,
IFERROR(
VLOOKUP(Table_Main[[#This Row],[Mã SKU]],Table_SKU[[Mã SKU]:[Tỷ suất VAT]],COUNTA(Table_SKU[[#Headers],[Mã SKU]:[Tỷ suất VAT]]),0),0)*Table_Main[[#This Row],[Giá trị bán trước VAT]])</f>
        <v>0</v>
      </c>
      <c r="AG50" s="51">
        <f>IFERROR(VLOOKUP(Table_Main[[#This Row],[Đơn bán]],Table_DonBan[[Mã Đơn bán]:[Add]],COUNTA(Table_DonBan[[#Headers],[Mã Đơn bán]:[Mã NV]]),0),0)</f>
        <v>0</v>
      </c>
      <c r="AH5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0" s="48">
        <f>IFERROR(Table_Main[[#This Row],[Giá trị bán trước VAT]]*Table_Main[[#This Row],[Tỷ lệ hoa hồng]],"")</f>
        <v>0</v>
      </c>
      <c r="AJ50" s="48">
        <f>IFERROR(VLOOKUP(Table_Main[[#This Row],[Đơn bán]],Table_DonBan[[Mã Đơn bán]:[Add]],COUNTA(Table_DonBan[[#Headers],[Mã Đơn bán]:[Kênh]]),0),0)</f>
        <v>0</v>
      </c>
      <c r="AK5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0" s="48">
        <f>IFERROR(Table_Main[[#This Row],[Giá trị bán trước VAT]]*Table_Main[[#This Row],[Tỷ lệ CK kênh]],"")</f>
        <v>0</v>
      </c>
      <c r="AM50" s="230"/>
      <c r="AN50" s="232"/>
      <c r="AO50" s="226">
        <f>Table_Main[[#This Row],[ĐK - Phân loại]]*Table_Main[[#This Row],[ĐK - Thời gian]]*Table_Main[[#This Row],[ĐK - Giá trị]]*Table_Main[[#This Row],[ĐK - Số lượng]]*Table_Main[[#This Row],[ĐK - Sinh nhật]]*Table_Main[[#This Row],[ĐK - Ngày mua cuối]]</f>
        <v>1</v>
      </c>
      <c r="AP50" s="226">
        <f xml:space="preserve">
IF(ISBLANK(Table_Main[[#This Row],[Chương trình]]),1,
IF(VLOOKUP(Table_Main[[#This Row],[Chương trình]],Table_ChuongTrinh[[Mã Chương trình]:[Đối tượng CK]],Sheet_ChuongTrinh!$C$1,0) = "Sản phẩm",1,0))</f>
        <v>1</v>
      </c>
      <c r="AQ5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1" spans="2:47" ht="18" customHeight="1" x14ac:dyDescent="0.15">
      <c r="B51" s="533"/>
      <c r="C51" s="239" t="s">
        <v>1162</v>
      </c>
      <c r="D51" s="538" t="str">
        <f>IF(ISBLANK(Table_Main[[#This Row],[Mã SKU]]),Table_Main[[#This Row],[Mã Nguyên liệu]],Table_Main[[#This Row],[Mã SKU]])</f>
        <v>NL2</v>
      </c>
      <c r="E51" s="420" cm="1">
        <f t="array" ref="E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v>
      </c>
      <c r="F51" s="420" cm="1">
        <f t="array" ref="F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73</v>
      </c>
      <c r="G51" s="420" cm="1">
        <f t="array" ref="G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12324185.739130437</v>
      </c>
      <c r="H51" s="420" cm="1">
        <f t="array" ref="H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10223472.260869566</v>
      </c>
      <c r="I51" s="420">
        <f>IFERROR(Table_Main[[#This Row],[Giá trị tồn đầu ngày]]/Table_Main[[#This Row],[Tồn kho đầu ngày]],0)</f>
        <v>140047.56521739133</v>
      </c>
      <c r="J51" s="420">
        <f>IFERROR(Table_Main[[#This Row],[Giá trị tồn cuối ngày]]/Table_Main[[#This Row],[Tồn kho cuối ngày]],0)</f>
        <v>140047.56521739133</v>
      </c>
      <c r="K51" s="415">
        <v>45755</v>
      </c>
      <c r="L5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1" s="29">
        <f>IFERROR(MONTH(Table_Main[[#This Row],[Ngày lên đơn]]),0)</f>
        <v>1</v>
      </c>
      <c r="N51" s="551" t="str">
        <f>IF(Table_Main[[#This Row],[Ngày lên đơn]]=0,"",Table_Main[[#This Row],[Ngày xuất nhập]]-Table_Main[[#This Row],[Ngày lên đơn]])</f>
        <v/>
      </c>
      <c r="O51" s="7" t="s">
        <v>53</v>
      </c>
      <c r="P51" s="230" t="s">
        <v>1165</v>
      </c>
      <c r="Q51" s="525">
        <v>15</v>
      </c>
      <c r="R51" s="523"/>
      <c r="S51" s="550">
        <f>IFERROR(VLOOKUP(Table_Main[[#This Row],[Đơn Mua]],Table_DonMua[[Mã Đơn mua]:[Add]],COUNTA(Table_DonMua[[#Headers],[Mã Đơn mua]:[Mã Đối tác]]),0),0)</f>
        <v>0</v>
      </c>
      <c r="T51" s="431"/>
      <c r="U51" s="48">
        <f xml:space="preserve">
IF(NOT(ISBLANK(Table_Main[[#This Row],[Đơn Mua]])),Table_Main[[#This Row],[Số lượng]]*Table_Main[[#This Row],[Giá nhập]],Table_Main[[#This Row],[Số lượng]]*Table_Main[[#This Row],[Giá trị bình quân đầu ngày]])</f>
        <v>2100713.4782608701</v>
      </c>
      <c r="V5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1" s="48">
        <f>IF(Table_Main[[#This Row],[Đơn Mua]]="", 0,IFERROR(Table_Main[[#This Row],[Tỷ suất VAT khấu trừ]]*(Table_Main[[#This Row],[Giá trị hàng nhập]]/(1+Table_Main[[#This Row],[Tỷ suất VAT khấu trừ]])),0))</f>
        <v>0</v>
      </c>
      <c r="X51" s="523"/>
      <c r="Y51" s="28">
        <f>IFERROR(VLOOKUP(Table_Main[[#This Row],[Đơn bán]],Table_DonBan[[Mã Đơn bán]:[Add]],COUNTA(Table_DonBan[[#Headers],[Mã Đơn bán]:[Mã Khách]]),0),0)</f>
        <v>0</v>
      </c>
      <c r="Z51" s="48">
        <f>IF(ISBLANK(Table_Main[[#This Row],[Đơn bán]]),0,
VLOOKUP(Table_Main[[#This Row],[Mã SKU]],Table_SKU[[Mã SKU]:[Giá bán]],COUNTA(Table_SKU[[#Headers],[Mã SKU]:[Giá bán]]),0))</f>
        <v>0</v>
      </c>
      <c r="AA51" s="48">
        <f>IF(ISBLANK(Table_Main[[#This Row],[Đơn bán]]),0,
IF(Table_Main[[#This Row],[Loại]] = "Xuất",Table_Main[[#This Row],[Giá bán niêm yết]]*Table_Main[[#This Row],[Số lượng]],-Table_Main[[#This Row],[Giá bán niêm yết]]*Table_Main[[#This Row],[Số lượng]]))</f>
        <v>0</v>
      </c>
      <c r="AB51" s="230"/>
      <c r="AC5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1" s="48">
        <f xml:space="preserve">
IF(Table_Main[[#This Row],[Đơn bán]]="", 0,
IFERROR(
VLOOKUP(Table_Main[[#This Row],[Mã SKU]],Table_SKU[[Mã SKU]:[Tỷ suất VAT]],COUNTA(Table_SKU[[#Headers],[Mã SKU]:[Tỷ suất VAT]]),0),0)*Table_Main[[#This Row],[Giá trị bán trước VAT]])</f>
        <v>0</v>
      </c>
      <c r="AG51" s="51">
        <f>IFERROR(VLOOKUP(Table_Main[[#This Row],[Đơn bán]],Table_DonBan[[Mã Đơn bán]:[Add]],COUNTA(Table_DonBan[[#Headers],[Mã Đơn bán]:[Mã NV]]),0),0)</f>
        <v>0</v>
      </c>
      <c r="AH5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1" s="48">
        <f>IFERROR(Table_Main[[#This Row],[Giá trị bán trước VAT]]*Table_Main[[#This Row],[Tỷ lệ hoa hồng]],"")</f>
        <v>0</v>
      </c>
      <c r="AJ51" s="48">
        <f>IFERROR(VLOOKUP(Table_Main[[#This Row],[Đơn bán]],Table_DonBan[[Mã Đơn bán]:[Add]],COUNTA(Table_DonBan[[#Headers],[Mã Đơn bán]:[Kênh]]),0),0)</f>
        <v>0</v>
      </c>
      <c r="AK5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1" s="48">
        <f>IFERROR(Table_Main[[#This Row],[Giá trị bán trước VAT]]*Table_Main[[#This Row],[Tỷ lệ CK kênh]],"")</f>
        <v>0</v>
      </c>
      <c r="AM51" s="230"/>
      <c r="AN51" s="232"/>
      <c r="AO51" s="226">
        <f>Table_Main[[#This Row],[ĐK - Phân loại]]*Table_Main[[#This Row],[ĐK - Thời gian]]*Table_Main[[#This Row],[ĐK - Giá trị]]*Table_Main[[#This Row],[ĐK - Số lượng]]*Table_Main[[#This Row],[ĐK - Sinh nhật]]*Table_Main[[#This Row],[ĐK - Ngày mua cuối]]</f>
        <v>1</v>
      </c>
      <c r="AP51" s="226">
        <f xml:space="preserve">
IF(ISBLANK(Table_Main[[#This Row],[Chương trình]]),1,
IF(VLOOKUP(Table_Main[[#This Row],[Chương trình]],Table_ChuongTrinh[[Mã Chương trình]:[Đối tượng CK]],Sheet_ChuongTrinh!$C$1,0) = "Sản phẩm",1,0))</f>
        <v>1</v>
      </c>
      <c r="AQ5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2" spans="2:47" ht="18" customHeight="1" x14ac:dyDescent="0.15">
      <c r="B52" s="523" t="s">
        <v>1160</v>
      </c>
      <c r="C52" s="523"/>
      <c r="D52" s="537" t="str">
        <f>IF(ISBLANK(Table_Main[[#This Row],[Mã SKU]]),Table_Main[[#This Row],[Mã Nguyên liệu]],Table_Main[[#This Row],[Mã SKU]])</f>
        <v>TP1</v>
      </c>
      <c r="E52" s="420" cm="1">
        <f t="array" ref="E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2" s="420" cm="1">
        <f t="array" ref="F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136</v>
      </c>
      <c r="G52" s="420" cm="1">
        <f t="array" ref="G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2" s="420" cm="1">
        <f t="array" ref="H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2" s="420">
        <f>IFERROR(Table_Main[[#This Row],[Giá trị tồn đầu ngày]]/Table_Main[[#This Row],[Tồn kho đầu ngày]],0)</f>
        <v>0</v>
      </c>
      <c r="J52" s="420">
        <f>IFERROR(Table_Main[[#This Row],[Giá trị tồn cuối ngày]]/Table_Main[[#This Row],[Tồn kho cuối ngày]],0)</f>
        <v>0</v>
      </c>
      <c r="K52" s="415">
        <v>45754</v>
      </c>
      <c r="L5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2" s="29">
        <f>IFERROR(MONTH(Table_Main[[#This Row],[Ngày lên đơn]]),0)</f>
        <v>1</v>
      </c>
      <c r="N52" s="551" t="str">
        <f>IF(Table_Main[[#This Row],[Ngày lên đơn]]=0,"",Table_Main[[#This Row],[Ngày xuất nhập]]-Table_Main[[#This Row],[Ngày lên đơn]])</f>
        <v/>
      </c>
      <c r="O52" s="7" t="s">
        <v>1164</v>
      </c>
      <c r="P52" s="230" t="s">
        <v>1165</v>
      </c>
      <c r="Q52" s="408">
        <v>30</v>
      </c>
      <c r="R52" s="523"/>
      <c r="S52" s="537">
        <f>IFERROR(VLOOKUP(Table_Main[[#This Row],[Đơn Mua]],Table_DonMua[[Mã Đơn mua]:[Add]],COUNTA(Table_DonMua[[#Headers],[Mã Đơn mua]:[Mã Đối tác]]),0),0)</f>
        <v>0</v>
      </c>
      <c r="T52" s="409"/>
      <c r="U52" s="48">
        <f xml:space="preserve">
IF(NOT(ISBLANK(Table_Main[[#This Row],[Đơn Mua]])),Table_Main[[#This Row],[Số lượng]]*Table_Main[[#This Row],[Giá nhập]],Table_Main[[#This Row],[Số lượng]]*Table_Main[[#This Row],[Giá trị bình quân đầu ngày]])</f>
        <v>0</v>
      </c>
      <c r="V5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2" s="48">
        <f>IF(Table_Main[[#This Row],[Đơn Mua]]="", 0,IFERROR(Table_Main[[#This Row],[Tỷ suất VAT khấu trừ]]*(Table_Main[[#This Row],[Giá trị hàng nhập]]/(1+Table_Main[[#This Row],[Tỷ suất VAT khấu trừ]])),0))</f>
        <v>0</v>
      </c>
      <c r="X52" s="523"/>
      <c r="Y52" s="28">
        <f>IFERROR(VLOOKUP(Table_Main[[#This Row],[Đơn bán]],Table_DonBan[[Mã Đơn bán]:[Add]],COUNTA(Table_DonBan[[#Headers],[Mã Đơn bán]:[Mã Khách]]),0),0)</f>
        <v>0</v>
      </c>
      <c r="Z52" s="48">
        <f>IF(ISBLANK(Table_Main[[#This Row],[Đơn bán]]),0,
VLOOKUP(Table_Main[[#This Row],[Mã SKU]],Table_SKU[[Mã SKU]:[Giá bán]],COUNTA(Table_SKU[[#Headers],[Mã SKU]:[Giá bán]]),0))</f>
        <v>0</v>
      </c>
      <c r="AA52" s="48">
        <f>IF(ISBLANK(Table_Main[[#This Row],[Đơn bán]]),0,
IF(Table_Main[[#This Row],[Loại]] = "Xuất",Table_Main[[#This Row],[Giá bán niêm yết]]*Table_Main[[#This Row],[Số lượng]],-Table_Main[[#This Row],[Giá bán niêm yết]]*Table_Main[[#This Row],[Số lượng]]))</f>
        <v>0</v>
      </c>
      <c r="AB52" s="230"/>
      <c r="AC5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2" s="48">
        <f xml:space="preserve">
IF(Table_Main[[#This Row],[Đơn bán]]="", 0,
IFERROR(
VLOOKUP(Table_Main[[#This Row],[Mã SKU]],Table_SKU[[Mã SKU]:[Tỷ suất VAT]],COUNTA(Table_SKU[[#Headers],[Mã SKU]:[Tỷ suất VAT]]),0),0)*Table_Main[[#This Row],[Giá trị bán trước VAT]])</f>
        <v>0</v>
      </c>
      <c r="AG52" s="51">
        <f>IFERROR(VLOOKUP(Table_Main[[#This Row],[Đơn bán]],Table_DonBan[[Mã Đơn bán]:[Add]],COUNTA(Table_DonBan[[#Headers],[Mã Đơn bán]:[Mã NV]]),0),0)</f>
        <v>0</v>
      </c>
      <c r="AH5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2" s="48">
        <f>IFERROR(Table_Main[[#This Row],[Giá trị bán trước VAT]]*Table_Main[[#This Row],[Tỷ lệ hoa hồng]],"")</f>
        <v>0</v>
      </c>
      <c r="AJ52" s="48">
        <f>IFERROR(VLOOKUP(Table_Main[[#This Row],[Đơn bán]],Table_DonBan[[Mã Đơn bán]:[Add]],COUNTA(Table_DonBan[[#Headers],[Mã Đơn bán]:[Kênh]]),0),0)</f>
        <v>0</v>
      </c>
      <c r="AK5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2" s="48">
        <f>IFERROR(Table_Main[[#This Row],[Giá trị bán trước VAT]]*Table_Main[[#This Row],[Tỷ lệ CK kênh]],"")</f>
        <v>0</v>
      </c>
      <c r="AM52" s="230"/>
      <c r="AN52" s="232"/>
      <c r="AO52" s="226">
        <f>Table_Main[[#This Row],[ĐK - Phân loại]]*Table_Main[[#This Row],[ĐK - Thời gian]]*Table_Main[[#This Row],[ĐK - Giá trị]]*Table_Main[[#This Row],[ĐK - Số lượng]]*Table_Main[[#This Row],[ĐK - Sinh nhật]]*Table_Main[[#This Row],[ĐK - Ngày mua cuối]]</f>
        <v>1</v>
      </c>
      <c r="AP52" s="226">
        <f xml:space="preserve">
IF(ISBLANK(Table_Main[[#This Row],[Chương trình]]),1,
IF(VLOOKUP(Table_Main[[#This Row],[Chương trình]],Table_ChuongTrinh[[Mã Chương trình]:[Đối tượng CK]],Sheet_ChuongTrinh!$C$1,0) = "Sản phẩm",1,0))</f>
        <v>1</v>
      </c>
      <c r="AQ5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3" spans="2:47" ht="18" customHeight="1" x14ac:dyDescent="0.15">
      <c r="B53" s="523" t="s">
        <v>1160</v>
      </c>
      <c r="C53" s="523"/>
      <c r="D53" s="537" t="str">
        <f>IF(ISBLANK(Table_Main[[#This Row],[Mã SKU]]),Table_Main[[#This Row],[Mã Nguyên liệu]],Table_Main[[#This Row],[Mã SKU]])</f>
        <v>TP1</v>
      </c>
      <c r="E53" s="420" cm="1">
        <f t="array" ref="E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78</v>
      </c>
      <c r="F53" s="420" cm="1">
        <f t="array" ref="F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3" s="420" cm="1">
        <f t="array" ref="G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3" s="420" cm="1">
        <f t="array" ref="H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3" s="420">
        <f>IFERROR(Table_Main[[#This Row],[Giá trị tồn đầu ngày]]/Table_Main[[#This Row],[Tồn kho đầu ngày]],0)</f>
        <v>0</v>
      </c>
      <c r="J53" s="420">
        <f>IFERROR(Table_Main[[#This Row],[Giá trị tồn cuối ngày]]/Table_Main[[#This Row],[Tồn kho cuối ngày]],0)</f>
        <v>0</v>
      </c>
      <c r="K53" s="415">
        <v>45753</v>
      </c>
      <c r="L53"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3" s="29">
        <f>IFERROR(MONTH(Table_Main[[#This Row],[Ngày lên đơn]]),0)</f>
        <v>1</v>
      </c>
      <c r="N53" s="551" t="str">
        <f>IF(Table_Main[[#This Row],[Ngày lên đơn]]=0,"",Table_Main[[#This Row],[Ngày xuất nhập]]-Table_Main[[#This Row],[Ngày lên đơn]])</f>
        <v/>
      </c>
      <c r="O53" s="7" t="s">
        <v>1164</v>
      </c>
      <c r="P53" s="230" t="s">
        <v>1165</v>
      </c>
      <c r="Q53" s="408">
        <v>28</v>
      </c>
      <c r="R53" s="523"/>
      <c r="S53" s="537">
        <f>IFERROR(VLOOKUP(Table_Main[[#This Row],[Đơn Mua]],Table_DonMua[[Mã Đơn mua]:[Add]],COUNTA(Table_DonMua[[#Headers],[Mã Đơn mua]:[Mã Đối tác]]),0),0)</f>
        <v>0</v>
      </c>
      <c r="T53" s="409"/>
      <c r="U53" s="48">
        <f xml:space="preserve">
IF(NOT(ISBLANK(Table_Main[[#This Row],[Đơn Mua]])),Table_Main[[#This Row],[Số lượng]]*Table_Main[[#This Row],[Giá nhập]],Table_Main[[#This Row],[Số lượng]]*Table_Main[[#This Row],[Giá trị bình quân đầu ngày]])</f>
        <v>0</v>
      </c>
      <c r="V5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3" s="48">
        <f>IF(Table_Main[[#This Row],[Đơn Mua]]="", 0,IFERROR(Table_Main[[#This Row],[Tỷ suất VAT khấu trừ]]*(Table_Main[[#This Row],[Giá trị hàng nhập]]/(1+Table_Main[[#This Row],[Tỷ suất VAT khấu trừ]])),0))</f>
        <v>0</v>
      </c>
      <c r="X53" s="523"/>
      <c r="Y53" s="28">
        <f>IFERROR(VLOOKUP(Table_Main[[#This Row],[Đơn bán]],Table_DonBan[[Mã Đơn bán]:[Add]],COUNTA(Table_DonBan[[#Headers],[Mã Đơn bán]:[Mã Khách]]),0),0)</f>
        <v>0</v>
      </c>
      <c r="Z53" s="48">
        <f>IF(ISBLANK(Table_Main[[#This Row],[Đơn bán]]),0,
VLOOKUP(Table_Main[[#This Row],[Mã SKU]],Table_SKU[[Mã SKU]:[Giá bán]],COUNTA(Table_SKU[[#Headers],[Mã SKU]:[Giá bán]]),0))</f>
        <v>0</v>
      </c>
      <c r="AA53" s="48">
        <f>IF(ISBLANK(Table_Main[[#This Row],[Đơn bán]]),0,
IF(Table_Main[[#This Row],[Loại]] = "Xuất",Table_Main[[#This Row],[Giá bán niêm yết]]*Table_Main[[#This Row],[Số lượng]],-Table_Main[[#This Row],[Giá bán niêm yết]]*Table_Main[[#This Row],[Số lượng]]))</f>
        <v>0</v>
      </c>
      <c r="AB53" s="230"/>
      <c r="AC5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3" s="48">
        <f xml:space="preserve">
IF(Table_Main[[#This Row],[Đơn bán]]="", 0,
IFERROR(
VLOOKUP(Table_Main[[#This Row],[Mã SKU]],Table_SKU[[Mã SKU]:[Tỷ suất VAT]],COUNTA(Table_SKU[[#Headers],[Mã SKU]:[Tỷ suất VAT]]),0),0)*Table_Main[[#This Row],[Giá trị bán trước VAT]])</f>
        <v>0</v>
      </c>
      <c r="AG53" s="51">
        <f>IFERROR(VLOOKUP(Table_Main[[#This Row],[Đơn bán]],Table_DonBan[[Mã Đơn bán]:[Add]],COUNTA(Table_DonBan[[#Headers],[Mã Đơn bán]:[Mã NV]]),0),0)</f>
        <v>0</v>
      </c>
      <c r="AH5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3" s="48">
        <f>IFERROR(Table_Main[[#This Row],[Giá trị bán trước VAT]]*Table_Main[[#This Row],[Tỷ lệ hoa hồng]],"")</f>
        <v>0</v>
      </c>
      <c r="AJ53" s="48">
        <f>IFERROR(VLOOKUP(Table_Main[[#This Row],[Đơn bán]],Table_DonBan[[Mã Đơn bán]:[Add]],COUNTA(Table_DonBan[[#Headers],[Mã Đơn bán]:[Kênh]]),0),0)</f>
        <v>0</v>
      </c>
      <c r="AK5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3" s="48">
        <f>IFERROR(Table_Main[[#This Row],[Giá trị bán trước VAT]]*Table_Main[[#This Row],[Tỷ lệ CK kênh]],"")</f>
        <v>0</v>
      </c>
      <c r="AM53" s="230"/>
      <c r="AN53" s="232"/>
      <c r="AO53" s="226">
        <f>Table_Main[[#This Row],[ĐK - Phân loại]]*Table_Main[[#This Row],[ĐK - Thời gian]]*Table_Main[[#This Row],[ĐK - Giá trị]]*Table_Main[[#This Row],[ĐK - Số lượng]]*Table_Main[[#This Row],[ĐK - Sinh nhật]]*Table_Main[[#This Row],[ĐK - Ngày mua cuối]]</f>
        <v>1</v>
      </c>
      <c r="AP53" s="226">
        <f xml:space="preserve">
IF(ISBLANK(Table_Main[[#This Row],[Chương trình]]),1,
IF(VLOOKUP(Table_Main[[#This Row],[Chương trình]],Table_ChuongTrinh[[Mã Chương trình]:[Đối tượng CK]],Sheet_ChuongTrinh!$C$1,0) = "Sản phẩm",1,0))</f>
        <v>1</v>
      </c>
      <c r="AQ5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4" spans="2:47" ht="18" customHeight="1" x14ac:dyDescent="0.3">
      <c r="B54" s="237"/>
      <c r="C54" s="239" t="s">
        <v>1162</v>
      </c>
      <c r="D54" s="538" t="str">
        <f>IF(ISBLANK(Table_Main[[#This Row],[Mã SKU]]),Table_Main[[#This Row],[Mã Nguyên liệu]],Table_Main[[#This Row],[Mã SKU]])</f>
        <v>NL2</v>
      </c>
      <c r="E54" s="420" cm="1">
        <f t="array" ref="E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138</v>
      </c>
      <c r="F54" s="420" cm="1">
        <f t="array" ref="F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54" s="420" cm="1">
        <f t="array" ref="G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19326564</v>
      </c>
      <c r="H54" s="420" cm="1">
        <f t="array" ref="H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12324185.739130437</v>
      </c>
      <c r="I54" s="420">
        <f>IFERROR(Table_Main[[#This Row],[Giá trị tồn đầu ngày]]/Table_Main[[#This Row],[Tồn kho đầu ngày]],0)</f>
        <v>140047.5652173913</v>
      </c>
      <c r="J54" s="420">
        <f>IFERROR(Table_Main[[#This Row],[Giá trị tồn cuối ngày]]/Table_Main[[#This Row],[Tồn kho cuối ngày]],0)</f>
        <v>140047.56521739133</v>
      </c>
      <c r="K54" s="415">
        <v>45751</v>
      </c>
      <c r="L5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4" s="29">
        <f>IFERROR(MONTH(Table_Main[[#This Row],[Ngày lên đơn]]),0)</f>
        <v>1</v>
      </c>
      <c r="N54" s="51" t="str">
        <f>IF(Table_Main[[#This Row],[Ngày lên đơn]]=0,"",Table_Main[[#This Row],[Ngày xuất nhập]]-Table_Main[[#This Row],[Ngày lên đơn]])</f>
        <v/>
      </c>
      <c r="O54" s="230" t="s">
        <v>53</v>
      </c>
      <c r="P54" s="230" t="s">
        <v>1165</v>
      </c>
      <c r="Q54" s="408">
        <v>50</v>
      </c>
      <c r="R54" s="523"/>
      <c r="S54" s="537">
        <f>IFERROR(VLOOKUP(Table_Main[[#This Row],[Đơn Mua]],Table_DonMua[[Mã Đơn mua]:[Add]],COUNTA(Table_DonMua[[#Headers],[Mã Đơn mua]:[Mã Đối tác]]),0),0)</f>
        <v>0</v>
      </c>
      <c r="T54" s="409"/>
      <c r="U54" s="48">
        <f xml:space="preserve">
IF(NOT(ISBLANK(Table_Main[[#This Row],[Đơn Mua]])),Table_Main[[#This Row],[Số lượng]]*Table_Main[[#This Row],[Giá nhập]],Table_Main[[#This Row],[Số lượng]]*Table_Main[[#This Row],[Giá trị bình quân đầu ngày]])</f>
        <v>7002378.2608695645</v>
      </c>
      <c r="V5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4" s="48">
        <f>IF(Table_Main[[#This Row],[Đơn Mua]]="", 0,IFERROR(Table_Main[[#This Row],[Tỷ suất VAT khấu trừ]]*(Table_Main[[#This Row],[Giá trị hàng nhập]]/(1+Table_Main[[#This Row],[Tỷ suất VAT khấu trừ]])),0))</f>
        <v>0</v>
      </c>
      <c r="X54" s="523"/>
      <c r="Y54" s="28">
        <f>IFERROR(VLOOKUP(Table_Main[[#This Row],[Đơn bán]],Table_DonBan[[Mã Đơn bán]:[Add]],COUNTA(Table_DonBan[[#Headers],[Mã Đơn bán]:[Mã Khách]]),0),0)</f>
        <v>0</v>
      </c>
      <c r="Z54" s="48">
        <f>IF(ISBLANK(Table_Main[[#This Row],[Đơn bán]]),0,
VLOOKUP(Table_Main[[#This Row],[Mã SKU]],Table_SKU[[Mã SKU]:[Giá bán]],COUNTA(Table_SKU[[#Headers],[Mã SKU]:[Giá bán]]),0))</f>
        <v>0</v>
      </c>
      <c r="AA54" s="48">
        <f>IF(ISBLANK(Table_Main[[#This Row],[Đơn bán]]),0,
IF(Table_Main[[#This Row],[Loại]] = "Xuất",Table_Main[[#This Row],[Giá bán niêm yết]]*Table_Main[[#This Row],[Số lượng]],-Table_Main[[#This Row],[Giá bán niêm yết]]*Table_Main[[#This Row],[Số lượng]]))</f>
        <v>0</v>
      </c>
      <c r="AB54" s="230"/>
      <c r="AC5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4" s="48">
        <f xml:space="preserve">
IF(Table_Main[[#This Row],[Đơn bán]]="", 0,
IFERROR(
VLOOKUP(Table_Main[[#This Row],[Mã SKU]],Table_SKU[[Mã SKU]:[Tỷ suất VAT]],COUNTA(Table_SKU[[#Headers],[Mã SKU]:[Tỷ suất VAT]]),0),0)*Table_Main[[#This Row],[Giá trị bán trước VAT]])</f>
        <v>0</v>
      </c>
      <c r="AG54" s="51">
        <f>IFERROR(VLOOKUP(Table_Main[[#This Row],[Đơn bán]],Table_DonBan[[Mã Đơn bán]:[Add]],COUNTA(Table_DonBan[[#Headers],[Mã Đơn bán]:[Mã NV]]),0),0)</f>
        <v>0</v>
      </c>
      <c r="AH5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4" s="48">
        <f>IFERROR(Table_Main[[#This Row],[Giá trị bán trước VAT]]*Table_Main[[#This Row],[Tỷ lệ hoa hồng]],"")</f>
        <v>0</v>
      </c>
      <c r="AJ54" s="48">
        <f>IFERROR(VLOOKUP(Table_Main[[#This Row],[Đơn bán]],Table_DonBan[[Mã Đơn bán]:[Add]],COUNTA(Table_DonBan[[#Headers],[Mã Đơn bán]:[Kênh]]),0),0)</f>
        <v>0</v>
      </c>
      <c r="AK5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4" s="48">
        <f>IFERROR(Table_Main[[#This Row],[Giá trị bán trước VAT]]*Table_Main[[#This Row],[Tỷ lệ CK kênh]],"")</f>
        <v>0</v>
      </c>
      <c r="AM54" s="230"/>
      <c r="AN54" s="232"/>
      <c r="AO54" s="226">
        <f>Table_Main[[#This Row],[ĐK - Phân loại]]*Table_Main[[#This Row],[ĐK - Thời gian]]*Table_Main[[#This Row],[ĐK - Giá trị]]*Table_Main[[#This Row],[ĐK - Số lượng]]*Table_Main[[#This Row],[ĐK - Sinh nhật]]*Table_Main[[#This Row],[ĐK - Ngày mua cuối]]</f>
        <v>1</v>
      </c>
      <c r="AP54" s="226">
        <f xml:space="preserve">
IF(ISBLANK(Table_Main[[#This Row],[Chương trình]]),1,
IF(VLOOKUP(Table_Main[[#This Row],[Chương trình]],Table_ChuongTrinh[[Mã Chương trình]:[Đối tượng CK]],Sheet_ChuongTrinh!$C$1,0) = "Sản phẩm",1,0))</f>
        <v>1</v>
      </c>
      <c r="AQ5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5" spans="2:47" ht="18" customHeight="1" x14ac:dyDescent="0.3">
      <c r="B55" s="531" t="s">
        <v>1160</v>
      </c>
      <c r="C55" s="523"/>
      <c r="D55" s="537" t="str">
        <f>IF(ISBLANK(Table_Main[[#This Row],[Mã SKU]]),Table_Main[[#This Row],[Mã Nguyên liệu]],Table_Main[[#This Row],[Mã SKU]])</f>
        <v>TP1</v>
      </c>
      <c r="E55" s="420" cm="1">
        <f t="array" ref="E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5" s="420" cm="1">
        <f t="array" ref="F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78</v>
      </c>
      <c r="G55" s="420" cm="1">
        <f t="array" ref="G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5" s="420" cm="1">
        <f t="array" ref="H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5" s="420">
        <f>IFERROR(Table_Main[[#This Row],[Giá trị tồn đầu ngày]]/Table_Main[[#This Row],[Tồn kho đầu ngày]],0)</f>
        <v>0</v>
      </c>
      <c r="J55" s="420">
        <f>IFERROR(Table_Main[[#This Row],[Giá trị tồn cuối ngày]]/Table_Main[[#This Row],[Tồn kho cuối ngày]],0)</f>
        <v>0</v>
      </c>
      <c r="K55" s="415">
        <v>45750</v>
      </c>
      <c r="L55" s="47">
        <f xml:space="preserve">
IFERROR(
IFERROR(
VLOOKUP(Table_Main[[#This Row],[Đơn Mua]],Table_DonMua[[Mã Đơn mua]:[Add]],COUNTA(Table_DonMua[[#Headers],[Mã Đơn mua]:[Ngày lập]]),0),
VLOOKUP(Table_Main[[#This Row],[Đơn bán]],Table_DonBan[[Mã Đơn bán]:[Add]], COUNTA(Table_DonBan[[#Headers],[Mã Đơn bán]:[Ngày lập]]),0)),0)</f>
        <v>45750</v>
      </c>
      <c r="M55" s="29">
        <f>IFERROR(MONTH(Table_Main[[#This Row],[Ngày lên đơn]]),0)</f>
        <v>4</v>
      </c>
      <c r="N55" s="51">
        <f>IF(Table_Main[[#This Row],[Ngày lên đơn]]=0,"",Table_Main[[#This Row],[Ngày xuất nhập]]-Table_Main[[#This Row],[Ngày lên đơn]])</f>
        <v>0</v>
      </c>
      <c r="O55" s="230" t="s">
        <v>53</v>
      </c>
      <c r="P55" s="230" t="s">
        <v>1165</v>
      </c>
      <c r="Q55" s="408">
        <v>28</v>
      </c>
      <c r="R55" s="523"/>
      <c r="S55" s="537">
        <f>IFERROR(VLOOKUP(Table_Main[[#This Row],[Đơn Mua]],Table_DonMua[[Mã Đơn mua]:[Add]],COUNTA(Table_DonMua[[#Headers],[Mã Đơn mua]:[Mã Đối tác]]),0),0)</f>
        <v>0</v>
      </c>
      <c r="T55" s="409"/>
      <c r="U55" s="48">
        <f xml:space="preserve">
IF(NOT(ISBLANK(Table_Main[[#This Row],[Đơn Mua]])),Table_Main[[#This Row],[Số lượng]]*Table_Main[[#This Row],[Giá nhập]],Table_Main[[#This Row],[Số lượng]]*Table_Main[[#This Row],[Giá trị bình quân đầu ngày]])</f>
        <v>0</v>
      </c>
      <c r="V5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5" s="48">
        <f>IF(Table_Main[[#This Row],[Đơn Mua]]="", 0,IFERROR(Table_Main[[#This Row],[Tỷ suất VAT khấu trừ]]*(Table_Main[[#This Row],[Giá trị hàng nhập]]/(1+Table_Main[[#This Row],[Tỷ suất VAT khấu trừ]])),0))</f>
        <v>0</v>
      </c>
      <c r="X55" s="523" t="s">
        <v>1214</v>
      </c>
      <c r="Y55" s="28" t="str">
        <f>IFERROR(VLOOKUP(Table_Main[[#This Row],[Đơn bán]],Table_DonBan[[Mã Đơn bán]:[Add]],COUNTA(Table_DonBan[[#Headers],[Mã Đơn bán]:[Mã Khách]]),0),0)</f>
        <v>KH1</v>
      </c>
      <c r="Z55" s="48">
        <f>IF(ISBLANK(Table_Main[[#This Row],[Đơn bán]]),0,
VLOOKUP(Table_Main[[#This Row],[Mã SKU]],Table_SKU[[Mã SKU]:[Giá bán]],COUNTA(Table_SKU[[#Headers],[Mã SKU]:[Giá bán]]),0))</f>
        <v>300000</v>
      </c>
      <c r="AA55" s="48">
        <f>IF(ISBLANK(Table_Main[[#This Row],[Đơn bán]]),0,
IF(Table_Main[[#This Row],[Loại]] = "Xuất",Table_Main[[#This Row],[Giá bán niêm yết]]*Table_Main[[#This Row],[Số lượng]],-Table_Main[[#This Row],[Giá bán niêm yết]]*Table_Main[[#This Row],[Số lượng]]))</f>
        <v>8400000</v>
      </c>
      <c r="AB55" s="230"/>
      <c r="AC5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5"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55" s="48">
        <f xml:space="preserve">
IF(Table_Main[[#This Row],[Đơn bán]]="", 0,
IFERROR(
VLOOKUP(Table_Main[[#This Row],[Mã SKU]],Table_SKU[[Mã SKU]:[Tỷ suất VAT]],COUNTA(Table_SKU[[#Headers],[Mã SKU]:[Tỷ suất VAT]]),0),0)*Table_Main[[#This Row],[Giá trị bán trước VAT]])</f>
        <v>0</v>
      </c>
      <c r="AG55" s="51">
        <f>IFERROR(VLOOKUP(Table_Main[[#This Row],[Đơn bán]],Table_DonBan[[Mã Đơn bán]:[Add]],COUNTA(Table_DonBan[[#Headers],[Mã Đơn bán]:[Mã NV]]),0),0)</f>
        <v>0</v>
      </c>
      <c r="AH5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5" s="48">
        <f>IFERROR(Table_Main[[#This Row],[Giá trị bán trước VAT]]*Table_Main[[#This Row],[Tỷ lệ hoa hồng]],"")</f>
        <v>0</v>
      </c>
      <c r="AJ55" s="48">
        <f>IFERROR(VLOOKUP(Table_Main[[#This Row],[Đơn bán]],Table_DonBan[[Mã Đơn bán]:[Add]],COUNTA(Table_DonBan[[#Headers],[Mã Đơn bán]:[Kênh]]),0),0)</f>
        <v>0</v>
      </c>
      <c r="AK5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5" s="48">
        <f>IFERROR(Table_Main[[#This Row],[Giá trị bán trước VAT]]*Table_Main[[#This Row],[Tỷ lệ CK kênh]],"")</f>
        <v>0</v>
      </c>
      <c r="AM55" s="230"/>
      <c r="AN55" s="232"/>
      <c r="AO55" s="226">
        <f>Table_Main[[#This Row],[ĐK - Phân loại]]*Table_Main[[#This Row],[ĐK - Thời gian]]*Table_Main[[#This Row],[ĐK - Giá trị]]*Table_Main[[#This Row],[ĐK - Số lượng]]*Table_Main[[#This Row],[ĐK - Sinh nhật]]*Table_Main[[#This Row],[ĐK - Ngày mua cuối]]</f>
        <v>1</v>
      </c>
      <c r="AP55" s="226">
        <f xml:space="preserve">
IF(ISBLANK(Table_Main[[#This Row],[Chương trình]]),1,
IF(VLOOKUP(Table_Main[[#This Row],[Chương trình]],Table_ChuongTrinh[[Mã Chương trình]:[Đối tượng CK]],Sheet_ChuongTrinh!$C$1,0) = "Sản phẩm",1,0))</f>
        <v>1</v>
      </c>
      <c r="AQ5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6" spans="2:47" ht="18" customHeight="1" x14ac:dyDescent="0.3">
      <c r="B56" s="531" t="s">
        <v>1161</v>
      </c>
      <c r="C56" s="523"/>
      <c r="D56" s="537" t="str">
        <f>IF(ISBLANK(Table_Main[[#This Row],[Mã SKU]]),Table_Main[[#This Row],[Mã Nguyên liệu]],Table_Main[[#This Row],[Mã SKU]])</f>
        <v>TP2</v>
      </c>
      <c r="E56" s="420" cm="1">
        <f t="array" ref="E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66</v>
      </c>
      <c r="F56" s="420" cm="1">
        <f t="array" ref="F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56" s="420" cm="1">
        <f t="array" ref="G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6" s="420" cm="1">
        <f t="array" ref="H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6" s="420">
        <f>IFERROR(Table_Main[[#This Row],[Giá trị tồn đầu ngày]]/Table_Main[[#This Row],[Tồn kho đầu ngày]],0)</f>
        <v>0</v>
      </c>
      <c r="J56" s="420">
        <f>IFERROR(Table_Main[[#This Row],[Giá trị tồn cuối ngày]]/Table_Main[[#This Row],[Tồn kho cuối ngày]],0)</f>
        <v>0</v>
      </c>
      <c r="K56" s="415">
        <v>45746</v>
      </c>
      <c r="L56" s="47">
        <f xml:space="preserve">
IFERROR(
IFERROR(
VLOOKUP(Table_Main[[#This Row],[Đơn Mua]],Table_DonMua[[Mã Đơn mua]:[Add]],COUNTA(Table_DonMua[[#Headers],[Mã Đơn mua]:[Ngày lập]]),0),
VLOOKUP(Table_Main[[#This Row],[Đơn bán]],Table_DonBan[[Mã Đơn bán]:[Add]], COUNTA(Table_DonBan[[#Headers],[Mã Đơn bán]:[Ngày lập]]),0)),0)</f>
        <v>45746</v>
      </c>
      <c r="M56" s="29">
        <f>IFERROR(MONTH(Table_Main[[#This Row],[Ngày lên đơn]]),0)</f>
        <v>3</v>
      </c>
      <c r="N56" s="51">
        <f>IF(Table_Main[[#This Row],[Ngày lên đơn]]=0,"",Table_Main[[#This Row],[Ngày xuất nhập]]-Table_Main[[#This Row],[Ngày lên đơn]])</f>
        <v>0</v>
      </c>
      <c r="O56" s="230" t="s">
        <v>53</v>
      </c>
      <c r="P56" s="230" t="s">
        <v>1165</v>
      </c>
      <c r="Q56" s="408">
        <v>31</v>
      </c>
      <c r="R56" s="523"/>
      <c r="S56" s="537">
        <f>IFERROR(VLOOKUP(Table_Main[[#This Row],[Đơn Mua]],Table_DonMua[[Mã Đơn mua]:[Add]],COUNTA(Table_DonMua[[#Headers],[Mã Đơn mua]:[Mã Đối tác]]),0),0)</f>
        <v>0</v>
      </c>
      <c r="T56" s="409"/>
      <c r="U56" s="48">
        <f xml:space="preserve">
IF(NOT(ISBLANK(Table_Main[[#This Row],[Đơn Mua]])),Table_Main[[#This Row],[Số lượng]]*Table_Main[[#This Row],[Giá nhập]],Table_Main[[#This Row],[Số lượng]]*Table_Main[[#This Row],[Giá trị bình quân đầu ngày]])</f>
        <v>0</v>
      </c>
      <c r="V5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6" s="48">
        <f>IF(Table_Main[[#This Row],[Đơn Mua]]="", 0,IFERROR(Table_Main[[#This Row],[Tỷ suất VAT khấu trừ]]*(Table_Main[[#This Row],[Giá trị hàng nhập]]/(1+Table_Main[[#This Row],[Tỷ suất VAT khấu trừ]])),0))</f>
        <v>0</v>
      </c>
      <c r="X56" s="523" t="s">
        <v>1213</v>
      </c>
      <c r="Y56" s="28" t="str">
        <f>IFERROR(VLOOKUP(Table_Main[[#This Row],[Đơn bán]],Table_DonBan[[Mã Đơn bán]:[Add]],COUNTA(Table_DonBan[[#Headers],[Mã Đơn bán]:[Mã Khách]]),0),0)</f>
        <v>KH2</v>
      </c>
      <c r="Z56" s="48">
        <f>IF(ISBLANK(Table_Main[[#This Row],[Đơn bán]]),0,
VLOOKUP(Table_Main[[#This Row],[Mã SKU]],Table_SKU[[Mã SKU]:[Giá bán]],COUNTA(Table_SKU[[#Headers],[Mã SKU]:[Giá bán]]),0))</f>
        <v>500000</v>
      </c>
      <c r="AA56" s="48">
        <f>IF(ISBLANK(Table_Main[[#This Row],[Đơn bán]]),0,
IF(Table_Main[[#This Row],[Loại]] = "Xuất",Table_Main[[#This Row],[Giá bán niêm yết]]*Table_Main[[#This Row],[Số lượng]],-Table_Main[[#This Row],[Giá bán niêm yết]]*Table_Main[[#This Row],[Số lượng]]))</f>
        <v>15500000</v>
      </c>
      <c r="AB56" s="230"/>
      <c r="AC5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15500000</v>
      </c>
      <c r="AF56" s="48">
        <f xml:space="preserve">
IF(Table_Main[[#This Row],[Đơn bán]]="", 0,
IFERROR(
VLOOKUP(Table_Main[[#This Row],[Mã SKU]],Table_SKU[[Mã SKU]:[Tỷ suất VAT]],COUNTA(Table_SKU[[#Headers],[Mã SKU]:[Tỷ suất VAT]]),0),0)*Table_Main[[#This Row],[Giá trị bán trước VAT]])</f>
        <v>0</v>
      </c>
      <c r="AG56" s="51">
        <f>IFERROR(VLOOKUP(Table_Main[[#This Row],[Đơn bán]],Table_DonBan[[Mã Đơn bán]:[Add]],COUNTA(Table_DonBan[[#Headers],[Mã Đơn bán]:[Mã NV]]),0),0)</f>
        <v>0</v>
      </c>
      <c r="AH5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6" s="48">
        <f>IFERROR(Table_Main[[#This Row],[Giá trị bán trước VAT]]*Table_Main[[#This Row],[Tỷ lệ hoa hồng]],"")</f>
        <v>0</v>
      </c>
      <c r="AJ56" s="48">
        <f>IFERROR(VLOOKUP(Table_Main[[#This Row],[Đơn bán]],Table_DonBan[[Mã Đơn bán]:[Add]],COUNTA(Table_DonBan[[#Headers],[Mã Đơn bán]:[Kênh]]),0),0)</f>
        <v>0</v>
      </c>
      <c r="AK5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6" s="48">
        <f>IFERROR(Table_Main[[#This Row],[Giá trị bán trước VAT]]*Table_Main[[#This Row],[Tỷ lệ CK kênh]],"")</f>
        <v>0</v>
      </c>
      <c r="AM56" s="230"/>
      <c r="AN56" s="232"/>
      <c r="AO56" s="226">
        <f>Table_Main[[#This Row],[ĐK - Phân loại]]*Table_Main[[#This Row],[ĐK - Thời gian]]*Table_Main[[#This Row],[ĐK - Giá trị]]*Table_Main[[#This Row],[ĐK - Số lượng]]*Table_Main[[#This Row],[ĐK - Sinh nhật]]*Table_Main[[#This Row],[ĐK - Ngày mua cuối]]</f>
        <v>1</v>
      </c>
      <c r="AP56" s="226">
        <f xml:space="preserve">
IF(ISBLANK(Table_Main[[#This Row],[Chương trình]]),1,
IF(VLOOKUP(Table_Main[[#This Row],[Chương trình]],Table_ChuongTrinh[[Mã Chương trình]:[Đối tượng CK]],Sheet_ChuongTrinh!$C$1,0) = "Sản phẩm",1,0))</f>
        <v>1</v>
      </c>
      <c r="AQ5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7" spans="2:47" ht="18" customHeight="1" x14ac:dyDescent="0.3">
      <c r="B57" s="237"/>
      <c r="C57" s="239" t="s">
        <v>1163</v>
      </c>
      <c r="D57" s="538" t="str">
        <f>IF(ISBLANK(Table_Main[[#This Row],[Mã SKU]]),Table_Main[[#This Row],[Mã Nguyên liệu]],Table_Main[[#This Row],[Mã SKU]])</f>
        <v>NL1</v>
      </c>
      <c r="E57" s="420" cm="1">
        <f t="array" ref="E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165</v>
      </c>
      <c r="F57" s="420" cm="1">
        <f t="array" ref="F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171</v>
      </c>
      <c r="G57" s="420" cm="1">
        <f t="array" ref="G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16618566</v>
      </c>
      <c r="H57" s="420" cm="1">
        <f t="array" ref="H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17503962</v>
      </c>
      <c r="I57" s="420">
        <f>IFERROR(Table_Main[[#This Row],[Giá trị tồn đầu ngày]]/Table_Main[[#This Row],[Tồn kho đầu ngày]],0)</f>
        <v>100718.58181818182</v>
      </c>
      <c r="J57" s="420">
        <f>IFERROR(Table_Main[[#This Row],[Giá trị tồn cuối ngày]]/Table_Main[[#This Row],[Tồn kho cuối ngày]],0)</f>
        <v>102362.35087719298</v>
      </c>
      <c r="K57" s="415">
        <v>45746</v>
      </c>
      <c r="L57" s="47">
        <f xml:space="preserve">
IFERROR(
IFERROR(
VLOOKUP(Table_Main[[#This Row],[Đơn Mua]],Table_DonMua[[Mã Đơn mua]:[Add]],COUNTA(Table_DonMua[[#Headers],[Mã Đơn mua]:[Ngày lập]]),0),
VLOOKUP(Table_Main[[#This Row],[Đơn bán]],Table_DonBan[[Mã Đơn bán]:[Add]], COUNTA(Table_DonBan[[#Headers],[Mã Đơn bán]:[Ngày lập]]),0)),0)</f>
        <v>45744</v>
      </c>
      <c r="M57" s="29">
        <f>IFERROR(MONTH(Table_Main[[#This Row],[Ngày lên đơn]]),0)</f>
        <v>3</v>
      </c>
      <c r="N57" s="51">
        <f>IF(Table_Main[[#This Row],[Ngày lên đơn]]=0,"",Table_Main[[#This Row],[Ngày xuất nhập]]-Table_Main[[#This Row],[Ngày lên đơn]])</f>
        <v>2</v>
      </c>
      <c r="O57" s="230" t="s">
        <v>1164</v>
      </c>
      <c r="P57" s="230" t="s">
        <v>1165</v>
      </c>
      <c r="Q57" s="408">
        <v>6</v>
      </c>
      <c r="R57" s="523" t="s">
        <v>1177</v>
      </c>
      <c r="S57" s="537" t="str">
        <f>IFERROR(VLOOKUP(Table_Main[[#This Row],[Đơn Mua]],Table_DonMua[[Mã Đơn mua]:[Add]],COUNTA(Table_DonMua[[#Headers],[Mã Đơn mua]:[Mã Đối tác]]),0),0)</f>
        <v>NCC2</v>
      </c>
      <c r="T57" s="409">
        <v>147566</v>
      </c>
      <c r="U57" s="48">
        <f xml:space="preserve">
IF(NOT(ISBLANK(Table_Main[[#This Row],[Đơn Mua]])),Table_Main[[#This Row],[Số lượng]]*Table_Main[[#This Row],[Giá nhập]],Table_Main[[#This Row],[Số lượng]]*Table_Main[[#This Row],[Giá trị bình quân đầu ngày]])</f>
        <v>885396</v>
      </c>
      <c r="V5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7" s="48">
        <f>IF(Table_Main[[#This Row],[Đơn Mua]]="", 0,IFERROR(Table_Main[[#This Row],[Tỷ suất VAT khấu trừ]]*(Table_Main[[#This Row],[Giá trị hàng nhập]]/(1+Table_Main[[#This Row],[Tỷ suất VAT khấu trừ]])),0))</f>
        <v>0</v>
      </c>
      <c r="X57" s="523"/>
      <c r="Y57" s="28">
        <f>IFERROR(VLOOKUP(Table_Main[[#This Row],[Đơn bán]],Table_DonBan[[Mã Đơn bán]:[Add]],COUNTA(Table_DonBan[[#Headers],[Mã Đơn bán]:[Mã Khách]]),0),0)</f>
        <v>0</v>
      </c>
      <c r="Z57" s="48">
        <f>IF(ISBLANK(Table_Main[[#This Row],[Đơn bán]]),0,
VLOOKUP(Table_Main[[#This Row],[Mã SKU]],Table_SKU[[Mã SKU]:[Giá bán]],COUNTA(Table_SKU[[#Headers],[Mã SKU]:[Giá bán]]),0))</f>
        <v>0</v>
      </c>
      <c r="AA57" s="48">
        <f>IF(ISBLANK(Table_Main[[#This Row],[Đơn bán]]),0,
IF(Table_Main[[#This Row],[Loại]] = "Xuất",Table_Main[[#This Row],[Giá bán niêm yết]]*Table_Main[[#This Row],[Số lượng]],-Table_Main[[#This Row],[Giá bán niêm yết]]*Table_Main[[#This Row],[Số lượng]]))</f>
        <v>0</v>
      </c>
      <c r="AB57" s="230"/>
      <c r="AC5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7" s="48">
        <f xml:space="preserve">
IF(Table_Main[[#This Row],[Đơn bán]]="", 0,
IFERROR(
VLOOKUP(Table_Main[[#This Row],[Mã SKU]],Table_SKU[[Mã SKU]:[Tỷ suất VAT]],COUNTA(Table_SKU[[#Headers],[Mã SKU]:[Tỷ suất VAT]]),0),0)*Table_Main[[#This Row],[Giá trị bán trước VAT]])</f>
        <v>0</v>
      </c>
      <c r="AG57" s="51">
        <f>IFERROR(VLOOKUP(Table_Main[[#This Row],[Đơn bán]],Table_DonBan[[Mã Đơn bán]:[Add]],COUNTA(Table_DonBan[[#Headers],[Mã Đơn bán]:[Mã NV]]),0),0)</f>
        <v>0</v>
      </c>
      <c r="AH5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7" s="48">
        <f>IFERROR(Table_Main[[#This Row],[Giá trị bán trước VAT]]*Table_Main[[#This Row],[Tỷ lệ hoa hồng]],"")</f>
        <v>0</v>
      </c>
      <c r="AJ57" s="48">
        <f>IFERROR(VLOOKUP(Table_Main[[#This Row],[Đơn bán]],Table_DonBan[[Mã Đơn bán]:[Add]],COUNTA(Table_DonBan[[#Headers],[Mã Đơn bán]:[Kênh]]),0),0)</f>
        <v>0</v>
      </c>
      <c r="AK5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7" s="48">
        <f>IFERROR(Table_Main[[#This Row],[Giá trị bán trước VAT]]*Table_Main[[#This Row],[Tỷ lệ CK kênh]],"")</f>
        <v>0</v>
      </c>
      <c r="AM57" s="230"/>
      <c r="AN57" s="232"/>
      <c r="AO57" s="226">
        <f>Table_Main[[#This Row],[ĐK - Phân loại]]*Table_Main[[#This Row],[ĐK - Thời gian]]*Table_Main[[#This Row],[ĐK - Giá trị]]*Table_Main[[#This Row],[ĐK - Số lượng]]*Table_Main[[#This Row],[ĐK - Sinh nhật]]*Table_Main[[#This Row],[ĐK - Ngày mua cuối]]</f>
        <v>1</v>
      </c>
      <c r="AP57" s="226">
        <f xml:space="preserve">
IF(ISBLANK(Table_Main[[#This Row],[Chương trình]]),1,
IF(VLOOKUP(Table_Main[[#This Row],[Chương trình]],Table_ChuongTrinh[[Mã Chương trình]:[Đối tượng CK]],Sheet_ChuongTrinh!$C$1,0) = "Sản phẩm",1,0))</f>
        <v>1</v>
      </c>
      <c r="AQ5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8" spans="2:47" ht="18" customHeight="1" x14ac:dyDescent="0.3">
      <c r="B58" s="531" t="s">
        <v>1160</v>
      </c>
      <c r="C58" s="523"/>
      <c r="D58" s="537" t="str">
        <f>IF(ISBLANK(Table_Main[[#This Row],[Mã SKU]]),Table_Main[[#This Row],[Mã Nguyên liệu]],Table_Main[[#This Row],[Mã SKU]])</f>
        <v>TP1</v>
      </c>
      <c r="E58" s="420" cm="1">
        <f t="array" ref="E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v>
      </c>
      <c r="F58" s="420" cm="1">
        <f t="array" ref="F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8" s="420" cm="1">
        <f t="array" ref="G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8" s="420" cm="1">
        <f t="array" ref="H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8" s="420">
        <f>IFERROR(Table_Main[[#This Row],[Giá trị tồn đầu ngày]]/Table_Main[[#This Row],[Tồn kho đầu ngày]],0)</f>
        <v>0</v>
      </c>
      <c r="J58" s="420">
        <f>IFERROR(Table_Main[[#This Row],[Giá trị tồn cuối ngày]]/Table_Main[[#This Row],[Tồn kho cuối ngày]],0)</f>
        <v>0</v>
      </c>
      <c r="K58" s="415">
        <v>45743</v>
      </c>
      <c r="L58" s="47">
        <f xml:space="preserve">
IFERROR(
IFERROR(
VLOOKUP(Table_Main[[#This Row],[Đơn Mua]],Table_DonMua[[Mã Đơn mua]:[Add]],COUNTA(Table_DonMua[[#Headers],[Mã Đơn mua]:[Ngày lập]]),0),
VLOOKUP(Table_Main[[#This Row],[Đơn bán]],Table_DonBan[[Mã Đơn bán]:[Add]], COUNTA(Table_DonBan[[#Headers],[Mã Đơn bán]:[Ngày lập]]),0)),0)</f>
        <v>45743</v>
      </c>
      <c r="M58" s="29">
        <f>IFERROR(MONTH(Table_Main[[#This Row],[Ngày lên đơn]]),0)</f>
        <v>3</v>
      </c>
      <c r="N58" s="51">
        <f>IF(Table_Main[[#This Row],[Ngày lên đơn]]=0,"",Table_Main[[#This Row],[Ngày xuất nhập]]-Table_Main[[#This Row],[Ngày lên đơn]])</f>
        <v>0</v>
      </c>
      <c r="O58" s="230" t="s">
        <v>53</v>
      </c>
      <c r="P58" s="230" t="s">
        <v>1165</v>
      </c>
      <c r="Q58" s="408">
        <v>14</v>
      </c>
      <c r="R58" s="523"/>
      <c r="S58" s="537">
        <f>IFERROR(VLOOKUP(Table_Main[[#This Row],[Đơn Mua]],Table_DonMua[[Mã Đơn mua]:[Add]],COUNTA(Table_DonMua[[#Headers],[Mã Đơn mua]:[Mã Đối tác]]),0),0)</f>
        <v>0</v>
      </c>
      <c r="T58" s="409"/>
      <c r="U58" s="48">
        <f xml:space="preserve">
IF(NOT(ISBLANK(Table_Main[[#This Row],[Đơn Mua]])),Table_Main[[#This Row],[Số lượng]]*Table_Main[[#This Row],[Giá nhập]],Table_Main[[#This Row],[Số lượng]]*Table_Main[[#This Row],[Giá trị bình quân đầu ngày]])</f>
        <v>0</v>
      </c>
      <c r="V5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8" s="48">
        <f>IF(Table_Main[[#This Row],[Đơn Mua]]="", 0,IFERROR(Table_Main[[#This Row],[Tỷ suất VAT khấu trừ]]*(Table_Main[[#This Row],[Giá trị hàng nhập]]/(1+Table_Main[[#This Row],[Tỷ suất VAT khấu trừ]])),0))</f>
        <v>0</v>
      </c>
      <c r="X58" s="523" t="s">
        <v>1212</v>
      </c>
      <c r="Y58" s="28" t="str">
        <f>IFERROR(VLOOKUP(Table_Main[[#This Row],[Đơn bán]],Table_DonBan[[Mã Đơn bán]:[Add]],COUNTA(Table_DonBan[[#Headers],[Mã Đơn bán]:[Mã Khách]]),0),0)</f>
        <v>KH1</v>
      </c>
      <c r="Z58" s="48">
        <f>IF(ISBLANK(Table_Main[[#This Row],[Đơn bán]]),0,
VLOOKUP(Table_Main[[#This Row],[Mã SKU]],Table_SKU[[Mã SKU]:[Giá bán]],COUNTA(Table_SKU[[#Headers],[Mã SKU]:[Giá bán]]),0))</f>
        <v>300000</v>
      </c>
      <c r="AA58" s="48">
        <f>IF(ISBLANK(Table_Main[[#This Row],[Đơn bán]]),0,
IF(Table_Main[[#This Row],[Loại]] = "Xuất",Table_Main[[#This Row],[Giá bán niêm yết]]*Table_Main[[#This Row],[Số lượng]],-Table_Main[[#This Row],[Giá bán niêm yết]]*Table_Main[[#This Row],[Số lượng]]))</f>
        <v>4200000</v>
      </c>
      <c r="AB58" s="230"/>
      <c r="AC5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58" s="48">
        <f xml:space="preserve">
IF(Table_Main[[#This Row],[Đơn bán]]="", 0,
IFERROR(
VLOOKUP(Table_Main[[#This Row],[Mã SKU]],Table_SKU[[Mã SKU]:[Tỷ suất VAT]],COUNTA(Table_SKU[[#Headers],[Mã SKU]:[Tỷ suất VAT]]),0),0)*Table_Main[[#This Row],[Giá trị bán trước VAT]])</f>
        <v>0</v>
      </c>
      <c r="AG58" s="51">
        <f>IFERROR(VLOOKUP(Table_Main[[#This Row],[Đơn bán]],Table_DonBan[[Mã Đơn bán]:[Add]],COUNTA(Table_DonBan[[#Headers],[Mã Đơn bán]:[Mã NV]]),0),0)</f>
        <v>0</v>
      </c>
      <c r="AH5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8" s="48">
        <f>IFERROR(Table_Main[[#This Row],[Giá trị bán trước VAT]]*Table_Main[[#This Row],[Tỷ lệ hoa hồng]],"")</f>
        <v>0</v>
      </c>
      <c r="AJ58" s="48">
        <f>IFERROR(VLOOKUP(Table_Main[[#This Row],[Đơn bán]],Table_DonBan[[Mã Đơn bán]:[Add]],COUNTA(Table_DonBan[[#Headers],[Mã Đơn bán]:[Kênh]]),0),0)</f>
        <v>0</v>
      </c>
      <c r="AK5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8" s="48">
        <f>IFERROR(Table_Main[[#This Row],[Giá trị bán trước VAT]]*Table_Main[[#This Row],[Tỷ lệ CK kênh]],"")</f>
        <v>0</v>
      </c>
      <c r="AM58" s="230"/>
      <c r="AN58" s="232"/>
      <c r="AO58" s="226">
        <f>Table_Main[[#This Row],[ĐK - Phân loại]]*Table_Main[[#This Row],[ĐK - Thời gian]]*Table_Main[[#This Row],[ĐK - Giá trị]]*Table_Main[[#This Row],[ĐK - Số lượng]]*Table_Main[[#This Row],[ĐK - Sinh nhật]]*Table_Main[[#This Row],[ĐK - Ngày mua cuối]]</f>
        <v>1</v>
      </c>
      <c r="AP58" s="226">
        <f xml:space="preserve">
IF(ISBLANK(Table_Main[[#This Row],[Chương trình]]),1,
IF(VLOOKUP(Table_Main[[#This Row],[Chương trình]],Table_ChuongTrinh[[Mã Chương trình]:[Đối tượng CK]],Sheet_ChuongTrinh!$C$1,0) = "Sản phẩm",1,0))</f>
        <v>1</v>
      </c>
      <c r="AQ5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9" spans="2:47" ht="18" customHeight="1" x14ac:dyDescent="0.3">
      <c r="B59" s="531" t="s">
        <v>1160</v>
      </c>
      <c r="C59" s="523"/>
      <c r="D59" s="537" t="str">
        <f>IF(ISBLANK(Table_Main[[#This Row],[Mã SKU]]),Table_Main[[#This Row],[Mã Nguyên liệu]],Table_Main[[#This Row],[Mã SKU]])</f>
        <v>TP1</v>
      </c>
      <c r="E59" s="420" cm="1">
        <f t="array" ref="E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91</v>
      </c>
      <c r="F59" s="420" cm="1">
        <f t="array" ref="F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v>
      </c>
      <c r="G59" s="420" cm="1">
        <f t="array" ref="G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9" s="420" cm="1">
        <f t="array" ref="H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9" s="420">
        <f>IFERROR(Table_Main[[#This Row],[Giá trị tồn đầu ngày]]/Table_Main[[#This Row],[Tồn kho đầu ngày]],0)</f>
        <v>0</v>
      </c>
      <c r="J59" s="420">
        <f>IFERROR(Table_Main[[#This Row],[Giá trị tồn cuối ngày]]/Table_Main[[#This Row],[Tồn kho cuối ngày]],0)</f>
        <v>0</v>
      </c>
      <c r="K59" s="415">
        <v>45742</v>
      </c>
      <c r="L5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9" s="29">
        <f>IFERROR(MONTH(Table_Main[[#This Row],[Ngày lên đơn]]),0)</f>
        <v>1</v>
      </c>
      <c r="N59" s="51" t="str">
        <f>IF(Table_Main[[#This Row],[Ngày lên đơn]]=0,"",Table_Main[[#This Row],[Ngày xuất nhập]]-Table_Main[[#This Row],[Ngày lên đơn]])</f>
        <v/>
      </c>
      <c r="O59" s="230" t="s">
        <v>1164</v>
      </c>
      <c r="P59" s="230" t="s">
        <v>1165</v>
      </c>
      <c r="Q59" s="408">
        <v>29</v>
      </c>
      <c r="R59" s="523"/>
      <c r="S59" s="537">
        <f>IFERROR(VLOOKUP(Table_Main[[#This Row],[Đơn Mua]],Table_DonMua[[Mã Đơn mua]:[Add]],COUNTA(Table_DonMua[[#Headers],[Mã Đơn mua]:[Mã Đối tác]]),0),0)</f>
        <v>0</v>
      </c>
      <c r="T59" s="409"/>
      <c r="U59" s="48">
        <f xml:space="preserve">
IF(NOT(ISBLANK(Table_Main[[#This Row],[Đơn Mua]])),Table_Main[[#This Row],[Số lượng]]*Table_Main[[#This Row],[Giá nhập]],Table_Main[[#This Row],[Số lượng]]*Table_Main[[#This Row],[Giá trị bình quân đầu ngày]])</f>
        <v>0</v>
      </c>
      <c r="V5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9" s="48">
        <f>IF(Table_Main[[#This Row],[Đơn Mua]]="", 0,IFERROR(Table_Main[[#This Row],[Tỷ suất VAT khấu trừ]]*(Table_Main[[#This Row],[Giá trị hàng nhập]]/(1+Table_Main[[#This Row],[Tỷ suất VAT khấu trừ]])),0))</f>
        <v>0</v>
      </c>
      <c r="X59" s="523"/>
      <c r="Y59" s="28">
        <f>IFERROR(VLOOKUP(Table_Main[[#This Row],[Đơn bán]],Table_DonBan[[Mã Đơn bán]:[Add]],COUNTA(Table_DonBan[[#Headers],[Mã Đơn bán]:[Mã Khách]]),0),0)</f>
        <v>0</v>
      </c>
      <c r="Z59" s="48">
        <f>IF(ISBLANK(Table_Main[[#This Row],[Đơn bán]]),0,
VLOOKUP(Table_Main[[#This Row],[Mã SKU]],Table_SKU[[Mã SKU]:[Giá bán]],COUNTA(Table_SKU[[#Headers],[Mã SKU]:[Giá bán]]),0))</f>
        <v>0</v>
      </c>
      <c r="AA59" s="48">
        <f>IF(ISBLANK(Table_Main[[#This Row],[Đơn bán]]),0,
IF(Table_Main[[#This Row],[Loại]] = "Xuất",Table_Main[[#This Row],[Giá bán niêm yết]]*Table_Main[[#This Row],[Số lượng]],-Table_Main[[#This Row],[Giá bán niêm yết]]*Table_Main[[#This Row],[Số lượng]]))</f>
        <v>0</v>
      </c>
      <c r="AB59" s="230"/>
      <c r="AC5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9" s="48">
        <f xml:space="preserve">
IF(Table_Main[[#This Row],[Đơn bán]]="", 0,
IFERROR(
VLOOKUP(Table_Main[[#This Row],[Mã SKU]],Table_SKU[[Mã SKU]:[Tỷ suất VAT]],COUNTA(Table_SKU[[#Headers],[Mã SKU]:[Tỷ suất VAT]]),0),0)*Table_Main[[#This Row],[Giá trị bán trước VAT]])</f>
        <v>0</v>
      </c>
      <c r="AG59" s="51">
        <f>IFERROR(VLOOKUP(Table_Main[[#This Row],[Đơn bán]],Table_DonBan[[Mã Đơn bán]:[Add]],COUNTA(Table_DonBan[[#Headers],[Mã Đơn bán]:[Mã NV]]),0),0)</f>
        <v>0</v>
      </c>
      <c r="AH5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9" s="48">
        <f>IFERROR(Table_Main[[#This Row],[Giá trị bán trước VAT]]*Table_Main[[#This Row],[Tỷ lệ hoa hồng]],"")</f>
        <v>0</v>
      </c>
      <c r="AJ59" s="48">
        <f>IFERROR(VLOOKUP(Table_Main[[#This Row],[Đơn bán]],Table_DonBan[[Mã Đơn bán]:[Add]],COUNTA(Table_DonBan[[#Headers],[Mã Đơn bán]:[Kênh]]),0),0)</f>
        <v>0</v>
      </c>
      <c r="AK5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9" s="48">
        <f>IFERROR(Table_Main[[#This Row],[Giá trị bán trước VAT]]*Table_Main[[#This Row],[Tỷ lệ CK kênh]],"")</f>
        <v>0</v>
      </c>
      <c r="AM59" s="230"/>
      <c r="AN59" s="232"/>
      <c r="AO59" s="226">
        <f>Table_Main[[#This Row],[ĐK - Phân loại]]*Table_Main[[#This Row],[ĐK - Thời gian]]*Table_Main[[#This Row],[ĐK - Giá trị]]*Table_Main[[#This Row],[ĐK - Số lượng]]*Table_Main[[#This Row],[ĐK - Sinh nhật]]*Table_Main[[#This Row],[ĐK - Ngày mua cuối]]</f>
        <v>1</v>
      </c>
      <c r="AP59" s="226">
        <f xml:space="preserve">
IF(ISBLANK(Table_Main[[#This Row],[Chương trình]]),1,
IF(VLOOKUP(Table_Main[[#This Row],[Chương trình]],Table_ChuongTrinh[[Mã Chương trình]:[Đối tượng CK]],Sheet_ChuongTrinh!$C$1,0) = "Sản phẩm",1,0))</f>
        <v>1</v>
      </c>
      <c r="AQ5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0" spans="2:47" ht="18" customHeight="1" x14ac:dyDescent="0.3">
      <c r="B60" s="531" t="s">
        <v>1161</v>
      </c>
      <c r="C60" s="523"/>
      <c r="D60" s="537" t="str">
        <f>IF(ISBLANK(Table_Main[[#This Row],[Mã SKU]]),Table_Main[[#This Row],[Mã Nguyên liệu]],Table_Main[[#This Row],[Mã SKU]])</f>
        <v>TP2</v>
      </c>
      <c r="E60" s="420" cm="1">
        <f t="array" ref="E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v>
      </c>
      <c r="F60" s="420" cm="1">
        <f t="array" ref="F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0" s="420" cm="1">
        <f t="array" ref="G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0" s="420" cm="1">
        <f t="array" ref="H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0" s="420">
        <f>IFERROR(Table_Main[[#This Row],[Giá trị tồn đầu ngày]]/Table_Main[[#This Row],[Tồn kho đầu ngày]],0)</f>
        <v>0</v>
      </c>
      <c r="J60" s="420">
        <f>IFERROR(Table_Main[[#This Row],[Giá trị tồn cuối ngày]]/Table_Main[[#This Row],[Tồn kho cuối ngày]],0)</f>
        <v>0</v>
      </c>
      <c r="K60" s="415">
        <v>45742</v>
      </c>
      <c r="L6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0" s="29">
        <f>IFERROR(MONTH(Table_Main[[#This Row],[Ngày lên đơn]]),0)</f>
        <v>1</v>
      </c>
      <c r="N60" s="51" t="str">
        <f>IF(Table_Main[[#This Row],[Ngày lên đơn]]=0,"",Table_Main[[#This Row],[Ngày xuất nhập]]-Table_Main[[#This Row],[Ngày lên đơn]])</f>
        <v/>
      </c>
      <c r="O60" s="230" t="s">
        <v>1164</v>
      </c>
      <c r="P60" s="230" t="s">
        <v>1165</v>
      </c>
      <c r="Q60" s="408">
        <v>38</v>
      </c>
      <c r="R60" s="523"/>
      <c r="S60" s="537">
        <f>IFERROR(VLOOKUP(Table_Main[[#This Row],[Đơn Mua]],Table_DonMua[[Mã Đơn mua]:[Add]],COUNTA(Table_DonMua[[#Headers],[Mã Đơn mua]:[Mã Đối tác]]),0),0)</f>
        <v>0</v>
      </c>
      <c r="T60" s="409"/>
      <c r="U60" s="48">
        <f xml:space="preserve">
IF(NOT(ISBLANK(Table_Main[[#This Row],[Đơn Mua]])),Table_Main[[#This Row],[Số lượng]]*Table_Main[[#This Row],[Giá nhập]],Table_Main[[#This Row],[Số lượng]]*Table_Main[[#This Row],[Giá trị bình quân đầu ngày]])</f>
        <v>0</v>
      </c>
      <c r="V6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0" s="48">
        <f>IF(Table_Main[[#This Row],[Đơn Mua]]="", 0,IFERROR(Table_Main[[#This Row],[Tỷ suất VAT khấu trừ]]*(Table_Main[[#This Row],[Giá trị hàng nhập]]/(1+Table_Main[[#This Row],[Tỷ suất VAT khấu trừ]])),0))</f>
        <v>0</v>
      </c>
      <c r="X60" s="523"/>
      <c r="Y60" s="28">
        <f>IFERROR(VLOOKUP(Table_Main[[#This Row],[Đơn bán]],Table_DonBan[[Mã Đơn bán]:[Add]],COUNTA(Table_DonBan[[#Headers],[Mã Đơn bán]:[Mã Khách]]),0),0)</f>
        <v>0</v>
      </c>
      <c r="Z60" s="48">
        <f>IF(ISBLANK(Table_Main[[#This Row],[Đơn bán]]),0,
VLOOKUP(Table_Main[[#This Row],[Mã SKU]],Table_SKU[[Mã SKU]:[Giá bán]],COUNTA(Table_SKU[[#Headers],[Mã SKU]:[Giá bán]]),0))</f>
        <v>0</v>
      </c>
      <c r="AA60" s="48">
        <f>IF(ISBLANK(Table_Main[[#This Row],[Đơn bán]]),0,
IF(Table_Main[[#This Row],[Loại]] = "Xuất",Table_Main[[#This Row],[Giá bán niêm yết]]*Table_Main[[#This Row],[Số lượng]],-Table_Main[[#This Row],[Giá bán niêm yết]]*Table_Main[[#This Row],[Số lượng]]))</f>
        <v>0</v>
      </c>
      <c r="AB60" s="230"/>
      <c r="AC6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0" s="48">
        <f xml:space="preserve">
IF(Table_Main[[#This Row],[Đơn bán]]="", 0,
IFERROR(
VLOOKUP(Table_Main[[#This Row],[Mã SKU]],Table_SKU[[Mã SKU]:[Tỷ suất VAT]],COUNTA(Table_SKU[[#Headers],[Mã SKU]:[Tỷ suất VAT]]),0),0)*Table_Main[[#This Row],[Giá trị bán trước VAT]])</f>
        <v>0</v>
      </c>
      <c r="AG60" s="51">
        <f>IFERROR(VLOOKUP(Table_Main[[#This Row],[Đơn bán]],Table_DonBan[[Mã Đơn bán]:[Add]],COUNTA(Table_DonBan[[#Headers],[Mã Đơn bán]:[Mã NV]]),0),0)</f>
        <v>0</v>
      </c>
      <c r="AH6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0" s="48">
        <f>IFERROR(Table_Main[[#This Row],[Giá trị bán trước VAT]]*Table_Main[[#This Row],[Tỷ lệ hoa hồng]],"")</f>
        <v>0</v>
      </c>
      <c r="AJ60" s="48">
        <f>IFERROR(VLOOKUP(Table_Main[[#This Row],[Đơn bán]],Table_DonBan[[Mã Đơn bán]:[Add]],COUNTA(Table_DonBan[[#Headers],[Mã Đơn bán]:[Kênh]]),0),0)</f>
        <v>0</v>
      </c>
      <c r="AK6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0" s="48">
        <f>IFERROR(Table_Main[[#This Row],[Giá trị bán trước VAT]]*Table_Main[[#This Row],[Tỷ lệ CK kênh]],"")</f>
        <v>0</v>
      </c>
      <c r="AM60" s="230"/>
      <c r="AN60" s="232"/>
      <c r="AO60" s="226">
        <f>Table_Main[[#This Row],[ĐK - Phân loại]]*Table_Main[[#This Row],[ĐK - Thời gian]]*Table_Main[[#This Row],[ĐK - Giá trị]]*Table_Main[[#This Row],[ĐK - Số lượng]]*Table_Main[[#This Row],[ĐK - Sinh nhật]]*Table_Main[[#This Row],[ĐK - Ngày mua cuối]]</f>
        <v>1</v>
      </c>
      <c r="AP60" s="226">
        <f xml:space="preserve">
IF(ISBLANK(Table_Main[[#This Row],[Chương trình]]),1,
IF(VLOOKUP(Table_Main[[#This Row],[Chương trình]],Table_ChuongTrinh[[Mã Chương trình]:[Đối tượng CK]],Sheet_ChuongTrinh!$C$1,0) = "Sản phẩm",1,0))</f>
        <v>1</v>
      </c>
      <c r="AQ6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1" spans="2:47" ht="18" customHeight="1" x14ac:dyDescent="0.3">
      <c r="B61" s="531" t="s">
        <v>1159</v>
      </c>
      <c r="C61" s="523"/>
      <c r="D61" s="537" t="str">
        <f>IF(ISBLANK(Table_Main[[#This Row],[Mã SKU]]),Table_Main[[#This Row],[Mã Nguyên liệu]],Table_Main[[#This Row],[Mã SKU]])</f>
        <v>HH1</v>
      </c>
      <c r="E61" s="420" cm="1">
        <f t="array" ref="E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133</v>
      </c>
      <c r="F61" s="420" cm="1">
        <f t="array" ref="F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61" s="420" cm="1">
        <f t="array" ref="G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11987649.298507463</v>
      </c>
      <c r="H61" s="420" cm="1">
        <f t="array" ref="H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9283668.2537313439</v>
      </c>
      <c r="I61" s="420">
        <f>IFERROR(Table_Main[[#This Row],[Giá trị tồn đầu ngày]]/Table_Main[[#This Row],[Tồn kho đầu ngày]],0)</f>
        <v>90132.701492537322</v>
      </c>
      <c r="J61" s="420">
        <f>IFERROR(Table_Main[[#This Row],[Giá trị tồn cuối ngày]]/Table_Main[[#This Row],[Tồn kho cuối ngày]],0)</f>
        <v>90132.701492537322</v>
      </c>
      <c r="K61" s="415">
        <v>45741</v>
      </c>
      <c r="L61" s="47">
        <f xml:space="preserve">
IFERROR(
IFERROR(
VLOOKUP(Table_Main[[#This Row],[Đơn Mua]],Table_DonMua[[Mã Đơn mua]:[Add]],COUNTA(Table_DonMua[[#Headers],[Mã Đơn mua]:[Ngày lập]]),0),
VLOOKUP(Table_Main[[#This Row],[Đơn bán]],Table_DonBan[[Mã Đơn bán]:[Add]], COUNTA(Table_DonBan[[#Headers],[Mã Đơn bán]:[Ngày lập]]),0)),0)</f>
        <v>45741</v>
      </c>
      <c r="M61" s="29">
        <f>IFERROR(MONTH(Table_Main[[#This Row],[Ngày lên đơn]]),0)</f>
        <v>3</v>
      </c>
      <c r="N61" s="51">
        <f>IF(Table_Main[[#This Row],[Ngày lên đơn]]=0,"",Table_Main[[#This Row],[Ngày xuất nhập]]-Table_Main[[#This Row],[Ngày lên đơn]])</f>
        <v>0</v>
      </c>
      <c r="O61" s="230" t="s">
        <v>53</v>
      </c>
      <c r="P61" s="230" t="s">
        <v>1165</v>
      </c>
      <c r="Q61" s="408">
        <v>30</v>
      </c>
      <c r="R61" s="523"/>
      <c r="S61" s="537">
        <f>IFERROR(VLOOKUP(Table_Main[[#This Row],[Đơn Mua]],Table_DonMua[[Mã Đơn mua]:[Add]],COUNTA(Table_DonMua[[#Headers],[Mã Đơn mua]:[Mã Đối tác]]),0),0)</f>
        <v>0</v>
      </c>
      <c r="T61" s="409"/>
      <c r="U61" s="48">
        <f xml:space="preserve">
IF(NOT(ISBLANK(Table_Main[[#This Row],[Đơn Mua]])),Table_Main[[#This Row],[Số lượng]]*Table_Main[[#This Row],[Giá nhập]],Table_Main[[#This Row],[Số lượng]]*Table_Main[[#This Row],[Giá trị bình quân đầu ngày]])</f>
        <v>2703981.0447761198</v>
      </c>
      <c r="V6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1" s="48">
        <f>IF(Table_Main[[#This Row],[Đơn Mua]]="", 0,IFERROR(Table_Main[[#This Row],[Tỷ suất VAT khấu trừ]]*(Table_Main[[#This Row],[Giá trị hàng nhập]]/(1+Table_Main[[#This Row],[Tỷ suất VAT khấu trừ]])),0))</f>
        <v>0</v>
      </c>
      <c r="X61" s="523" t="s">
        <v>1211</v>
      </c>
      <c r="Y61" s="28" t="str">
        <f>IFERROR(VLOOKUP(Table_Main[[#This Row],[Đơn bán]],Table_DonBan[[Mã Đơn bán]:[Add]],COUNTA(Table_DonBan[[#Headers],[Mã Đơn bán]:[Mã Khách]]),0),0)</f>
        <v>KH3</v>
      </c>
      <c r="Z61" s="48">
        <f>IF(ISBLANK(Table_Main[[#This Row],[Đơn bán]]),0,
VLOOKUP(Table_Main[[#This Row],[Mã SKU]],Table_SKU[[Mã SKU]:[Giá bán]],COUNTA(Table_SKU[[#Headers],[Mã SKU]:[Giá bán]]),0))</f>
        <v>100000</v>
      </c>
      <c r="AA61" s="48">
        <f>IF(ISBLANK(Table_Main[[#This Row],[Đơn bán]]),0,
IF(Table_Main[[#This Row],[Loại]] = "Xuất",Table_Main[[#This Row],[Giá bán niêm yết]]*Table_Main[[#This Row],[Số lượng]],-Table_Main[[#This Row],[Giá bán niêm yết]]*Table_Main[[#This Row],[Số lượng]]))</f>
        <v>3000000</v>
      </c>
      <c r="AB61" s="230"/>
      <c r="AC6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3000000</v>
      </c>
      <c r="AF61" s="48">
        <f xml:space="preserve">
IF(Table_Main[[#This Row],[Đơn bán]]="", 0,
IFERROR(
VLOOKUP(Table_Main[[#This Row],[Mã SKU]],Table_SKU[[Mã SKU]:[Tỷ suất VAT]],COUNTA(Table_SKU[[#Headers],[Mã SKU]:[Tỷ suất VAT]]),0),0)*Table_Main[[#This Row],[Giá trị bán trước VAT]])</f>
        <v>0</v>
      </c>
      <c r="AG61" s="51">
        <f>IFERROR(VLOOKUP(Table_Main[[#This Row],[Đơn bán]],Table_DonBan[[Mã Đơn bán]:[Add]],COUNTA(Table_DonBan[[#Headers],[Mã Đơn bán]:[Mã NV]]),0),0)</f>
        <v>0</v>
      </c>
      <c r="AH6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1" s="48">
        <f>IFERROR(Table_Main[[#This Row],[Giá trị bán trước VAT]]*Table_Main[[#This Row],[Tỷ lệ hoa hồng]],"")</f>
        <v>0</v>
      </c>
      <c r="AJ61" s="48">
        <f>IFERROR(VLOOKUP(Table_Main[[#This Row],[Đơn bán]],Table_DonBan[[Mã Đơn bán]:[Add]],COUNTA(Table_DonBan[[#Headers],[Mã Đơn bán]:[Kênh]]),0),0)</f>
        <v>0</v>
      </c>
      <c r="AK6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1" s="48">
        <f>IFERROR(Table_Main[[#This Row],[Giá trị bán trước VAT]]*Table_Main[[#This Row],[Tỷ lệ CK kênh]],"")</f>
        <v>0</v>
      </c>
      <c r="AM61" s="230"/>
      <c r="AN61" s="232"/>
      <c r="AO61" s="226">
        <f>Table_Main[[#This Row],[ĐK - Phân loại]]*Table_Main[[#This Row],[ĐK - Thời gian]]*Table_Main[[#This Row],[ĐK - Giá trị]]*Table_Main[[#This Row],[ĐK - Số lượng]]*Table_Main[[#This Row],[ĐK - Sinh nhật]]*Table_Main[[#This Row],[ĐK - Ngày mua cuối]]</f>
        <v>1</v>
      </c>
      <c r="AP61" s="226">
        <f xml:space="preserve">
IF(ISBLANK(Table_Main[[#This Row],[Chương trình]]),1,
IF(VLOOKUP(Table_Main[[#This Row],[Chương trình]],Table_ChuongTrinh[[Mã Chương trình]:[Đối tượng CK]],Sheet_ChuongTrinh!$C$1,0) = "Sản phẩm",1,0))</f>
        <v>1</v>
      </c>
      <c r="AQ6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2" spans="2:47" ht="18" customHeight="1" x14ac:dyDescent="0.3">
      <c r="B62" s="237"/>
      <c r="C62" s="239" t="s">
        <v>1162</v>
      </c>
      <c r="D62" s="538" t="str">
        <f>IF(ISBLANK(Table_Main[[#This Row],[Mã SKU]]),Table_Main[[#This Row],[Mã Nguyên liệu]],Table_Main[[#This Row],[Mã SKU]])</f>
        <v>NL2</v>
      </c>
      <c r="E62" s="420" cm="1">
        <f t="array" ref="E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62" s="420" cm="1">
        <f t="array" ref="F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138</v>
      </c>
      <c r="G62" s="420" cm="1">
        <f t="array" ref="G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18536292</v>
      </c>
      <c r="H62" s="420" cm="1">
        <f t="array" ref="H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19326564</v>
      </c>
      <c r="I62" s="420">
        <f>IFERROR(Table_Main[[#This Row],[Giá trị tồn đầu ngày]]/Table_Main[[#This Row],[Tồn kho đầu ngày]],0)</f>
        <v>142586.86153846153</v>
      </c>
      <c r="J62" s="420">
        <f>IFERROR(Table_Main[[#This Row],[Giá trị tồn cuối ngày]]/Table_Main[[#This Row],[Tồn kho cuối ngày]],0)</f>
        <v>140047.5652173913</v>
      </c>
      <c r="K62" s="415">
        <v>45737</v>
      </c>
      <c r="L62" s="47">
        <f xml:space="preserve">
IFERROR(
IFERROR(
VLOOKUP(Table_Main[[#This Row],[Đơn Mua]],Table_DonMua[[Mã Đơn mua]:[Add]],COUNTA(Table_DonMua[[#Headers],[Mã Đơn mua]:[Ngày lập]]),0),
VLOOKUP(Table_Main[[#This Row],[Đơn bán]],Table_DonBan[[Mã Đơn bán]:[Add]], COUNTA(Table_DonBan[[#Headers],[Mã Đơn bán]:[Ngày lập]]),0)),0)</f>
        <v>45737</v>
      </c>
      <c r="M62" s="29">
        <f>IFERROR(MONTH(Table_Main[[#This Row],[Ngày lên đơn]]),0)</f>
        <v>3</v>
      </c>
      <c r="N62" s="51">
        <f>IF(Table_Main[[#This Row],[Ngày lên đơn]]=0,"",Table_Main[[#This Row],[Ngày xuất nhập]]-Table_Main[[#This Row],[Ngày lên đơn]])</f>
        <v>0</v>
      </c>
      <c r="O62" s="230" t="s">
        <v>1164</v>
      </c>
      <c r="P62" s="230" t="s">
        <v>1165</v>
      </c>
      <c r="Q62" s="408">
        <v>8</v>
      </c>
      <c r="R62" s="523" t="s">
        <v>1176</v>
      </c>
      <c r="S62" s="537" t="str">
        <f>IFERROR(VLOOKUP(Table_Main[[#This Row],[Đơn Mua]],Table_DonMua[[Mã Đơn mua]:[Add]],COUNTA(Table_DonMua[[#Headers],[Mã Đơn mua]:[Mã Đối tác]]),0),0)</f>
        <v>NCC1</v>
      </c>
      <c r="T62" s="409">
        <v>98784</v>
      </c>
      <c r="U62" s="48">
        <f xml:space="preserve">
IF(NOT(ISBLANK(Table_Main[[#This Row],[Đơn Mua]])),Table_Main[[#This Row],[Số lượng]]*Table_Main[[#This Row],[Giá nhập]],Table_Main[[#This Row],[Số lượng]]*Table_Main[[#This Row],[Giá trị bình quân đầu ngày]])</f>
        <v>790272</v>
      </c>
      <c r="V6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2" s="48">
        <f>IF(Table_Main[[#This Row],[Đơn Mua]]="", 0,IFERROR(Table_Main[[#This Row],[Tỷ suất VAT khấu trừ]]*(Table_Main[[#This Row],[Giá trị hàng nhập]]/(1+Table_Main[[#This Row],[Tỷ suất VAT khấu trừ]])),0))</f>
        <v>0</v>
      </c>
      <c r="X62" s="523"/>
      <c r="Y62" s="28">
        <f>IFERROR(VLOOKUP(Table_Main[[#This Row],[Đơn bán]],Table_DonBan[[Mã Đơn bán]:[Add]],COUNTA(Table_DonBan[[#Headers],[Mã Đơn bán]:[Mã Khách]]),0),0)</f>
        <v>0</v>
      </c>
      <c r="Z62" s="48">
        <f>IF(ISBLANK(Table_Main[[#This Row],[Đơn bán]]),0,
VLOOKUP(Table_Main[[#This Row],[Mã SKU]],Table_SKU[[Mã SKU]:[Giá bán]],COUNTA(Table_SKU[[#Headers],[Mã SKU]:[Giá bán]]),0))</f>
        <v>0</v>
      </c>
      <c r="AA62" s="48">
        <f>IF(ISBLANK(Table_Main[[#This Row],[Đơn bán]]),0,
IF(Table_Main[[#This Row],[Loại]] = "Xuất",Table_Main[[#This Row],[Giá bán niêm yết]]*Table_Main[[#This Row],[Số lượng]],-Table_Main[[#This Row],[Giá bán niêm yết]]*Table_Main[[#This Row],[Số lượng]]))</f>
        <v>0</v>
      </c>
      <c r="AB62" s="230"/>
      <c r="AC6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2" s="48">
        <f xml:space="preserve">
IF(Table_Main[[#This Row],[Đơn bán]]="", 0,
IFERROR(
VLOOKUP(Table_Main[[#This Row],[Mã SKU]],Table_SKU[[Mã SKU]:[Tỷ suất VAT]],COUNTA(Table_SKU[[#Headers],[Mã SKU]:[Tỷ suất VAT]]),0),0)*Table_Main[[#This Row],[Giá trị bán trước VAT]])</f>
        <v>0</v>
      </c>
      <c r="AG62" s="51">
        <f>IFERROR(VLOOKUP(Table_Main[[#This Row],[Đơn bán]],Table_DonBan[[Mã Đơn bán]:[Add]],COUNTA(Table_DonBan[[#Headers],[Mã Đơn bán]:[Mã NV]]),0),0)</f>
        <v>0</v>
      </c>
      <c r="AH6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2" s="48">
        <f>IFERROR(Table_Main[[#This Row],[Giá trị bán trước VAT]]*Table_Main[[#This Row],[Tỷ lệ hoa hồng]],"")</f>
        <v>0</v>
      </c>
      <c r="AJ62" s="48">
        <f>IFERROR(VLOOKUP(Table_Main[[#This Row],[Đơn bán]],Table_DonBan[[Mã Đơn bán]:[Add]],COUNTA(Table_DonBan[[#Headers],[Mã Đơn bán]:[Kênh]]),0),0)</f>
        <v>0</v>
      </c>
      <c r="AK6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2" s="48">
        <f>IFERROR(Table_Main[[#This Row],[Giá trị bán trước VAT]]*Table_Main[[#This Row],[Tỷ lệ CK kênh]],"")</f>
        <v>0</v>
      </c>
      <c r="AM62" s="230"/>
      <c r="AN62" s="232"/>
      <c r="AO62" s="226">
        <f>Table_Main[[#This Row],[ĐK - Phân loại]]*Table_Main[[#This Row],[ĐK - Thời gian]]*Table_Main[[#This Row],[ĐK - Giá trị]]*Table_Main[[#This Row],[ĐK - Số lượng]]*Table_Main[[#This Row],[ĐK - Sinh nhật]]*Table_Main[[#This Row],[ĐK - Ngày mua cuối]]</f>
        <v>1</v>
      </c>
      <c r="AP62" s="226">
        <f xml:space="preserve">
IF(ISBLANK(Table_Main[[#This Row],[Chương trình]]),1,
IF(VLOOKUP(Table_Main[[#This Row],[Chương trình]],Table_ChuongTrinh[[Mã Chương trình]:[Đối tượng CK]],Sheet_ChuongTrinh!$C$1,0) = "Sản phẩm",1,0))</f>
        <v>1</v>
      </c>
      <c r="AQ6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3" spans="2:47" ht="18" customHeight="1" x14ac:dyDescent="0.3">
      <c r="B63" s="531" t="s">
        <v>1159</v>
      </c>
      <c r="C63" s="523"/>
      <c r="D63" s="537" t="str">
        <f>IF(ISBLANK(Table_Main[[#This Row],[Mã SKU]]),Table_Main[[#This Row],[Mã Nguyên liệu]],Table_Main[[#This Row],[Mã SKU]])</f>
        <v>HH1</v>
      </c>
      <c r="E63" s="420" cm="1">
        <f t="array" ref="E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134</v>
      </c>
      <c r="F63" s="420" cm="1">
        <f t="array" ref="F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133</v>
      </c>
      <c r="G63" s="420" cm="1">
        <f t="array" ref="G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12077782</v>
      </c>
      <c r="H63" s="420" cm="1">
        <f t="array" ref="H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11987649.298507463</v>
      </c>
      <c r="I63" s="420">
        <f>IFERROR(Table_Main[[#This Row],[Giá trị tồn đầu ngày]]/Table_Main[[#This Row],[Tồn kho đầu ngày]],0)</f>
        <v>90132.701492537308</v>
      </c>
      <c r="J63" s="420">
        <f>IFERROR(Table_Main[[#This Row],[Giá trị tồn cuối ngày]]/Table_Main[[#This Row],[Tồn kho cuối ngày]],0)</f>
        <v>90132.701492537322</v>
      </c>
      <c r="K63" s="415">
        <v>45736</v>
      </c>
      <c r="L63" s="47">
        <f xml:space="preserve">
IFERROR(
IFERROR(
VLOOKUP(Table_Main[[#This Row],[Đơn Mua]],Table_DonMua[[Mã Đơn mua]:[Add]],COUNTA(Table_DonMua[[#Headers],[Mã Đơn mua]:[Ngày lập]]),0),
VLOOKUP(Table_Main[[#This Row],[Đơn bán]],Table_DonBan[[Mã Đơn bán]:[Add]], COUNTA(Table_DonBan[[#Headers],[Mã Đơn bán]:[Ngày lập]]),0)),0)</f>
        <v>45736</v>
      </c>
      <c r="M63" s="29">
        <f>IFERROR(MONTH(Table_Main[[#This Row],[Ngày lên đơn]]),0)</f>
        <v>3</v>
      </c>
      <c r="N63" s="51">
        <f>IF(Table_Main[[#This Row],[Ngày lên đơn]]=0,"",Table_Main[[#This Row],[Ngày xuất nhập]]-Table_Main[[#This Row],[Ngày lên đơn]])</f>
        <v>0</v>
      </c>
      <c r="O63" s="230" t="s">
        <v>53</v>
      </c>
      <c r="P63" s="230" t="s">
        <v>1165</v>
      </c>
      <c r="Q63" s="408">
        <v>1</v>
      </c>
      <c r="R63" s="523"/>
      <c r="S63" s="537">
        <f>IFERROR(VLOOKUP(Table_Main[[#This Row],[Đơn Mua]],Table_DonMua[[Mã Đơn mua]:[Add]],COUNTA(Table_DonMua[[#Headers],[Mã Đơn mua]:[Mã Đối tác]]),0),0)</f>
        <v>0</v>
      </c>
      <c r="T63" s="409"/>
      <c r="U63" s="48">
        <f xml:space="preserve">
IF(NOT(ISBLANK(Table_Main[[#This Row],[Đơn Mua]])),Table_Main[[#This Row],[Số lượng]]*Table_Main[[#This Row],[Giá nhập]],Table_Main[[#This Row],[Số lượng]]*Table_Main[[#This Row],[Giá trị bình quân đầu ngày]])</f>
        <v>90132.701492537308</v>
      </c>
      <c r="V6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3" s="48">
        <f>IF(Table_Main[[#This Row],[Đơn Mua]]="", 0,IFERROR(Table_Main[[#This Row],[Tỷ suất VAT khấu trừ]]*(Table_Main[[#This Row],[Giá trị hàng nhập]]/(1+Table_Main[[#This Row],[Tỷ suất VAT khấu trừ]])),0))</f>
        <v>0</v>
      </c>
      <c r="X63" s="523" t="s">
        <v>1210</v>
      </c>
      <c r="Y63" s="28" t="str">
        <f>IFERROR(VLOOKUP(Table_Main[[#This Row],[Đơn bán]],Table_DonBan[[Mã Đơn bán]:[Add]],COUNTA(Table_DonBan[[#Headers],[Mã Đơn bán]:[Mã Khách]]),0),0)</f>
        <v>KH1</v>
      </c>
      <c r="Z63" s="48">
        <f>IF(ISBLANK(Table_Main[[#This Row],[Đơn bán]]),0,
VLOOKUP(Table_Main[[#This Row],[Mã SKU]],Table_SKU[[Mã SKU]:[Giá bán]],COUNTA(Table_SKU[[#Headers],[Mã SKU]:[Giá bán]]),0))</f>
        <v>100000</v>
      </c>
      <c r="AA63" s="48">
        <f>IF(ISBLANK(Table_Main[[#This Row],[Đơn bán]]),0,
IF(Table_Main[[#This Row],[Loại]] = "Xuất",Table_Main[[#This Row],[Giá bán niêm yết]]*Table_Main[[#This Row],[Số lượng]],-Table_Main[[#This Row],[Giá bán niêm yết]]*Table_Main[[#This Row],[Số lượng]]))</f>
        <v>100000</v>
      </c>
      <c r="AB63" s="230"/>
      <c r="AC6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100000</v>
      </c>
      <c r="AF63" s="48">
        <f xml:space="preserve">
IF(Table_Main[[#This Row],[Đơn bán]]="", 0,
IFERROR(
VLOOKUP(Table_Main[[#This Row],[Mã SKU]],Table_SKU[[Mã SKU]:[Tỷ suất VAT]],COUNTA(Table_SKU[[#Headers],[Mã SKU]:[Tỷ suất VAT]]),0),0)*Table_Main[[#This Row],[Giá trị bán trước VAT]])</f>
        <v>0</v>
      </c>
      <c r="AG63" s="51">
        <f>IFERROR(VLOOKUP(Table_Main[[#This Row],[Đơn bán]],Table_DonBan[[Mã Đơn bán]:[Add]],COUNTA(Table_DonBan[[#Headers],[Mã Đơn bán]:[Mã NV]]),0),0)</f>
        <v>0</v>
      </c>
      <c r="AH6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3" s="48">
        <f>IFERROR(Table_Main[[#This Row],[Giá trị bán trước VAT]]*Table_Main[[#This Row],[Tỷ lệ hoa hồng]],"")</f>
        <v>0</v>
      </c>
      <c r="AJ63" s="48">
        <f>IFERROR(VLOOKUP(Table_Main[[#This Row],[Đơn bán]],Table_DonBan[[Mã Đơn bán]:[Add]],COUNTA(Table_DonBan[[#Headers],[Mã Đơn bán]:[Kênh]]),0),0)</f>
        <v>0</v>
      </c>
      <c r="AK6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3" s="48">
        <f>IFERROR(Table_Main[[#This Row],[Giá trị bán trước VAT]]*Table_Main[[#This Row],[Tỷ lệ CK kênh]],"")</f>
        <v>0</v>
      </c>
      <c r="AM63" s="230"/>
      <c r="AN63" s="232"/>
      <c r="AO63" s="226">
        <f>Table_Main[[#This Row],[ĐK - Phân loại]]*Table_Main[[#This Row],[ĐK - Thời gian]]*Table_Main[[#This Row],[ĐK - Giá trị]]*Table_Main[[#This Row],[ĐK - Số lượng]]*Table_Main[[#This Row],[ĐK - Sinh nhật]]*Table_Main[[#This Row],[ĐK - Ngày mua cuối]]</f>
        <v>1</v>
      </c>
      <c r="AP63" s="226">
        <f xml:space="preserve">
IF(ISBLANK(Table_Main[[#This Row],[Chương trình]]),1,
IF(VLOOKUP(Table_Main[[#This Row],[Chương trình]],Table_ChuongTrinh[[Mã Chương trình]:[Đối tượng CK]],Sheet_ChuongTrinh!$C$1,0) = "Sản phẩm",1,0))</f>
        <v>1</v>
      </c>
      <c r="AQ6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4" spans="2:47" ht="18" customHeight="1" x14ac:dyDescent="0.3">
      <c r="B64" s="531" t="s">
        <v>1161</v>
      </c>
      <c r="C64" s="523"/>
      <c r="D64" s="537" t="str">
        <f>IF(ISBLANK(Table_Main[[#This Row],[Mã SKU]]),Table_Main[[#This Row],[Mã Nguyên liệu]],Table_Main[[#This Row],[Mã SKU]])</f>
        <v>TP2</v>
      </c>
      <c r="E64" s="420" cm="1">
        <f t="array" ref="E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76</v>
      </c>
      <c r="F64" s="420" cm="1">
        <f t="array" ref="F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v>
      </c>
      <c r="G64" s="420" cm="1">
        <f t="array" ref="G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4" s="420" cm="1">
        <f t="array" ref="H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4" s="420">
        <f>IFERROR(Table_Main[[#This Row],[Giá trị tồn đầu ngày]]/Table_Main[[#This Row],[Tồn kho đầu ngày]],0)</f>
        <v>0</v>
      </c>
      <c r="J64" s="420">
        <f>IFERROR(Table_Main[[#This Row],[Giá trị tồn cuối ngày]]/Table_Main[[#This Row],[Tồn kho cuối ngày]],0)</f>
        <v>0</v>
      </c>
      <c r="K64" s="415">
        <v>45735</v>
      </c>
      <c r="L64" s="47">
        <f xml:space="preserve">
IFERROR(
IFERROR(
VLOOKUP(Table_Main[[#This Row],[Đơn Mua]],Table_DonMua[[Mã Đơn mua]:[Add]],COUNTA(Table_DonMua[[#Headers],[Mã Đơn mua]:[Ngày lập]]),0),
VLOOKUP(Table_Main[[#This Row],[Đơn bán]],Table_DonBan[[Mã Đơn bán]:[Add]], COUNTA(Table_DonBan[[#Headers],[Mã Đơn bán]:[Ngày lập]]),0)),0)</f>
        <v>45735</v>
      </c>
      <c r="M64" s="29">
        <f>IFERROR(MONTH(Table_Main[[#This Row],[Ngày lên đơn]]),0)</f>
        <v>3</v>
      </c>
      <c r="N64" s="51">
        <f>IF(Table_Main[[#This Row],[Ngày lên đơn]]=0,"",Table_Main[[#This Row],[Ngày xuất nhập]]-Table_Main[[#This Row],[Ngày lên đơn]])</f>
        <v>0</v>
      </c>
      <c r="O64" s="230" t="s">
        <v>53</v>
      </c>
      <c r="P64" s="230" t="s">
        <v>1165</v>
      </c>
      <c r="Q64" s="408">
        <v>48</v>
      </c>
      <c r="R64" s="523"/>
      <c r="S64" s="537">
        <f>IFERROR(VLOOKUP(Table_Main[[#This Row],[Đơn Mua]],Table_DonMua[[Mã Đơn mua]:[Add]],COUNTA(Table_DonMua[[#Headers],[Mã Đơn mua]:[Mã Đối tác]]),0),0)</f>
        <v>0</v>
      </c>
      <c r="T64" s="409"/>
      <c r="U64" s="48">
        <f xml:space="preserve">
IF(NOT(ISBLANK(Table_Main[[#This Row],[Đơn Mua]])),Table_Main[[#This Row],[Số lượng]]*Table_Main[[#This Row],[Giá nhập]],Table_Main[[#This Row],[Số lượng]]*Table_Main[[#This Row],[Giá trị bình quân đầu ngày]])</f>
        <v>0</v>
      </c>
      <c r="V6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4" s="48">
        <f>IF(Table_Main[[#This Row],[Đơn Mua]]="", 0,IFERROR(Table_Main[[#This Row],[Tỷ suất VAT khấu trừ]]*(Table_Main[[#This Row],[Giá trị hàng nhập]]/(1+Table_Main[[#This Row],[Tỷ suất VAT khấu trừ]])),0))</f>
        <v>0</v>
      </c>
      <c r="X64" s="523" t="s">
        <v>1209</v>
      </c>
      <c r="Y64" s="28" t="str">
        <f>IFERROR(VLOOKUP(Table_Main[[#This Row],[Đơn bán]],Table_DonBan[[Mã Đơn bán]:[Add]],COUNTA(Table_DonBan[[#Headers],[Mã Đơn bán]:[Mã Khách]]),0),0)</f>
        <v>KH2</v>
      </c>
      <c r="Z64" s="48">
        <f>IF(ISBLANK(Table_Main[[#This Row],[Đơn bán]]),0,
VLOOKUP(Table_Main[[#This Row],[Mã SKU]],Table_SKU[[Mã SKU]:[Giá bán]],COUNTA(Table_SKU[[#Headers],[Mã SKU]:[Giá bán]]),0))</f>
        <v>500000</v>
      </c>
      <c r="AA64" s="48">
        <f>IF(ISBLANK(Table_Main[[#This Row],[Đơn bán]]),0,
IF(Table_Main[[#This Row],[Loại]] = "Xuất",Table_Main[[#This Row],[Giá bán niêm yết]]*Table_Main[[#This Row],[Số lượng]],-Table_Main[[#This Row],[Giá bán niêm yết]]*Table_Main[[#This Row],[Số lượng]]))</f>
        <v>24000000</v>
      </c>
      <c r="AB64" s="230"/>
      <c r="AC6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24000000</v>
      </c>
      <c r="AF64" s="48">
        <f xml:space="preserve">
IF(Table_Main[[#This Row],[Đơn bán]]="", 0,
IFERROR(
VLOOKUP(Table_Main[[#This Row],[Mã SKU]],Table_SKU[[Mã SKU]:[Tỷ suất VAT]],COUNTA(Table_SKU[[#Headers],[Mã SKU]:[Tỷ suất VAT]]),0),0)*Table_Main[[#This Row],[Giá trị bán trước VAT]])</f>
        <v>0</v>
      </c>
      <c r="AG64" s="51">
        <f>IFERROR(VLOOKUP(Table_Main[[#This Row],[Đơn bán]],Table_DonBan[[Mã Đơn bán]:[Add]],COUNTA(Table_DonBan[[#Headers],[Mã Đơn bán]:[Mã NV]]),0),0)</f>
        <v>0</v>
      </c>
      <c r="AH6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4" s="48">
        <f>IFERROR(Table_Main[[#This Row],[Giá trị bán trước VAT]]*Table_Main[[#This Row],[Tỷ lệ hoa hồng]],"")</f>
        <v>0</v>
      </c>
      <c r="AJ64" s="48">
        <f>IFERROR(VLOOKUP(Table_Main[[#This Row],[Đơn bán]],Table_DonBan[[Mã Đơn bán]:[Add]],COUNTA(Table_DonBan[[#Headers],[Mã Đơn bán]:[Kênh]]),0),0)</f>
        <v>0</v>
      </c>
      <c r="AK6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4" s="48">
        <f>IFERROR(Table_Main[[#This Row],[Giá trị bán trước VAT]]*Table_Main[[#This Row],[Tỷ lệ CK kênh]],"")</f>
        <v>0</v>
      </c>
      <c r="AM64" s="230"/>
      <c r="AN64" s="232"/>
      <c r="AO64" s="226">
        <f>Table_Main[[#This Row],[ĐK - Phân loại]]*Table_Main[[#This Row],[ĐK - Thời gian]]*Table_Main[[#This Row],[ĐK - Giá trị]]*Table_Main[[#This Row],[ĐK - Số lượng]]*Table_Main[[#This Row],[ĐK - Sinh nhật]]*Table_Main[[#This Row],[ĐK - Ngày mua cuối]]</f>
        <v>1</v>
      </c>
      <c r="AP64" s="226">
        <f xml:space="preserve">
IF(ISBLANK(Table_Main[[#This Row],[Chương trình]]),1,
IF(VLOOKUP(Table_Main[[#This Row],[Chương trình]],Table_ChuongTrinh[[Mã Chương trình]:[Đối tượng CK]],Sheet_ChuongTrinh!$C$1,0) = "Sản phẩm",1,0))</f>
        <v>1</v>
      </c>
      <c r="AQ6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5" spans="2:47" ht="18" customHeight="1" x14ac:dyDescent="0.3">
      <c r="B65" s="531" t="s">
        <v>1160</v>
      </c>
      <c r="C65" s="523"/>
      <c r="D65" s="537" t="str">
        <f>IF(ISBLANK(Table_Main[[#This Row],[Mã SKU]]),Table_Main[[#This Row],[Mã Nguyên liệu]],Table_Main[[#This Row],[Mã SKU]])</f>
        <v>TP1</v>
      </c>
      <c r="E65" s="420" cm="1">
        <f t="array" ref="E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68</v>
      </c>
      <c r="F65" s="420" cm="1">
        <f t="array" ref="F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91</v>
      </c>
      <c r="G65" s="420" cm="1">
        <f t="array" ref="G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5" s="420" cm="1">
        <f t="array" ref="H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5" s="420">
        <f>IFERROR(Table_Main[[#This Row],[Giá trị tồn đầu ngày]]/Table_Main[[#This Row],[Tồn kho đầu ngày]],0)</f>
        <v>0</v>
      </c>
      <c r="J65" s="420">
        <f>IFERROR(Table_Main[[#This Row],[Giá trị tồn cuối ngày]]/Table_Main[[#This Row],[Tồn kho cuối ngày]],0)</f>
        <v>0</v>
      </c>
      <c r="K65" s="415">
        <v>45734</v>
      </c>
      <c r="L6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5" s="29">
        <f>IFERROR(MONTH(Table_Main[[#This Row],[Ngày lên đơn]]),0)</f>
        <v>1</v>
      </c>
      <c r="N65" s="51" t="str">
        <f>IF(Table_Main[[#This Row],[Ngày lên đơn]]=0,"",Table_Main[[#This Row],[Ngày xuất nhập]]-Table_Main[[#This Row],[Ngày lên đơn]])</f>
        <v/>
      </c>
      <c r="O65" s="230" t="s">
        <v>1164</v>
      </c>
      <c r="P65" s="230" t="s">
        <v>1165</v>
      </c>
      <c r="Q65" s="408">
        <v>23</v>
      </c>
      <c r="R65" s="523"/>
      <c r="S65" s="537">
        <f>IFERROR(VLOOKUP(Table_Main[[#This Row],[Đơn Mua]],Table_DonMua[[Mã Đơn mua]:[Add]],COUNTA(Table_DonMua[[#Headers],[Mã Đơn mua]:[Mã Đối tác]]),0),0)</f>
        <v>0</v>
      </c>
      <c r="T65" s="409"/>
      <c r="U65" s="48">
        <f xml:space="preserve">
IF(NOT(ISBLANK(Table_Main[[#This Row],[Đơn Mua]])),Table_Main[[#This Row],[Số lượng]]*Table_Main[[#This Row],[Giá nhập]],Table_Main[[#This Row],[Số lượng]]*Table_Main[[#This Row],[Giá trị bình quân đầu ngày]])</f>
        <v>0</v>
      </c>
      <c r="V6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5" s="48">
        <f>IF(Table_Main[[#This Row],[Đơn Mua]]="", 0,IFERROR(Table_Main[[#This Row],[Tỷ suất VAT khấu trừ]]*(Table_Main[[#This Row],[Giá trị hàng nhập]]/(1+Table_Main[[#This Row],[Tỷ suất VAT khấu trừ]])),0))</f>
        <v>0</v>
      </c>
      <c r="X65" s="523"/>
      <c r="Y65" s="28">
        <f>IFERROR(VLOOKUP(Table_Main[[#This Row],[Đơn bán]],Table_DonBan[[Mã Đơn bán]:[Add]],COUNTA(Table_DonBan[[#Headers],[Mã Đơn bán]:[Mã Khách]]),0),0)</f>
        <v>0</v>
      </c>
      <c r="Z65" s="48">
        <f>IF(ISBLANK(Table_Main[[#This Row],[Đơn bán]]),0,
VLOOKUP(Table_Main[[#This Row],[Mã SKU]],Table_SKU[[Mã SKU]:[Giá bán]],COUNTA(Table_SKU[[#Headers],[Mã SKU]:[Giá bán]]),0))</f>
        <v>0</v>
      </c>
      <c r="AA65" s="48">
        <f>IF(ISBLANK(Table_Main[[#This Row],[Đơn bán]]),0,
IF(Table_Main[[#This Row],[Loại]] = "Xuất",Table_Main[[#This Row],[Giá bán niêm yết]]*Table_Main[[#This Row],[Số lượng]],-Table_Main[[#This Row],[Giá bán niêm yết]]*Table_Main[[#This Row],[Số lượng]]))</f>
        <v>0</v>
      </c>
      <c r="AB65" s="230"/>
      <c r="AC6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5" s="48">
        <f xml:space="preserve">
IF(Table_Main[[#This Row],[Đơn bán]]="", 0,
IFERROR(
VLOOKUP(Table_Main[[#This Row],[Mã SKU]],Table_SKU[[Mã SKU]:[Tỷ suất VAT]],COUNTA(Table_SKU[[#Headers],[Mã SKU]:[Tỷ suất VAT]]),0),0)*Table_Main[[#This Row],[Giá trị bán trước VAT]])</f>
        <v>0</v>
      </c>
      <c r="AG65" s="51">
        <f>IFERROR(VLOOKUP(Table_Main[[#This Row],[Đơn bán]],Table_DonBan[[Mã Đơn bán]:[Add]],COUNTA(Table_DonBan[[#Headers],[Mã Đơn bán]:[Mã NV]]),0),0)</f>
        <v>0</v>
      </c>
      <c r="AH6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5" s="48">
        <f>IFERROR(Table_Main[[#This Row],[Giá trị bán trước VAT]]*Table_Main[[#This Row],[Tỷ lệ hoa hồng]],"")</f>
        <v>0</v>
      </c>
      <c r="AJ65" s="48">
        <f>IFERROR(VLOOKUP(Table_Main[[#This Row],[Đơn bán]],Table_DonBan[[Mã Đơn bán]:[Add]],COUNTA(Table_DonBan[[#Headers],[Mã Đơn bán]:[Kênh]]),0),0)</f>
        <v>0</v>
      </c>
      <c r="AK6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5" s="48">
        <f>IFERROR(Table_Main[[#This Row],[Giá trị bán trước VAT]]*Table_Main[[#This Row],[Tỷ lệ CK kênh]],"")</f>
        <v>0</v>
      </c>
      <c r="AM65" s="230"/>
      <c r="AN65" s="232"/>
      <c r="AO65" s="226">
        <f>Table_Main[[#This Row],[ĐK - Phân loại]]*Table_Main[[#This Row],[ĐK - Thời gian]]*Table_Main[[#This Row],[ĐK - Giá trị]]*Table_Main[[#This Row],[ĐK - Số lượng]]*Table_Main[[#This Row],[ĐK - Sinh nhật]]*Table_Main[[#This Row],[ĐK - Ngày mua cuối]]</f>
        <v>1</v>
      </c>
      <c r="AP65" s="226">
        <f xml:space="preserve">
IF(ISBLANK(Table_Main[[#This Row],[Chương trình]]),1,
IF(VLOOKUP(Table_Main[[#This Row],[Chương trình]],Table_ChuongTrinh[[Mã Chương trình]:[Đối tượng CK]],Sheet_ChuongTrinh!$C$1,0) = "Sản phẩm",1,0))</f>
        <v>1</v>
      </c>
      <c r="AQ6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6" spans="2:47" ht="18" customHeight="1" x14ac:dyDescent="0.3">
      <c r="B66" s="531" t="s">
        <v>1160</v>
      </c>
      <c r="C66" s="523"/>
      <c r="D66" s="537" t="str">
        <f>IF(ISBLANK(Table_Main[[#This Row],[Mã SKU]]),Table_Main[[#This Row],[Mã Nguyên liệu]],Table_Main[[#This Row],[Mã SKU]])</f>
        <v>TP1</v>
      </c>
      <c r="E66" s="420" cm="1">
        <f t="array" ref="E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66" s="420" cm="1">
        <f t="array" ref="F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68</v>
      </c>
      <c r="G66" s="420" cm="1">
        <f t="array" ref="G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6" s="420" cm="1">
        <f t="array" ref="H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6" s="420">
        <f>IFERROR(Table_Main[[#This Row],[Giá trị tồn đầu ngày]]/Table_Main[[#This Row],[Tồn kho đầu ngày]],0)</f>
        <v>0</v>
      </c>
      <c r="J66" s="420">
        <f>IFERROR(Table_Main[[#This Row],[Giá trị tồn cuối ngày]]/Table_Main[[#This Row],[Tồn kho cuối ngày]],0)</f>
        <v>0</v>
      </c>
      <c r="K66" s="415">
        <v>45733</v>
      </c>
      <c r="L6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6" s="29">
        <f>IFERROR(MONTH(Table_Main[[#This Row],[Ngày lên đơn]]),0)</f>
        <v>1</v>
      </c>
      <c r="N66" s="51" t="str">
        <f>IF(Table_Main[[#This Row],[Ngày lên đơn]]=0,"",Table_Main[[#This Row],[Ngày xuất nhập]]-Table_Main[[#This Row],[Ngày lên đơn]])</f>
        <v/>
      </c>
      <c r="O66" s="230" t="s">
        <v>1164</v>
      </c>
      <c r="P66" s="230" t="s">
        <v>1165</v>
      </c>
      <c r="Q66" s="408">
        <v>33</v>
      </c>
      <c r="R66" s="523"/>
      <c r="S66" s="537">
        <f>IFERROR(VLOOKUP(Table_Main[[#This Row],[Đơn Mua]],Table_DonMua[[Mã Đơn mua]:[Add]],COUNTA(Table_DonMua[[#Headers],[Mã Đơn mua]:[Mã Đối tác]]),0),0)</f>
        <v>0</v>
      </c>
      <c r="T66" s="409"/>
      <c r="U66" s="48">
        <f xml:space="preserve">
IF(NOT(ISBLANK(Table_Main[[#This Row],[Đơn Mua]])),Table_Main[[#This Row],[Số lượng]]*Table_Main[[#This Row],[Giá nhập]],Table_Main[[#This Row],[Số lượng]]*Table_Main[[#This Row],[Giá trị bình quân đầu ngày]])</f>
        <v>0</v>
      </c>
      <c r="V6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6" s="48">
        <f>IF(Table_Main[[#This Row],[Đơn Mua]]="", 0,IFERROR(Table_Main[[#This Row],[Tỷ suất VAT khấu trừ]]*(Table_Main[[#This Row],[Giá trị hàng nhập]]/(1+Table_Main[[#This Row],[Tỷ suất VAT khấu trừ]])),0))</f>
        <v>0</v>
      </c>
      <c r="X66" s="523"/>
      <c r="Y66" s="28">
        <f>IFERROR(VLOOKUP(Table_Main[[#This Row],[Đơn bán]],Table_DonBan[[Mã Đơn bán]:[Add]],COUNTA(Table_DonBan[[#Headers],[Mã Đơn bán]:[Mã Khách]]),0),0)</f>
        <v>0</v>
      </c>
      <c r="Z66" s="48">
        <f>IF(ISBLANK(Table_Main[[#This Row],[Đơn bán]]),0,
VLOOKUP(Table_Main[[#This Row],[Mã SKU]],Table_SKU[[Mã SKU]:[Giá bán]],COUNTA(Table_SKU[[#Headers],[Mã SKU]:[Giá bán]]),0))</f>
        <v>0</v>
      </c>
      <c r="AA66" s="48">
        <f>IF(ISBLANK(Table_Main[[#This Row],[Đơn bán]]),0,
IF(Table_Main[[#This Row],[Loại]] = "Xuất",Table_Main[[#This Row],[Giá bán niêm yết]]*Table_Main[[#This Row],[Số lượng]],-Table_Main[[#This Row],[Giá bán niêm yết]]*Table_Main[[#This Row],[Số lượng]]))</f>
        <v>0</v>
      </c>
      <c r="AB66" s="230"/>
      <c r="AC6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6" s="48">
        <f xml:space="preserve">
IF(Table_Main[[#This Row],[Đơn bán]]="", 0,
IFERROR(
VLOOKUP(Table_Main[[#This Row],[Mã SKU]],Table_SKU[[Mã SKU]:[Tỷ suất VAT]],COUNTA(Table_SKU[[#Headers],[Mã SKU]:[Tỷ suất VAT]]),0),0)*Table_Main[[#This Row],[Giá trị bán trước VAT]])</f>
        <v>0</v>
      </c>
      <c r="AG66" s="51">
        <f>IFERROR(VLOOKUP(Table_Main[[#This Row],[Đơn bán]],Table_DonBan[[Mã Đơn bán]:[Add]],COUNTA(Table_DonBan[[#Headers],[Mã Đơn bán]:[Mã NV]]),0),0)</f>
        <v>0</v>
      </c>
      <c r="AH6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6" s="48">
        <f>IFERROR(Table_Main[[#This Row],[Giá trị bán trước VAT]]*Table_Main[[#This Row],[Tỷ lệ hoa hồng]],"")</f>
        <v>0</v>
      </c>
      <c r="AJ66" s="48">
        <f>IFERROR(VLOOKUP(Table_Main[[#This Row],[Đơn bán]],Table_DonBan[[Mã Đơn bán]:[Add]],COUNTA(Table_DonBan[[#Headers],[Mã Đơn bán]:[Kênh]]),0),0)</f>
        <v>0</v>
      </c>
      <c r="AK6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6" s="48">
        <f>IFERROR(Table_Main[[#This Row],[Giá trị bán trước VAT]]*Table_Main[[#This Row],[Tỷ lệ CK kênh]],"")</f>
        <v>0</v>
      </c>
      <c r="AM66" s="230"/>
      <c r="AN66" s="232"/>
      <c r="AO66" s="226">
        <f>Table_Main[[#This Row],[ĐK - Phân loại]]*Table_Main[[#This Row],[ĐK - Thời gian]]*Table_Main[[#This Row],[ĐK - Giá trị]]*Table_Main[[#This Row],[ĐK - Số lượng]]*Table_Main[[#This Row],[ĐK - Sinh nhật]]*Table_Main[[#This Row],[ĐK - Ngày mua cuối]]</f>
        <v>1</v>
      </c>
      <c r="AP66" s="226">
        <f xml:space="preserve">
IF(ISBLANK(Table_Main[[#This Row],[Chương trình]]),1,
IF(VLOOKUP(Table_Main[[#This Row],[Chương trình]],Table_ChuongTrinh[[Mã Chương trình]:[Đối tượng CK]],Sheet_ChuongTrinh!$C$1,0) = "Sản phẩm",1,0))</f>
        <v>1</v>
      </c>
      <c r="AQ6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7" spans="2:47" ht="18" customHeight="1" x14ac:dyDescent="0.3">
      <c r="B67" s="531" t="s">
        <v>1159</v>
      </c>
      <c r="C67" s="523"/>
      <c r="D67" s="537" t="str">
        <f>IF(ISBLANK(Table_Main[[#This Row],[Mã SKU]]),Table_Main[[#This Row],[Mã Nguyên liệu]],Table_Main[[#This Row],[Mã SKU]])</f>
        <v>HH1</v>
      </c>
      <c r="E67" s="420" cm="1">
        <f t="array" ref="E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111</v>
      </c>
      <c r="F67" s="420" cm="1">
        <f t="array" ref="F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134</v>
      </c>
      <c r="G67" s="420" cm="1">
        <f t="array" ref="G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8880000</v>
      </c>
      <c r="H67" s="420" cm="1">
        <f t="array" ref="H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12077782</v>
      </c>
      <c r="I67" s="420">
        <f>IFERROR(Table_Main[[#This Row],[Giá trị tồn đầu ngày]]/Table_Main[[#This Row],[Tồn kho đầu ngày]],0)</f>
        <v>80000</v>
      </c>
      <c r="J67" s="420">
        <f>IFERROR(Table_Main[[#This Row],[Giá trị tồn cuối ngày]]/Table_Main[[#This Row],[Tồn kho cuối ngày]],0)</f>
        <v>90132.701492537308</v>
      </c>
      <c r="K67" s="415">
        <v>45732</v>
      </c>
      <c r="L67" s="47">
        <f xml:space="preserve">
IFERROR(
IFERROR(
VLOOKUP(Table_Main[[#This Row],[Đơn Mua]],Table_DonMua[[Mã Đơn mua]:[Add]],COUNTA(Table_DonMua[[#Headers],[Mã Đơn mua]:[Ngày lập]]),0),
VLOOKUP(Table_Main[[#This Row],[Đơn bán]],Table_DonBan[[Mã Đơn bán]:[Add]], COUNTA(Table_DonBan[[#Headers],[Mã Đơn bán]:[Ngày lập]]),0)),0)</f>
        <v>45732</v>
      </c>
      <c r="M67" s="29">
        <f>IFERROR(MONTH(Table_Main[[#This Row],[Ngày lên đơn]]),0)</f>
        <v>3</v>
      </c>
      <c r="N67" s="51">
        <f>IF(Table_Main[[#This Row],[Ngày lên đơn]]=0,"",Table_Main[[#This Row],[Ngày xuất nhập]]-Table_Main[[#This Row],[Ngày lên đơn]])</f>
        <v>0</v>
      </c>
      <c r="O67" s="230" t="s">
        <v>1164</v>
      </c>
      <c r="P67" s="230" t="s">
        <v>1165</v>
      </c>
      <c r="Q67" s="408">
        <v>23</v>
      </c>
      <c r="R67" s="523" t="s">
        <v>1175</v>
      </c>
      <c r="S67" s="537" t="str">
        <f>IFERROR(VLOOKUP(Table_Main[[#This Row],[Đơn Mua]],Table_DonMua[[Mã Đơn mua]:[Add]],COUNTA(Table_DonMua[[#Headers],[Mã Đơn mua]:[Mã Đối tác]]),0),0)</f>
        <v>NCC1</v>
      </c>
      <c r="T67" s="409">
        <v>139034</v>
      </c>
      <c r="U67" s="48">
        <f xml:space="preserve">
IF(NOT(ISBLANK(Table_Main[[#This Row],[Đơn Mua]])),Table_Main[[#This Row],[Số lượng]]*Table_Main[[#This Row],[Giá nhập]],Table_Main[[#This Row],[Số lượng]]*Table_Main[[#This Row],[Giá trị bình quân đầu ngày]])</f>
        <v>3197782</v>
      </c>
      <c r="V6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7" s="48">
        <f>IF(Table_Main[[#This Row],[Đơn Mua]]="", 0,IFERROR(Table_Main[[#This Row],[Tỷ suất VAT khấu trừ]]*(Table_Main[[#This Row],[Giá trị hàng nhập]]/(1+Table_Main[[#This Row],[Tỷ suất VAT khấu trừ]])),0))</f>
        <v>0</v>
      </c>
      <c r="X67" s="523"/>
      <c r="Y67" s="28">
        <f>IFERROR(VLOOKUP(Table_Main[[#This Row],[Đơn bán]],Table_DonBan[[Mã Đơn bán]:[Add]],COUNTA(Table_DonBan[[#Headers],[Mã Đơn bán]:[Mã Khách]]),0),0)</f>
        <v>0</v>
      </c>
      <c r="Z67" s="48">
        <f>IF(ISBLANK(Table_Main[[#This Row],[Đơn bán]]),0,
VLOOKUP(Table_Main[[#This Row],[Mã SKU]],Table_SKU[[Mã SKU]:[Giá bán]],COUNTA(Table_SKU[[#Headers],[Mã SKU]:[Giá bán]]),0))</f>
        <v>0</v>
      </c>
      <c r="AA67" s="48">
        <f>IF(ISBLANK(Table_Main[[#This Row],[Đơn bán]]),0,
IF(Table_Main[[#This Row],[Loại]] = "Xuất",Table_Main[[#This Row],[Giá bán niêm yết]]*Table_Main[[#This Row],[Số lượng]],-Table_Main[[#This Row],[Giá bán niêm yết]]*Table_Main[[#This Row],[Số lượng]]))</f>
        <v>0</v>
      </c>
      <c r="AB67" s="230"/>
      <c r="AC6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7" s="48">
        <f xml:space="preserve">
IF(Table_Main[[#This Row],[Đơn bán]]="", 0,
IFERROR(
VLOOKUP(Table_Main[[#This Row],[Mã SKU]],Table_SKU[[Mã SKU]:[Tỷ suất VAT]],COUNTA(Table_SKU[[#Headers],[Mã SKU]:[Tỷ suất VAT]]),0),0)*Table_Main[[#This Row],[Giá trị bán trước VAT]])</f>
        <v>0</v>
      </c>
      <c r="AG67" s="51">
        <f>IFERROR(VLOOKUP(Table_Main[[#This Row],[Đơn bán]],Table_DonBan[[Mã Đơn bán]:[Add]],COUNTA(Table_DonBan[[#Headers],[Mã Đơn bán]:[Mã NV]]),0),0)</f>
        <v>0</v>
      </c>
      <c r="AH6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7" s="48">
        <f>IFERROR(Table_Main[[#This Row],[Giá trị bán trước VAT]]*Table_Main[[#This Row],[Tỷ lệ hoa hồng]],"")</f>
        <v>0</v>
      </c>
      <c r="AJ67" s="48">
        <f>IFERROR(VLOOKUP(Table_Main[[#This Row],[Đơn bán]],Table_DonBan[[Mã Đơn bán]:[Add]],COUNTA(Table_DonBan[[#Headers],[Mã Đơn bán]:[Kênh]]),0),0)</f>
        <v>0</v>
      </c>
      <c r="AK6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7" s="48">
        <f>IFERROR(Table_Main[[#This Row],[Giá trị bán trước VAT]]*Table_Main[[#This Row],[Tỷ lệ CK kênh]],"")</f>
        <v>0</v>
      </c>
      <c r="AM67" s="230"/>
      <c r="AN67" s="232"/>
      <c r="AO67" s="226">
        <f>Table_Main[[#This Row],[ĐK - Phân loại]]*Table_Main[[#This Row],[ĐK - Thời gian]]*Table_Main[[#This Row],[ĐK - Giá trị]]*Table_Main[[#This Row],[ĐK - Số lượng]]*Table_Main[[#This Row],[ĐK - Sinh nhật]]*Table_Main[[#This Row],[ĐK - Ngày mua cuối]]</f>
        <v>1</v>
      </c>
      <c r="AP67" s="226">
        <f xml:space="preserve">
IF(ISBLANK(Table_Main[[#This Row],[Chương trình]]),1,
IF(VLOOKUP(Table_Main[[#This Row],[Chương trình]],Table_ChuongTrinh[[Mã Chương trình]:[Đối tượng CK]],Sheet_ChuongTrinh!$C$1,0) = "Sản phẩm",1,0))</f>
        <v>1</v>
      </c>
      <c r="AQ6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8" spans="2:47" ht="18" customHeight="1" x14ac:dyDescent="0.15">
      <c r="B68" s="237"/>
      <c r="C68" s="524" t="s">
        <v>1162</v>
      </c>
      <c r="D68" s="539" t="str">
        <f>IF(ISBLANK(Table_Main[[#This Row],[Mã SKU]]),Table_Main[[#This Row],[Mã Nguyên liệu]],Table_Main[[#This Row],[Mã SKU]])</f>
        <v>NL2</v>
      </c>
      <c r="E68" s="420" cm="1">
        <f t="array" ref="E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68" s="420" cm="1">
        <f t="array" ref="F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118</v>
      </c>
      <c r="G68" s="420" cm="1">
        <f t="array" ref="G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22500000</v>
      </c>
      <c r="H68" s="420" cm="1">
        <f t="array" ref="H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17700000</v>
      </c>
      <c r="I68" s="420">
        <f>IFERROR(Table_Main[[#This Row],[Giá trị tồn đầu ngày]]/Table_Main[[#This Row],[Tồn kho đầu ngày]],0)</f>
        <v>150000</v>
      </c>
      <c r="J68" s="420">
        <f>IFERROR(Table_Main[[#This Row],[Giá trị tồn cuối ngày]]/Table_Main[[#This Row],[Tồn kho cuối ngày]],0)</f>
        <v>150000</v>
      </c>
      <c r="K68" s="415">
        <v>45730</v>
      </c>
      <c r="L6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8" s="29">
        <f>IFERROR(MONTH(Table_Main[[#This Row],[Ngày lên đơn]]),0)</f>
        <v>1</v>
      </c>
      <c r="N68" s="551" t="str">
        <f>IF(Table_Main[[#This Row],[Ngày lên đơn]]=0,"",Table_Main[[#This Row],[Ngày xuất nhập]]-Table_Main[[#This Row],[Ngày lên đơn]])</f>
        <v/>
      </c>
      <c r="O68" s="7" t="s">
        <v>53</v>
      </c>
      <c r="P68" s="230" t="s">
        <v>1165</v>
      </c>
      <c r="Q68" s="525">
        <v>32</v>
      </c>
      <c r="R68" s="523"/>
      <c r="S68" s="550">
        <f>IFERROR(VLOOKUP(Table_Main[[#This Row],[Đơn Mua]],Table_DonMua[[Mã Đơn mua]:[Add]],COUNTA(Table_DonMua[[#Headers],[Mã Đơn mua]:[Mã Đối tác]]),0),0)</f>
        <v>0</v>
      </c>
      <c r="T68" s="431"/>
      <c r="U68" s="48">
        <f xml:space="preserve">
IF(NOT(ISBLANK(Table_Main[[#This Row],[Đơn Mua]])),Table_Main[[#This Row],[Số lượng]]*Table_Main[[#This Row],[Giá nhập]],Table_Main[[#This Row],[Số lượng]]*Table_Main[[#This Row],[Giá trị bình quân đầu ngày]])</f>
        <v>4800000</v>
      </c>
      <c r="V6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8" s="48">
        <f>IF(Table_Main[[#This Row],[Đơn Mua]]="", 0,IFERROR(Table_Main[[#This Row],[Tỷ suất VAT khấu trừ]]*(Table_Main[[#This Row],[Giá trị hàng nhập]]/(1+Table_Main[[#This Row],[Tỷ suất VAT khấu trừ]])),0))</f>
        <v>0</v>
      </c>
      <c r="X68" s="523"/>
      <c r="Y68" s="28">
        <f>IFERROR(VLOOKUP(Table_Main[[#This Row],[Đơn bán]],Table_DonBan[[Mã Đơn bán]:[Add]],COUNTA(Table_DonBan[[#Headers],[Mã Đơn bán]:[Mã Khách]]),0),0)</f>
        <v>0</v>
      </c>
      <c r="Z68" s="48">
        <f>IF(ISBLANK(Table_Main[[#This Row],[Đơn bán]]),0,
VLOOKUP(Table_Main[[#This Row],[Mã SKU]],Table_SKU[[Mã SKU]:[Giá bán]],COUNTA(Table_SKU[[#Headers],[Mã SKU]:[Giá bán]]),0))</f>
        <v>0</v>
      </c>
      <c r="AA68" s="48">
        <f>IF(ISBLANK(Table_Main[[#This Row],[Đơn bán]]),0,
IF(Table_Main[[#This Row],[Loại]] = "Xuất",Table_Main[[#This Row],[Giá bán niêm yết]]*Table_Main[[#This Row],[Số lượng]],-Table_Main[[#This Row],[Giá bán niêm yết]]*Table_Main[[#This Row],[Số lượng]]))</f>
        <v>0</v>
      </c>
      <c r="AB68" s="230"/>
      <c r="AC6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8" s="48">
        <f xml:space="preserve">
IF(Table_Main[[#This Row],[Đơn bán]]="", 0,
IFERROR(
VLOOKUP(Table_Main[[#This Row],[Mã SKU]],Table_SKU[[Mã SKU]:[Tỷ suất VAT]],COUNTA(Table_SKU[[#Headers],[Mã SKU]:[Tỷ suất VAT]]),0),0)*Table_Main[[#This Row],[Giá trị bán trước VAT]])</f>
        <v>0</v>
      </c>
      <c r="AG68" s="51">
        <f>IFERROR(VLOOKUP(Table_Main[[#This Row],[Đơn bán]],Table_DonBan[[Mã Đơn bán]:[Add]],COUNTA(Table_DonBan[[#Headers],[Mã Đơn bán]:[Mã NV]]),0),0)</f>
        <v>0</v>
      </c>
      <c r="AH6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8" s="48">
        <f>IFERROR(Table_Main[[#This Row],[Giá trị bán trước VAT]]*Table_Main[[#This Row],[Tỷ lệ hoa hồng]],"")</f>
        <v>0</v>
      </c>
      <c r="AJ68" s="48">
        <f>IFERROR(VLOOKUP(Table_Main[[#This Row],[Đơn bán]],Table_DonBan[[Mã Đơn bán]:[Add]],COUNTA(Table_DonBan[[#Headers],[Mã Đơn bán]:[Kênh]]),0),0)</f>
        <v>0</v>
      </c>
      <c r="AK6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8" s="48">
        <f>IFERROR(Table_Main[[#This Row],[Giá trị bán trước VAT]]*Table_Main[[#This Row],[Tỷ lệ CK kênh]],"")</f>
        <v>0</v>
      </c>
      <c r="AM68" s="230"/>
      <c r="AN68" s="232"/>
      <c r="AO68" s="226">
        <f>Table_Main[[#This Row],[ĐK - Phân loại]]*Table_Main[[#This Row],[ĐK - Thời gian]]*Table_Main[[#This Row],[ĐK - Giá trị]]*Table_Main[[#This Row],[ĐK - Số lượng]]*Table_Main[[#This Row],[ĐK - Sinh nhật]]*Table_Main[[#This Row],[ĐK - Ngày mua cuối]]</f>
        <v>1</v>
      </c>
      <c r="AP68" s="226">
        <f xml:space="preserve">
IF(ISBLANK(Table_Main[[#This Row],[Chương trình]]),1,
IF(VLOOKUP(Table_Main[[#This Row],[Chương trình]],Table_ChuongTrinh[[Mã Chương trình]:[Đối tượng CK]],Sheet_ChuongTrinh!$C$1,0) = "Sản phẩm",1,0))</f>
        <v>1</v>
      </c>
      <c r="AQ6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9" spans="2:47" ht="18" customHeight="1" x14ac:dyDescent="0.3">
      <c r="B69" s="237"/>
      <c r="C69" s="239" t="s">
        <v>1163</v>
      </c>
      <c r="D69" s="538" t="str">
        <f>IF(ISBLANK(Table_Main[[#This Row],[Mã SKU]]),Table_Main[[#This Row],[Mã Nguyên liệu]],Table_Main[[#This Row],[Mã SKU]])</f>
        <v>NL1</v>
      </c>
      <c r="E69" s="420" cm="1">
        <f t="array" ref="E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v>
      </c>
      <c r="F69" s="420" cm="1">
        <f t="array" ref="F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165</v>
      </c>
      <c r="G69" s="420" cm="1">
        <f t="array" ref="G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15100000</v>
      </c>
      <c r="H69" s="420" cm="1">
        <f t="array" ref="H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16618566</v>
      </c>
      <c r="I69" s="420">
        <f>IFERROR(Table_Main[[#This Row],[Giá trị tồn đầu ngày]]/Table_Main[[#This Row],[Tồn kho đầu ngày]],0)</f>
        <v>100000</v>
      </c>
      <c r="J69" s="420">
        <f>IFERROR(Table_Main[[#This Row],[Giá trị tồn cuối ngày]]/Table_Main[[#This Row],[Tồn kho cuối ngày]],0)</f>
        <v>100718.58181818182</v>
      </c>
      <c r="K69" s="415">
        <v>45731</v>
      </c>
      <c r="L69" s="47">
        <f xml:space="preserve">
IFERROR(
IFERROR(
VLOOKUP(Table_Main[[#This Row],[Đơn Mua]],Table_DonMua[[Mã Đơn mua]:[Add]],COUNTA(Table_DonMua[[#Headers],[Mã Đơn mua]:[Ngày lập]]),0),
VLOOKUP(Table_Main[[#This Row],[Đơn bán]],Table_DonBan[[Mã Đơn bán]:[Add]], COUNTA(Table_DonBan[[#Headers],[Mã Đơn bán]:[Ngày lập]]),0)),0)</f>
        <v>45730</v>
      </c>
      <c r="M69" s="29">
        <f>IFERROR(MONTH(Table_Main[[#This Row],[Ngày lên đơn]]),0)</f>
        <v>3</v>
      </c>
      <c r="N69" s="51">
        <f>IF(Table_Main[[#This Row],[Ngày lên đơn]]=0,"",Table_Main[[#This Row],[Ngày xuất nhập]]-Table_Main[[#This Row],[Ngày lên đơn]])</f>
        <v>1</v>
      </c>
      <c r="O69" s="230" t="s">
        <v>1164</v>
      </c>
      <c r="P69" s="230" t="s">
        <v>1165</v>
      </c>
      <c r="Q69" s="408">
        <v>14</v>
      </c>
      <c r="R69" s="523" t="s">
        <v>1174</v>
      </c>
      <c r="S69" s="537" t="str">
        <f>IFERROR(VLOOKUP(Table_Main[[#This Row],[Đơn Mua]],Table_DonMua[[Mã Đơn mua]:[Add]],COUNTA(Table_DonMua[[#Headers],[Mã Đơn mua]:[Mã Đối tác]]),0),0)</f>
        <v>NCC2</v>
      </c>
      <c r="T69" s="409">
        <v>108469</v>
      </c>
      <c r="U69" s="48">
        <f xml:space="preserve">
IF(NOT(ISBLANK(Table_Main[[#This Row],[Đơn Mua]])),Table_Main[[#This Row],[Số lượng]]*Table_Main[[#This Row],[Giá nhập]],Table_Main[[#This Row],[Số lượng]]*Table_Main[[#This Row],[Giá trị bình quân đầu ngày]])</f>
        <v>1518566</v>
      </c>
      <c r="V6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9" s="48">
        <f>IF(Table_Main[[#This Row],[Đơn Mua]]="", 0,IFERROR(Table_Main[[#This Row],[Tỷ suất VAT khấu trừ]]*(Table_Main[[#This Row],[Giá trị hàng nhập]]/(1+Table_Main[[#This Row],[Tỷ suất VAT khấu trừ]])),0))</f>
        <v>0</v>
      </c>
      <c r="X69" s="523"/>
      <c r="Y69" s="28">
        <f>IFERROR(VLOOKUP(Table_Main[[#This Row],[Đơn bán]],Table_DonBan[[Mã Đơn bán]:[Add]],COUNTA(Table_DonBan[[#Headers],[Mã Đơn bán]:[Mã Khách]]),0),0)</f>
        <v>0</v>
      </c>
      <c r="Z69" s="48">
        <f>IF(ISBLANK(Table_Main[[#This Row],[Đơn bán]]),0,
VLOOKUP(Table_Main[[#This Row],[Mã SKU]],Table_SKU[[Mã SKU]:[Giá bán]],COUNTA(Table_SKU[[#Headers],[Mã SKU]:[Giá bán]]),0))</f>
        <v>0</v>
      </c>
      <c r="AA69" s="48">
        <f>IF(ISBLANK(Table_Main[[#This Row],[Đơn bán]]),0,
IF(Table_Main[[#This Row],[Loại]] = "Xuất",Table_Main[[#This Row],[Giá bán niêm yết]]*Table_Main[[#This Row],[Số lượng]],-Table_Main[[#This Row],[Giá bán niêm yết]]*Table_Main[[#This Row],[Số lượng]]))</f>
        <v>0</v>
      </c>
      <c r="AB69" s="230"/>
      <c r="AC6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9" s="48">
        <f xml:space="preserve">
IF(Table_Main[[#This Row],[Đơn bán]]="", 0,
IFERROR(
VLOOKUP(Table_Main[[#This Row],[Mã SKU]],Table_SKU[[Mã SKU]:[Tỷ suất VAT]],COUNTA(Table_SKU[[#Headers],[Mã SKU]:[Tỷ suất VAT]]),0),0)*Table_Main[[#This Row],[Giá trị bán trước VAT]])</f>
        <v>0</v>
      </c>
      <c r="AG69" s="51">
        <f>IFERROR(VLOOKUP(Table_Main[[#This Row],[Đơn bán]],Table_DonBan[[Mã Đơn bán]:[Add]],COUNTA(Table_DonBan[[#Headers],[Mã Đơn bán]:[Mã NV]]),0),0)</f>
        <v>0</v>
      </c>
      <c r="AH6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9" s="48">
        <f>IFERROR(Table_Main[[#This Row],[Giá trị bán trước VAT]]*Table_Main[[#This Row],[Tỷ lệ hoa hồng]],"")</f>
        <v>0</v>
      </c>
      <c r="AJ69" s="48">
        <f>IFERROR(VLOOKUP(Table_Main[[#This Row],[Đơn bán]],Table_DonBan[[Mã Đơn bán]:[Add]],COUNTA(Table_DonBan[[#Headers],[Mã Đơn bán]:[Kênh]]),0),0)</f>
        <v>0</v>
      </c>
      <c r="AK6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9" s="48">
        <f>IFERROR(Table_Main[[#This Row],[Giá trị bán trước VAT]]*Table_Main[[#This Row],[Tỷ lệ CK kênh]],"")</f>
        <v>0</v>
      </c>
      <c r="AM69" s="230"/>
      <c r="AN69" s="232"/>
      <c r="AO69" s="226">
        <f>Table_Main[[#This Row],[ĐK - Phân loại]]*Table_Main[[#This Row],[ĐK - Thời gian]]*Table_Main[[#This Row],[ĐK - Giá trị]]*Table_Main[[#This Row],[ĐK - Số lượng]]*Table_Main[[#This Row],[ĐK - Sinh nhật]]*Table_Main[[#This Row],[ĐK - Ngày mua cuối]]</f>
        <v>1</v>
      </c>
      <c r="AP69" s="226">
        <f xml:space="preserve">
IF(ISBLANK(Table_Main[[#This Row],[Chương trình]]),1,
IF(VLOOKUP(Table_Main[[#This Row],[Chương trình]],Table_ChuongTrinh[[Mã Chương trình]:[Đối tượng CK]],Sheet_ChuongTrinh!$C$1,0) = "Sản phẩm",1,0))</f>
        <v>1</v>
      </c>
      <c r="AQ6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0" spans="2:47" ht="18" customHeight="1" x14ac:dyDescent="0.3">
      <c r="B70" s="531" t="s">
        <v>1159</v>
      </c>
      <c r="C70" s="523"/>
      <c r="D70" s="537" t="str">
        <f>IF(ISBLANK(Table_Main[[#This Row],[Mã SKU]]),Table_Main[[#This Row],[Mã Nguyên liệu]],Table_Main[[#This Row],[Mã SKU]])</f>
        <v>HH1</v>
      </c>
      <c r="E70" s="420" cm="1">
        <f t="array" ref="E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70" s="420" cm="1">
        <f t="array" ref="F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111</v>
      </c>
      <c r="G70" s="420" cm="1">
        <f t="array" ref="G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12000000</v>
      </c>
      <c r="H70" s="420" cm="1">
        <f t="array" ref="H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8880000</v>
      </c>
      <c r="I70" s="420">
        <f>IFERROR(Table_Main[[#This Row],[Giá trị tồn đầu ngày]]/Table_Main[[#This Row],[Tồn kho đầu ngày]],0)</f>
        <v>80000</v>
      </c>
      <c r="J70" s="420">
        <f>IFERROR(Table_Main[[#This Row],[Giá trị tồn cuối ngày]]/Table_Main[[#This Row],[Tồn kho cuối ngày]],0)</f>
        <v>80000</v>
      </c>
      <c r="K70" s="415">
        <v>45729</v>
      </c>
      <c r="L70" s="47">
        <f xml:space="preserve">
IFERROR(
IFERROR(
VLOOKUP(Table_Main[[#This Row],[Đơn Mua]],Table_DonMua[[Mã Đơn mua]:[Add]],COUNTA(Table_DonMua[[#Headers],[Mã Đơn mua]:[Ngày lập]]),0),
VLOOKUP(Table_Main[[#This Row],[Đơn bán]],Table_DonBan[[Mã Đơn bán]:[Add]], COUNTA(Table_DonBan[[#Headers],[Mã Đơn bán]:[Ngày lập]]),0)),0)</f>
        <v>45729</v>
      </c>
      <c r="M70" s="29">
        <f>IFERROR(MONTH(Table_Main[[#This Row],[Ngày lên đơn]]),0)</f>
        <v>3</v>
      </c>
      <c r="N70" s="51">
        <f>IF(Table_Main[[#This Row],[Ngày lên đơn]]=0,"",Table_Main[[#This Row],[Ngày xuất nhập]]-Table_Main[[#This Row],[Ngày lên đơn]])</f>
        <v>0</v>
      </c>
      <c r="O70" s="230" t="s">
        <v>53</v>
      </c>
      <c r="P70" s="230" t="s">
        <v>1165</v>
      </c>
      <c r="Q70" s="408">
        <v>39</v>
      </c>
      <c r="R70" s="523"/>
      <c r="S70" s="537">
        <f>IFERROR(VLOOKUP(Table_Main[[#This Row],[Đơn Mua]],Table_DonMua[[Mã Đơn mua]:[Add]],COUNTA(Table_DonMua[[#Headers],[Mã Đơn mua]:[Mã Đối tác]]),0),0)</f>
        <v>0</v>
      </c>
      <c r="T70" s="409"/>
      <c r="U70" s="48">
        <f xml:space="preserve">
IF(NOT(ISBLANK(Table_Main[[#This Row],[Đơn Mua]])),Table_Main[[#This Row],[Số lượng]]*Table_Main[[#This Row],[Giá nhập]],Table_Main[[#This Row],[Số lượng]]*Table_Main[[#This Row],[Giá trị bình quân đầu ngày]])</f>
        <v>3120000</v>
      </c>
      <c r="V7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0" s="48">
        <f>IF(Table_Main[[#This Row],[Đơn Mua]]="", 0,IFERROR(Table_Main[[#This Row],[Tỷ suất VAT khấu trừ]]*(Table_Main[[#This Row],[Giá trị hàng nhập]]/(1+Table_Main[[#This Row],[Tỷ suất VAT khấu trừ]])),0))</f>
        <v>0</v>
      </c>
      <c r="X70" s="523" t="s">
        <v>1208</v>
      </c>
      <c r="Y70" s="28" t="str">
        <f>IFERROR(VLOOKUP(Table_Main[[#This Row],[Đơn bán]],Table_DonBan[[Mã Đơn bán]:[Add]],COUNTA(Table_DonBan[[#Headers],[Mã Đơn bán]:[Mã Khách]]),0),0)</f>
        <v>KH2</v>
      </c>
      <c r="Z70" s="48">
        <f>IF(ISBLANK(Table_Main[[#This Row],[Đơn bán]]),0,
VLOOKUP(Table_Main[[#This Row],[Mã SKU]],Table_SKU[[Mã SKU]:[Giá bán]],COUNTA(Table_SKU[[#Headers],[Mã SKU]:[Giá bán]]),0))</f>
        <v>100000</v>
      </c>
      <c r="AA70" s="48">
        <f>IF(ISBLANK(Table_Main[[#This Row],[Đơn bán]]),0,
IF(Table_Main[[#This Row],[Loại]] = "Xuất",Table_Main[[#This Row],[Giá bán niêm yết]]*Table_Main[[#This Row],[Số lượng]],-Table_Main[[#This Row],[Giá bán niêm yết]]*Table_Main[[#This Row],[Số lượng]]))</f>
        <v>3900000</v>
      </c>
      <c r="AB70" s="230"/>
      <c r="AC7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7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70" s="48">
        <f xml:space="preserve">
IF(Table_Main[[#This Row],[Đơn bán]]="", 0,
IFERROR(
VLOOKUP(Table_Main[[#This Row],[Mã SKU]],Table_SKU[[Mã SKU]:[Tỷ suất VAT]],COUNTA(Table_SKU[[#Headers],[Mã SKU]:[Tỷ suất VAT]]),0),0)*Table_Main[[#This Row],[Giá trị bán trước VAT]])</f>
        <v>0</v>
      </c>
      <c r="AG70" s="51">
        <f>IFERROR(VLOOKUP(Table_Main[[#This Row],[Đơn bán]],Table_DonBan[[Mã Đơn bán]:[Add]],COUNTA(Table_DonBan[[#Headers],[Mã Đơn bán]:[Mã NV]]),0),0)</f>
        <v>0</v>
      </c>
      <c r="AH7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0" s="48">
        <f>IFERROR(Table_Main[[#This Row],[Giá trị bán trước VAT]]*Table_Main[[#This Row],[Tỷ lệ hoa hồng]],"")</f>
        <v>0</v>
      </c>
      <c r="AJ70" s="48">
        <f>IFERROR(VLOOKUP(Table_Main[[#This Row],[Đơn bán]],Table_DonBan[[Mã Đơn bán]:[Add]],COUNTA(Table_DonBan[[#Headers],[Mã Đơn bán]:[Kênh]]),0),0)</f>
        <v>0</v>
      </c>
      <c r="AK7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0" s="48">
        <f>IFERROR(Table_Main[[#This Row],[Giá trị bán trước VAT]]*Table_Main[[#This Row],[Tỷ lệ CK kênh]],"")</f>
        <v>0</v>
      </c>
      <c r="AM70" s="230"/>
      <c r="AN70" s="232"/>
      <c r="AO70" s="226">
        <f>Table_Main[[#This Row],[ĐK - Phân loại]]*Table_Main[[#This Row],[ĐK - Thời gian]]*Table_Main[[#This Row],[ĐK - Giá trị]]*Table_Main[[#This Row],[ĐK - Số lượng]]*Table_Main[[#This Row],[ĐK - Sinh nhật]]*Table_Main[[#This Row],[ĐK - Ngày mua cuối]]</f>
        <v>1</v>
      </c>
      <c r="AP70" s="226">
        <f xml:space="preserve">
IF(ISBLANK(Table_Main[[#This Row],[Chương trình]]),1,
IF(VLOOKUP(Table_Main[[#This Row],[Chương trình]],Table_ChuongTrinh[[Mã Chương trình]:[Đối tượng CK]],Sheet_ChuongTrinh!$C$1,0) = "Sản phẩm",1,0))</f>
        <v>1</v>
      </c>
      <c r="AQ7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1" spans="2:47" ht="18" customHeight="1" x14ac:dyDescent="0.3">
      <c r="B71" s="531" t="s">
        <v>1161</v>
      </c>
      <c r="C71" s="523"/>
      <c r="D71" s="537" t="str">
        <f>IF(ISBLANK(Table_Main[[#This Row],[Mã SKU]]),Table_Main[[#This Row],[Mã Nguyên liệu]],Table_Main[[#This Row],[Mã SKU]])</f>
        <v>TP2</v>
      </c>
      <c r="E71" s="420" cm="1">
        <f t="array" ref="E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v>
      </c>
      <c r="F71" s="420" cm="1">
        <f t="array" ref="F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76</v>
      </c>
      <c r="G71" s="420" cm="1">
        <f t="array" ref="G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1" s="420" cm="1">
        <f t="array" ref="H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1" s="420">
        <f>IFERROR(Table_Main[[#This Row],[Giá trị tồn đầu ngày]]/Table_Main[[#This Row],[Tồn kho đầu ngày]],0)</f>
        <v>0</v>
      </c>
      <c r="J71" s="420">
        <f>IFERROR(Table_Main[[#This Row],[Giá trị tồn cuối ngày]]/Table_Main[[#This Row],[Tồn kho cuối ngày]],0)</f>
        <v>0</v>
      </c>
      <c r="K71" s="415">
        <v>45729</v>
      </c>
      <c r="L7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1" s="29">
        <f>IFERROR(MONTH(Table_Main[[#This Row],[Ngày lên đơn]]),0)</f>
        <v>1</v>
      </c>
      <c r="N71" s="51" t="str">
        <f>IF(Table_Main[[#This Row],[Ngày lên đơn]]=0,"",Table_Main[[#This Row],[Ngày xuất nhập]]-Table_Main[[#This Row],[Ngày lên đơn]])</f>
        <v/>
      </c>
      <c r="O71" s="230" t="s">
        <v>1164</v>
      </c>
      <c r="P71" s="230" t="s">
        <v>1165</v>
      </c>
      <c r="Q71" s="408">
        <v>31</v>
      </c>
      <c r="R71" s="523"/>
      <c r="S71" s="537">
        <f>IFERROR(VLOOKUP(Table_Main[[#This Row],[Đơn Mua]],Table_DonMua[[Mã Đơn mua]:[Add]],COUNTA(Table_DonMua[[#Headers],[Mã Đơn mua]:[Mã Đối tác]]),0),0)</f>
        <v>0</v>
      </c>
      <c r="T71" s="409"/>
      <c r="U71" s="48">
        <f xml:space="preserve">
IF(NOT(ISBLANK(Table_Main[[#This Row],[Đơn Mua]])),Table_Main[[#This Row],[Số lượng]]*Table_Main[[#This Row],[Giá nhập]],Table_Main[[#This Row],[Số lượng]]*Table_Main[[#This Row],[Giá trị bình quân đầu ngày]])</f>
        <v>0</v>
      </c>
      <c r="V7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1" s="48">
        <f>IF(Table_Main[[#This Row],[Đơn Mua]]="", 0,IFERROR(Table_Main[[#This Row],[Tỷ suất VAT khấu trừ]]*(Table_Main[[#This Row],[Giá trị hàng nhập]]/(1+Table_Main[[#This Row],[Tỷ suất VAT khấu trừ]])),0))</f>
        <v>0</v>
      </c>
      <c r="X71" s="523"/>
      <c r="Y71" s="28">
        <f>IFERROR(VLOOKUP(Table_Main[[#This Row],[Đơn bán]],Table_DonBan[[Mã Đơn bán]:[Add]],COUNTA(Table_DonBan[[#Headers],[Mã Đơn bán]:[Mã Khách]]),0),0)</f>
        <v>0</v>
      </c>
      <c r="Z71" s="48">
        <f>IF(ISBLANK(Table_Main[[#This Row],[Đơn bán]]),0,
VLOOKUP(Table_Main[[#This Row],[Mã SKU]],Table_SKU[[Mã SKU]:[Giá bán]],COUNTA(Table_SKU[[#Headers],[Mã SKU]:[Giá bán]]),0))</f>
        <v>0</v>
      </c>
      <c r="AA71" s="48">
        <f>IF(ISBLANK(Table_Main[[#This Row],[Đơn bán]]),0,
IF(Table_Main[[#This Row],[Loại]] = "Xuất",Table_Main[[#This Row],[Giá bán niêm yết]]*Table_Main[[#This Row],[Số lượng]],-Table_Main[[#This Row],[Giá bán niêm yết]]*Table_Main[[#This Row],[Số lượng]]))</f>
        <v>0</v>
      </c>
      <c r="AB71" s="230"/>
      <c r="AC7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1" s="48">
        <f xml:space="preserve">
IF(Table_Main[[#This Row],[Đơn bán]]="", 0,
IFERROR(
VLOOKUP(Table_Main[[#This Row],[Mã SKU]],Table_SKU[[Mã SKU]:[Tỷ suất VAT]],COUNTA(Table_SKU[[#Headers],[Mã SKU]:[Tỷ suất VAT]]),0),0)*Table_Main[[#This Row],[Giá trị bán trước VAT]])</f>
        <v>0</v>
      </c>
      <c r="AG71" s="51">
        <f>IFERROR(VLOOKUP(Table_Main[[#This Row],[Đơn bán]],Table_DonBan[[Mã Đơn bán]:[Add]],COUNTA(Table_DonBan[[#Headers],[Mã Đơn bán]:[Mã NV]]),0),0)</f>
        <v>0</v>
      </c>
      <c r="AH7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1" s="48">
        <f>IFERROR(Table_Main[[#This Row],[Giá trị bán trước VAT]]*Table_Main[[#This Row],[Tỷ lệ hoa hồng]],"")</f>
        <v>0</v>
      </c>
      <c r="AJ71" s="48">
        <f>IFERROR(VLOOKUP(Table_Main[[#This Row],[Đơn bán]],Table_DonBan[[Mã Đơn bán]:[Add]],COUNTA(Table_DonBan[[#Headers],[Mã Đơn bán]:[Kênh]]),0),0)</f>
        <v>0</v>
      </c>
      <c r="AK7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1" s="48">
        <f>IFERROR(Table_Main[[#This Row],[Giá trị bán trước VAT]]*Table_Main[[#This Row],[Tỷ lệ CK kênh]],"")</f>
        <v>0</v>
      </c>
      <c r="AM71" s="230"/>
      <c r="AN71" s="232"/>
      <c r="AO71" s="226">
        <f>Table_Main[[#This Row],[ĐK - Phân loại]]*Table_Main[[#This Row],[ĐK - Thời gian]]*Table_Main[[#This Row],[ĐK - Giá trị]]*Table_Main[[#This Row],[ĐK - Số lượng]]*Table_Main[[#This Row],[ĐK - Sinh nhật]]*Table_Main[[#This Row],[ĐK - Ngày mua cuối]]</f>
        <v>1</v>
      </c>
      <c r="AP71" s="226">
        <f xml:space="preserve">
IF(ISBLANK(Table_Main[[#This Row],[Chương trình]]),1,
IF(VLOOKUP(Table_Main[[#This Row],[Chương trình]],Table_ChuongTrinh[[Mã Chương trình]:[Đối tượng CK]],Sheet_ChuongTrinh!$C$1,0) = "Sản phẩm",1,0))</f>
        <v>1</v>
      </c>
      <c r="AQ7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2" spans="2:47" ht="18" customHeight="1" x14ac:dyDescent="0.3">
      <c r="B72" s="237"/>
      <c r="C72" s="239" t="s">
        <v>1163</v>
      </c>
      <c r="D72" s="538" t="str">
        <f>IF(ISBLANK(Table_Main[[#This Row],[Mã SKU]]),Table_Main[[#This Row],[Mã Nguyên liệu]],Table_Main[[#This Row],[Mã SKU]])</f>
        <v>NL1</v>
      </c>
      <c r="E72" s="420" cm="1">
        <f t="array" ref="E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2" s="420" cm="1">
        <f t="array" ref="F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v>
      </c>
      <c r="G72" s="420" cm="1">
        <f t="array" ref="G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20000000</v>
      </c>
      <c r="H72" s="420" cm="1">
        <f t="array" ref="H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15100000</v>
      </c>
      <c r="I72" s="420">
        <f>IFERROR(Table_Main[[#This Row],[Giá trị tồn đầu ngày]]/Table_Main[[#This Row],[Tồn kho đầu ngày]],0)</f>
        <v>100000</v>
      </c>
      <c r="J72" s="420">
        <f>IFERROR(Table_Main[[#This Row],[Giá trị tồn cuối ngày]]/Table_Main[[#This Row],[Tồn kho cuối ngày]],0)</f>
        <v>100000</v>
      </c>
      <c r="K72" s="415">
        <v>45728</v>
      </c>
      <c r="L7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2" s="29">
        <f>IFERROR(MONTH(Table_Main[[#This Row],[Ngày lên đơn]]),0)</f>
        <v>1</v>
      </c>
      <c r="N72" s="51" t="str">
        <f>IF(Table_Main[[#This Row],[Ngày lên đơn]]=0,"",Table_Main[[#This Row],[Ngày xuất nhập]]-Table_Main[[#This Row],[Ngày lên đơn]])</f>
        <v/>
      </c>
      <c r="O72" s="230" t="s">
        <v>53</v>
      </c>
      <c r="P72" s="230" t="s">
        <v>1165</v>
      </c>
      <c r="Q72" s="408">
        <v>49</v>
      </c>
      <c r="R72" s="523"/>
      <c r="S72" s="537">
        <f>IFERROR(VLOOKUP(Table_Main[[#This Row],[Đơn Mua]],Table_DonMua[[Mã Đơn mua]:[Add]],COUNTA(Table_DonMua[[#Headers],[Mã Đơn mua]:[Mã Đối tác]]),0),0)</f>
        <v>0</v>
      </c>
      <c r="T72" s="409"/>
      <c r="U72" s="48">
        <f xml:space="preserve">
IF(NOT(ISBLANK(Table_Main[[#This Row],[Đơn Mua]])),Table_Main[[#This Row],[Số lượng]]*Table_Main[[#This Row],[Giá nhập]],Table_Main[[#This Row],[Số lượng]]*Table_Main[[#This Row],[Giá trị bình quân đầu ngày]])</f>
        <v>4900000</v>
      </c>
      <c r="V7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2" s="48">
        <f>IF(Table_Main[[#This Row],[Đơn Mua]]="", 0,IFERROR(Table_Main[[#This Row],[Tỷ suất VAT khấu trừ]]*(Table_Main[[#This Row],[Giá trị hàng nhập]]/(1+Table_Main[[#This Row],[Tỷ suất VAT khấu trừ]])),0))</f>
        <v>0</v>
      </c>
      <c r="X72" s="523"/>
      <c r="Y72" s="28">
        <f>IFERROR(VLOOKUP(Table_Main[[#This Row],[Đơn bán]],Table_DonBan[[Mã Đơn bán]:[Add]],COUNTA(Table_DonBan[[#Headers],[Mã Đơn bán]:[Mã Khách]]),0),0)</f>
        <v>0</v>
      </c>
      <c r="Z72" s="48">
        <f>IF(ISBLANK(Table_Main[[#This Row],[Đơn bán]]),0,
VLOOKUP(Table_Main[[#This Row],[Mã SKU]],Table_SKU[[Mã SKU]:[Giá bán]],COUNTA(Table_SKU[[#Headers],[Mã SKU]:[Giá bán]]),0))</f>
        <v>0</v>
      </c>
      <c r="AA72" s="48">
        <f>IF(ISBLANK(Table_Main[[#This Row],[Đơn bán]]),0,
IF(Table_Main[[#This Row],[Loại]] = "Xuất",Table_Main[[#This Row],[Giá bán niêm yết]]*Table_Main[[#This Row],[Số lượng]],-Table_Main[[#This Row],[Giá bán niêm yết]]*Table_Main[[#This Row],[Số lượng]]))</f>
        <v>0</v>
      </c>
      <c r="AB72" s="230"/>
      <c r="AC7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2" s="48">
        <f xml:space="preserve">
IF(Table_Main[[#This Row],[Đơn bán]]="", 0,
IFERROR(
VLOOKUP(Table_Main[[#This Row],[Mã SKU]],Table_SKU[[Mã SKU]:[Tỷ suất VAT]],COUNTA(Table_SKU[[#Headers],[Mã SKU]:[Tỷ suất VAT]]),0),0)*Table_Main[[#This Row],[Giá trị bán trước VAT]])</f>
        <v>0</v>
      </c>
      <c r="AG72" s="51">
        <f>IFERROR(VLOOKUP(Table_Main[[#This Row],[Đơn bán]],Table_DonBan[[Mã Đơn bán]:[Add]],COUNTA(Table_DonBan[[#Headers],[Mã Đơn bán]:[Mã NV]]),0),0)</f>
        <v>0</v>
      </c>
      <c r="AH7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2" s="48">
        <f>IFERROR(Table_Main[[#This Row],[Giá trị bán trước VAT]]*Table_Main[[#This Row],[Tỷ lệ hoa hồng]],"")</f>
        <v>0</v>
      </c>
      <c r="AJ72" s="48">
        <f>IFERROR(VLOOKUP(Table_Main[[#This Row],[Đơn bán]],Table_DonBan[[Mã Đơn bán]:[Add]],COUNTA(Table_DonBan[[#Headers],[Mã Đơn bán]:[Kênh]]),0),0)</f>
        <v>0</v>
      </c>
      <c r="AK7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2" s="48">
        <f>IFERROR(Table_Main[[#This Row],[Giá trị bán trước VAT]]*Table_Main[[#This Row],[Tỷ lệ CK kênh]],"")</f>
        <v>0</v>
      </c>
      <c r="AM72" s="230"/>
      <c r="AN72" s="232"/>
      <c r="AO72" s="226">
        <f>Table_Main[[#This Row],[ĐK - Phân loại]]*Table_Main[[#This Row],[ĐK - Thời gian]]*Table_Main[[#This Row],[ĐK - Giá trị]]*Table_Main[[#This Row],[ĐK - Số lượng]]*Table_Main[[#This Row],[ĐK - Sinh nhật]]*Table_Main[[#This Row],[ĐK - Ngày mua cuối]]</f>
        <v>1</v>
      </c>
      <c r="AP72" s="226">
        <f xml:space="preserve">
IF(ISBLANK(Table_Main[[#This Row],[Chương trình]]),1,
IF(VLOOKUP(Table_Main[[#This Row],[Chương trình]],Table_ChuongTrinh[[Mã Chương trình]:[Đối tượng CK]],Sheet_ChuongTrinh!$C$1,0) = "Sản phẩm",1,0))</f>
        <v>1</v>
      </c>
      <c r="AQ7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3" spans="2:47" ht="18" customHeight="1" x14ac:dyDescent="0.3">
      <c r="B73" s="237"/>
      <c r="C73" s="239" t="s">
        <v>1162</v>
      </c>
      <c r="D73" s="538" t="str">
        <f>IF(ISBLANK(Table_Main[[#This Row],[Mã SKU]]),Table_Main[[#This Row],[Mã Nguyên liệu]],Table_Main[[#This Row],[Mã SKU]])</f>
        <v>NL2</v>
      </c>
      <c r="E73" s="420" cm="1">
        <f t="array" ref="E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118</v>
      </c>
      <c r="F73" s="420" cm="1">
        <f t="array" ref="F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73" s="420" cm="1">
        <f t="array" ref="G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17700000</v>
      </c>
      <c r="H73" s="420" cm="1">
        <f t="array" ref="H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18536292</v>
      </c>
      <c r="I73" s="420">
        <f>IFERROR(Table_Main[[#This Row],[Giá trị tồn đầu ngày]]/Table_Main[[#This Row],[Tồn kho đầu ngày]],0)</f>
        <v>150000</v>
      </c>
      <c r="J73" s="420">
        <f>IFERROR(Table_Main[[#This Row],[Giá trị tồn cuối ngày]]/Table_Main[[#This Row],[Tồn kho cuối ngày]],0)</f>
        <v>142586.86153846153</v>
      </c>
      <c r="K73" s="415">
        <v>45731</v>
      </c>
      <c r="L73" s="47">
        <f xml:space="preserve">
IFERROR(
IFERROR(
VLOOKUP(Table_Main[[#This Row],[Đơn Mua]],Table_DonMua[[Mã Đơn mua]:[Add]],COUNTA(Table_DonMua[[#Headers],[Mã Đơn mua]:[Ngày lập]]),0),
VLOOKUP(Table_Main[[#This Row],[Đơn bán]],Table_DonBan[[Mã Đơn bán]:[Add]], COUNTA(Table_DonBan[[#Headers],[Mã Đơn bán]:[Ngày lập]]),0)),0)</f>
        <v>45728</v>
      </c>
      <c r="M73" s="29">
        <f>IFERROR(MONTH(Table_Main[[#This Row],[Ngày lên đơn]]),0)</f>
        <v>3</v>
      </c>
      <c r="N73" s="51">
        <f>IF(Table_Main[[#This Row],[Ngày lên đơn]]=0,"",Table_Main[[#This Row],[Ngày xuất nhập]]-Table_Main[[#This Row],[Ngày lên đơn]])</f>
        <v>3</v>
      </c>
      <c r="O73" s="230" t="s">
        <v>1164</v>
      </c>
      <c r="P73" s="230" t="s">
        <v>1165</v>
      </c>
      <c r="Q73" s="408">
        <v>12</v>
      </c>
      <c r="R73" s="523" t="s">
        <v>1173</v>
      </c>
      <c r="S73" s="537" t="str">
        <f>IFERROR(VLOOKUP(Table_Main[[#This Row],[Đơn Mua]],Table_DonMua[[Mã Đơn mua]:[Add]],COUNTA(Table_DonMua[[#Headers],[Mã Đơn mua]:[Mã Đối tác]]),0),0)</f>
        <v>NCC3</v>
      </c>
      <c r="T73" s="409">
        <v>69691</v>
      </c>
      <c r="U73" s="48">
        <f xml:space="preserve">
IF(NOT(ISBLANK(Table_Main[[#This Row],[Đơn Mua]])),Table_Main[[#This Row],[Số lượng]]*Table_Main[[#This Row],[Giá nhập]],Table_Main[[#This Row],[Số lượng]]*Table_Main[[#This Row],[Giá trị bình quân đầu ngày]])</f>
        <v>836292</v>
      </c>
      <c r="V7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3" s="48">
        <f>IF(Table_Main[[#This Row],[Đơn Mua]]="", 0,IFERROR(Table_Main[[#This Row],[Tỷ suất VAT khấu trừ]]*(Table_Main[[#This Row],[Giá trị hàng nhập]]/(1+Table_Main[[#This Row],[Tỷ suất VAT khấu trừ]])),0))</f>
        <v>0</v>
      </c>
      <c r="X73" s="523"/>
      <c r="Y73" s="28">
        <f>IFERROR(VLOOKUP(Table_Main[[#This Row],[Đơn bán]],Table_DonBan[[Mã Đơn bán]:[Add]],COUNTA(Table_DonBan[[#Headers],[Mã Đơn bán]:[Mã Khách]]),0),0)</f>
        <v>0</v>
      </c>
      <c r="Z73" s="48">
        <f>IF(ISBLANK(Table_Main[[#This Row],[Đơn bán]]),0,
VLOOKUP(Table_Main[[#This Row],[Mã SKU]],Table_SKU[[Mã SKU]:[Giá bán]],COUNTA(Table_SKU[[#Headers],[Mã SKU]:[Giá bán]]),0))</f>
        <v>0</v>
      </c>
      <c r="AA73" s="48">
        <f>IF(ISBLANK(Table_Main[[#This Row],[Đơn bán]]),0,
IF(Table_Main[[#This Row],[Loại]] = "Xuất",Table_Main[[#This Row],[Giá bán niêm yết]]*Table_Main[[#This Row],[Số lượng]],-Table_Main[[#This Row],[Giá bán niêm yết]]*Table_Main[[#This Row],[Số lượng]]))</f>
        <v>0</v>
      </c>
      <c r="AB73" s="230"/>
      <c r="AC7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3" s="48">
        <f xml:space="preserve">
IF(Table_Main[[#This Row],[Đơn bán]]="", 0,
IFERROR(
VLOOKUP(Table_Main[[#This Row],[Mã SKU]],Table_SKU[[Mã SKU]:[Tỷ suất VAT]],COUNTA(Table_SKU[[#Headers],[Mã SKU]:[Tỷ suất VAT]]),0),0)*Table_Main[[#This Row],[Giá trị bán trước VAT]])</f>
        <v>0</v>
      </c>
      <c r="AG73" s="51">
        <f>IFERROR(VLOOKUP(Table_Main[[#This Row],[Đơn bán]],Table_DonBan[[Mã Đơn bán]:[Add]],COUNTA(Table_DonBan[[#Headers],[Mã Đơn bán]:[Mã NV]]),0),0)</f>
        <v>0</v>
      </c>
      <c r="AH7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3" s="48">
        <f>IFERROR(Table_Main[[#This Row],[Giá trị bán trước VAT]]*Table_Main[[#This Row],[Tỷ lệ hoa hồng]],"")</f>
        <v>0</v>
      </c>
      <c r="AJ73" s="48">
        <f>IFERROR(VLOOKUP(Table_Main[[#This Row],[Đơn bán]],Table_DonBan[[Mã Đơn bán]:[Add]],COUNTA(Table_DonBan[[#Headers],[Mã Đơn bán]:[Kênh]]),0),0)</f>
        <v>0</v>
      </c>
      <c r="AK7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3" s="48">
        <f>IFERROR(Table_Main[[#This Row],[Giá trị bán trước VAT]]*Table_Main[[#This Row],[Tỷ lệ CK kênh]],"")</f>
        <v>0</v>
      </c>
      <c r="AM73" s="230"/>
      <c r="AN73" s="232"/>
      <c r="AO73" s="226">
        <f>Table_Main[[#This Row],[ĐK - Phân loại]]*Table_Main[[#This Row],[ĐK - Thời gian]]*Table_Main[[#This Row],[ĐK - Giá trị]]*Table_Main[[#This Row],[ĐK - Số lượng]]*Table_Main[[#This Row],[ĐK - Sinh nhật]]*Table_Main[[#This Row],[ĐK - Ngày mua cuối]]</f>
        <v>1</v>
      </c>
      <c r="AP73" s="226">
        <f xml:space="preserve">
IF(ISBLANK(Table_Main[[#This Row],[Chương trình]]),1,
IF(VLOOKUP(Table_Main[[#This Row],[Chương trình]],Table_ChuongTrinh[[Mã Chương trình]:[Đối tượng CK]],Sheet_ChuongTrinh!$C$1,0) = "Sản phẩm",1,0))</f>
        <v>1</v>
      </c>
      <c r="AQ7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4" spans="2:47" ht="18" customHeight="1" x14ac:dyDescent="0.3">
      <c r="B74" s="532" t="s">
        <v>1160</v>
      </c>
      <c r="C74" s="523"/>
      <c r="D74" s="537" t="str">
        <f>IF(ISBLANK(Table_Main[[#This Row],[Mã SKU]]),Table_Main[[#This Row],[Mã Nguyên liệu]],Table_Main[[#This Row],[Mã SKU]])</f>
        <v>TP1</v>
      </c>
      <c r="E74" s="420" cm="1">
        <f t="array" ref="E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4" s="420" cm="1">
        <f t="array" ref="F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74" s="420" cm="1">
        <f t="array" ref="G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4" s="420" cm="1">
        <f t="array" ref="H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4" s="420">
        <f>IFERROR(Table_Main[[#This Row],[Giá trị tồn đầu ngày]]/Table_Main[[#This Row],[Tồn kho đầu ngày]],0)</f>
        <v>0</v>
      </c>
      <c r="J74" s="420">
        <f>IFERROR(Table_Main[[#This Row],[Giá trị tồn cuối ngày]]/Table_Main[[#This Row],[Tồn kho cuối ngày]],0)</f>
        <v>0</v>
      </c>
      <c r="K74" s="415">
        <v>45726</v>
      </c>
      <c r="L7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4" s="29">
        <f>IFERROR(MONTH(Table_Main[[#This Row],[Ngày lên đơn]]),0)</f>
        <v>1</v>
      </c>
      <c r="N74" s="51" t="str">
        <f>IF(Table_Main[[#This Row],[Ngày lên đơn]]=0,"",Table_Main[[#This Row],[Ngày xuất nhập]]-Table_Main[[#This Row],[Ngày lên đơn]])</f>
        <v/>
      </c>
      <c r="O74" s="230" t="s">
        <v>1164</v>
      </c>
      <c r="P74" s="230" t="s">
        <v>1165</v>
      </c>
      <c r="Q74" s="408">
        <v>35</v>
      </c>
      <c r="R74" s="523"/>
      <c r="S74" s="537">
        <f>IFERROR(VLOOKUP(Table_Main[[#This Row],[Đơn Mua]],Table_DonMua[[Mã Đơn mua]:[Add]],COUNTA(Table_DonMua[[#Headers],[Mã Đơn mua]:[Mã Đối tác]]),0),0)</f>
        <v>0</v>
      </c>
      <c r="T74" s="409"/>
      <c r="U74" s="48">
        <f xml:space="preserve">
IF(NOT(ISBLANK(Table_Main[[#This Row],[Đơn Mua]])),Table_Main[[#This Row],[Số lượng]]*Table_Main[[#This Row],[Giá nhập]],Table_Main[[#This Row],[Số lượng]]*Table_Main[[#This Row],[Giá trị bình quân đầu ngày]])</f>
        <v>0</v>
      </c>
      <c r="V7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4" s="48">
        <f>IF(Table_Main[[#This Row],[Đơn Mua]]="", 0,IFERROR(Table_Main[[#This Row],[Tỷ suất VAT khấu trừ]]*(Table_Main[[#This Row],[Giá trị hàng nhập]]/(1+Table_Main[[#This Row],[Tỷ suất VAT khấu trừ]])),0))</f>
        <v>0</v>
      </c>
      <c r="X74" s="523"/>
      <c r="Y74" s="28">
        <f>IFERROR(VLOOKUP(Table_Main[[#This Row],[Đơn bán]],Table_DonBan[[Mã Đơn bán]:[Add]],COUNTA(Table_DonBan[[#Headers],[Mã Đơn bán]:[Mã Khách]]),0),0)</f>
        <v>0</v>
      </c>
      <c r="Z74" s="48">
        <f>IF(ISBLANK(Table_Main[[#This Row],[Đơn bán]]),0,
VLOOKUP(Table_Main[[#This Row],[Mã SKU]],Table_SKU[[Mã SKU]:[Giá bán]],COUNTA(Table_SKU[[#Headers],[Mã SKU]:[Giá bán]]),0))</f>
        <v>0</v>
      </c>
      <c r="AA74" s="48">
        <f>IF(ISBLANK(Table_Main[[#This Row],[Đơn bán]]),0,
IF(Table_Main[[#This Row],[Loại]] = "Xuất",Table_Main[[#This Row],[Giá bán niêm yết]]*Table_Main[[#This Row],[Số lượng]],-Table_Main[[#This Row],[Giá bán niêm yết]]*Table_Main[[#This Row],[Số lượng]]))</f>
        <v>0</v>
      </c>
      <c r="AB74" s="230"/>
      <c r="AC7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4" s="48">
        <f xml:space="preserve">
IF(Table_Main[[#This Row],[Đơn bán]]="", 0,
IFERROR(
VLOOKUP(Table_Main[[#This Row],[Mã SKU]],Table_SKU[[Mã SKU]:[Tỷ suất VAT]],COUNTA(Table_SKU[[#Headers],[Mã SKU]:[Tỷ suất VAT]]),0),0)*Table_Main[[#This Row],[Giá trị bán trước VAT]])</f>
        <v>0</v>
      </c>
      <c r="AG74" s="51">
        <f>IFERROR(VLOOKUP(Table_Main[[#This Row],[Đơn bán]],Table_DonBan[[Mã Đơn bán]:[Add]],COUNTA(Table_DonBan[[#Headers],[Mã Đơn bán]:[Mã NV]]),0),0)</f>
        <v>0</v>
      </c>
      <c r="AH7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4" s="48">
        <f>IFERROR(Table_Main[[#This Row],[Giá trị bán trước VAT]]*Table_Main[[#This Row],[Tỷ lệ hoa hồng]],"")</f>
        <v>0</v>
      </c>
      <c r="AJ74" s="48">
        <f>IFERROR(VLOOKUP(Table_Main[[#This Row],[Đơn bán]],Table_DonBan[[Mã Đơn bán]:[Add]],COUNTA(Table_DonBan[[#Headers],[Mã Đơn bán]:[Kênh]]),0),0)</f>
        <v>0</v>
      </c>
      <c r="AK7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4" s="48">
        <f>IFERROR(Table_Main[[#This Row],[Giá trị bán trước VAT]]*Table_Main[[#This Row],[Tỷ lệ CK kênh]],"")</f>
        <v>0</v>
      </c>
      <c r="AM74" s="230"/>
      <c r="AN74" s="232"/>
      <c r="AO74" s="226">
        <f>Table_Main[[#This Row],[ĐK - Phân loại]]*Table_Main[[#This Row],[ĐK - Thời gian]]*Table_Main[[#This Row],[ĐK - Giá trị]]*Table_Main[[#This Row],[ĐK - Số lượng]]*Table_Main[[#This Row],[ĐK - Sinh nhật]]*Table_Main[[#This Row],[ĐK - Ngày mua cuối]]</f>
        <v>1</v>
      </c>
      <c r="AP74" s="226">
        <f xml:space="preserve">
IF(ISBLANK(Table_Main[[#This Row],[Chương trình]]),1,
IF(VLOOKUP(Table_Main[[#This Row],[Chương trình]],Table_ChuongTrinh[[Mã Chương trình]:[Đối tượng CK]],Sheet_ChuongTrinh!$C$1,0) = "Sản phẩm",1,0))</f>
        <v>1</v>
      </c>
      <c r="AQ7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5" spans="2:47" ht="18" customHeight="1" x14ac:dyDescent="0.3">
      <c r="B75" s="532" t="s">
        <v>1161</v>
      </c>
      <c r="C75" s="523"/>
      <c r="D75" s="537" t="str">
        <f>IF(ISBLANK(Table_Main[[#This Row],[Mã SKU]]),Table_Main[[#This Row],[Mã Nguyên liệu]],Table_Main[[#This Row],[Mã SKU]])</f>
        <v>TP2</v>
      </c>
      <c r="E75" s="420" cm="1">
        <f t="array" ref="E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5" s="420" cm="1">
        <f t="array" ref="F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75" s="420" cm="1">
        <f t="array" ref="G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5" s="420" cm="1">
        <f t="array" ref="H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5" s="420">
        <f>IFERROR(Table_Main[[#This Row],[Giá trị tồn đầu ngày]]/Table_Main[[#This Row],[Tồn kho đầu ngày]],0)</f>
        <v>0</v>
      </c>
      <c r="J75" s="420">
        <f>IFERROR(Table_Main[[#This Row],[Giá trị tồn cuối ngày]]/Table_Main[[#This Row],[Tồn kho cuối ngày]],0)</f>
        <v>0</v>
      </c>
      <c r="K75" s="415">
        <v>45726</v>
      </c>
      <c r="L7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5" s="29">
        <f>IFERROR(MONTH(Table_Main[[#This Row],[Ngày lên đơn]]),0)</f>
        <v>1</v>
      </c>
      <c r="N75" s="51" t="str">
        <f>IF(Table_Main[[#This Row],[Ngày lên đơn]]=0,"",Table_Main[[#This Row],[Ngày xuất nhập]]-Table_Main[[#This Row],[Ngày lên đơn]])</f>
        <v/>
      </c>
      <c r="O75" s="230" t="s">
        <v>1164</v>
      </c>
      <c r="P75" s="230" t="s">
        <v>1165</v>
      </c>
      <c r="Q75" s="408">
        <v>45</v>
      </c>
      <c r="R75" s="523"/>
      <c r="S75" s="537">
        <f>IFERROR(VLOOKUP(Table_Main[[#This Row],[Đơn Mua]],Table_DonMua[[Mã Đơn mua]:[Add]],COUNTA(Table_DonMua[[#Headers],[Mã Đơn mua]:[Mã Đối tác]]),0),0)</f>
        <v>0</v>
      </c>
      <c r="T75" s="409"/>
      <c r="U75" s="48">
        <f xml:space="preserve">
IF(NOT(ISBLANK(Table_Main[[#This Row],[Đơn Mua]])),Table_Main[[#This Row],[Số lượng]]*Table_Main[[#This Row],[Giá nhập]],Table_Main[[#This Row],[Số lượng]]*Table_Main[[#This Row],[Giá trị bình quân đầu ngày]])</f>
        <v>0</v>
      </c>
      <c r="V7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5" s="48">
        <f>IF(Table_Main[[#This Row],[Đơn Mua]]="", 0,IFERROR(Table_Main[[#This Row],[Tỷ suất VAT khấu trừ]]*(Table_Main[[#This Row],[Giá trị hàng nhập]]/(1+Table_Main[[#This Row],[Tỷ suất VAT khấu trừ]])),0))</f>
        <v>0</v>
      </c>
      <c r="X75" s="523"/>
      <c r="Y75" s="28">
        <f>IFERROR(VLOOKUP(Table_Main[[#This Row],[Đơn bán]],Table_DonBan[[Mã Đơn bán]:[Add]],COUNTA(Table_DonBan[[#Headers],[Mã Đơn bán]:[Mã Khách]]),0),0)</f>
        <v>0</v>
      </c>
      <c r="Z75" s="48">
        <f>IF(ISBLANK(Table_Main[[#This Row],[Đơn bán]]),0,
VLOOKUP(Table_Main[[#This Row],[Mã SKU]],Table_SKU[[Mã SKU]:[Giá bán]],COUNTA(Table_SKU[[#Headers],[Mã SKU]:[Giá bán]]),0))</f>
        <v>0</v>
      </c>
      <c r="AA75" s="48">
        <f>IF(ISBLANK(Table_Main[[#This Row],[Đơn bán]]),0,
IF(Table_Main[[#This Row],[Loại]] = "Xuất",Table_Main[[#This Row],[Giá bán niêm yết]]*Table_Main[[#This Row],[Số lượng]],-Table_Main[[#This Row],[Giá bán niêm yết]]*Table_Main[[#This Row],[Số lượng]]))</f>
        <v>0</v>
      </c>
      <c r="AB75" s="230"/>
      <c r="AC7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5" s="48">
        <f xml:space="preserve">
IF(Table_Main[[#This Row],[Đơn bán]]="", 0,
IFERROR(
VLOOKUP(Table_Main[[#This Row],[Mã SKU]],Table_SKU[[Mã SKU]:[Tỷ suất VAT]],COUNTA(Table_SKU[[#Headers],[Mã SKU]:[Tỷ suất VAT]]),0),0)*Table_Main[[#This Row],[Giá trị bán trước VAT]])</f>
        <v>0</v>
      </c>
      <c r="AG75" s="51">
        <f>IFERROR(VLOOKUP(Table_Main[[#This Row],[Đơn bán]],Table_DonBan[[Mã Đơn bán]:[Add]],COUNTA(Table_DonBan[[#Headers],[Mã Đơn bán]:[Mã NV]]),0),0)</f>
        <v>0</v>
      </c>
      <c r="AH7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5" s="48">
        <f>IFERROR(Table_Main[[#This Row],[Giá trị bán trước VAT]]*Table_Main[[#This Row],[Tỷ lệ hoa hồng]],"")</f>
        <v>0</v>
      </c>
      <c r="AJ75" s="48">
        <f>IFERROR(VLOOKUP(Table_Main[[#This Row],[Đơn bán]],Table_DonBan[[Mã Đơn bán]:[Add]],COUNTA(Table_DonBan[[#Headers],[Mã Đơn bán]:[Kênh]]),0),0)</f>
        <v>0</v>
      </c>
      <c r="AK7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5" s="48">
        <f>IFERROR(Table_Main[[#This Row],[Giá trị bán trước VAT]]*Table_Main[[#This Row],[Tỷ lệ CK kênh]],"")</f>
        <v>0</v>
      </c>
      <c r="AM75" s="230"/>
      <c r="AN75" s="232"/>
      <c r="AO75" s="226">
        <f>Table_Main[[#This Row],[ĐK - Phân loại]]*Table_Main[[#This Row],[ĐK - Thời gian]]*Table_Main[[#This Row],[ĐK - Giá trị]]*Table_Main[[#This Row],[ĐK - Số lượng]]*Table_Main[[#This Row],[ĐK - Sinh nhật]]*Table_Main[[#This Row],[ĐK - Ngày mua cuối]]</f>
        <v>1</v>
      </c>
      <c r="AP75" s="226">
        <f xml:space="preserve">
IF(ISBLANK(Table_Main[[#This Row],[Chương trình]]),1,
IF(VLOOKUP(Table_Main[[#This Row],[Chương trình]],Table_ChuongTrinh[[Mã Chương trình]:[Đối tượng CK]],Sheet_ChuongTrinh!$C$1,0) = "Sản phẩm",1,0))</f>
        <v>1</v>
      </c>
      <c r="AQ7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6" spans="2:47" ht="18" customHeight="1" x14ac:dyDescent="0.3">
      <c r="B76" s="237"/>
      <c r="C76" s="239" t="s">
        <v>1163</v>
      </c>
      <c r="D76" s="538" t="str">
        <f>IF(ISBLANK(Table_Main[[#This Row],[Mã SKU]]),Table_Main[[#This Row],[Mã Nguyên liệu]],Table_Main[[#This Row],[Mã SKU]])</f>
        <v>NL1</v>
      </c>
      <c r="E76" s="420" cm="1">
        <f t="array" ref="E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v>
      </c>
      <c r="F76" s="420" cm="1">
        <f t="array" ref="F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6" s="420" cm="1">
        <f t="array" ref="G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6" s="420" cm="1">
        <f t="array" ref="H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20000000</v>
      </c>
      <c r="I76" s="420">
        <f>IFERROR(Table_Main[[#This Row],[Giá trị tồn đầu ngày]]/Table_Main[[#This Row],[Tồn kho đầu ngày]],0)</f>
        <v>100000</v>
      </c>
      <c r="J76" s="420">
        <f>IFERROR(Table_Main[[#This Row],[Giá trị tồn cuối ngày]]/Table_Main[[#This Row],[Tồn kho cuối ngày]],0)</f>
        <v>100000</v>
      </c>
      <c r="K76" s="415">
        <v>45724</v>
      </c>
      <c r="L7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6" s="29">
        <f>IFERROR(MONTH(Table_Main[[#This Row],[Ngày lên đơn]]),0)</f>
        <v>1</v>
      </c>
      <c r="N76" s="51" t="str">
        <f>IF(Table_Main[[#This Row],[Ngày lên đơn]]=0,"",Table_Main[[#This Row],[Ngày xuất nhập]]-Table_Main[[#This Row],[Ngày lên đơn]])</f>
        <v/>
      </c>
      <c r="O76" s="230" t="s">
        <v>53</v>
      </c>
      <c r="P76" s="230" t="s">
        <v>1165</v>
      </c>
      <c r="Q76" s="408">
        <v>100</v>
      </c>
      <c r="R76" s="523"/>
      <c r="S76" s="537">
        <f>IFERROR(VLOOKUP(Table_Main[[#This Row],[Đơn Mua]],Table_DonMua[[Mã Đơn mua]:[Add]],COUNTA(Table_DonMua[[#Headers],[Mã Đơn mua]:[Mã Đối tác]]),0),0)</f>
        <v>0</v>
      </c>
      <c r="T76" s="409"/>
      <c r="U76" s="48">
        <f xml:space="preserve">
IF(NOT(ISBLANK(Table_Main[[#This Row],[Đơn Mua]])),Table_Main[[#This Row],[Số lượng]]*Table_Main[[#This Row],[Giá nhập]],Table_Main[[#This Row],[Số lượng]]*Table_Main[[#This Row],[Giá trị bình quân đầu ngày]])</f>
        <v>10000000</v>
      </c>
      <c r="V7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6" s="48">
        <f>IF(Table_Main[[#This Row],[Đơn Mua]]="", 0,IFERROR(Table_Main[[#This Row],[Tỷ suất VAT khấu trừ]]*(Table_Main[[#This Row],[Giá trị hàng nhập]]/(1+Table_Main[[#This Row],[Tỷ suất VAT khấu trừ]])),0))</f>
        <v>0</v>
      </c>
      <c r="X76" s="523"/>
      <c r="Y76" s="28">
        <f>IFERROR(VLOOKUP(Table_Main[[#This Row],[Đơn bán]],Table_DonBan[[Mã Đơn bán]:[Add]],COUNTA(Table_DonBan[[#Headers],[Mã Đơn bán]:[Mã Khách]]),0),0)</f>
        <v>0</v>
      </c>
      <c r="Z76" s="48">
        <f>IF(ISBLANK(Table_Main[[#This Row],[Đơn bán]]),0,
VLOOKUP(Table_Main[[#This Row],[Mã SKU]],Table_SKU[[Mã SKU]:[Giá bán]],COUNTA(Table_SKU[[#Headers],[Mã SKU]:[Giá bán]]),0))</f>
        <v>0</v>
      </c>
      <c r="AA76" s="48">
        <f>IF(ISBLANK(Table_Main[[#This Row],[Đơn bán]]),0,
IF(Table_Main[[#This Row],[Loại]] = "Xuất",Table_Main[[#This Row],[Giá bán niêm yết]]*Table_Main[[#This Row],[Số lượng]],-Table_Main[[#This Row],[Giá bán niêm yết]]*Table_Main[[#This Row],[Số lượng]]))</f>
        <v>0</v>
      </c>
      <c r="AB76" s="230"/>
      <c r="AC7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6" s="48">
        <f xml:space="preserve">
IF(Table_Main[[#This Row],[Đơn bán]]="", 0,
IFERROR(
VLOOKUP(Table_Main[[#This Row],[Mã SKU]],Table_SKU[[Mã SKU]:[Tỷ suất VAT]],COUNTA(Table_SKU[[#Headers],[Mã SKU]:[Tỷ suất VAT]]),0),0)*Table_Main[[#This Row],[Giá trị bán trước VAT]])</f>
        <v>0</v>
      </c>
      <c r="AG76" s="51">
        <f>IFERROR(VLOOKUP(Table_Main[[#This Row],[Đơn bán]],Table_DonBan[[Mã Đơn bán]:[Add]],COUNTA(Table_DonBan[[#Headers],[Mã Đơn bán]:[Mã NV]]),0),0)</f>
        <v>0</v>
      </c>
      <c r="AH7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6" s="48">
        <f>IFERROR(Table_Main[[#This Row],[Giá trị bán trước VAT]]*Table_Main[[#This Row],[Tỷ lệ hoa hồng]],"")</f>
        <v>0</v>
      </c>
      <c r="AJ76" s="48">
        <f>IFERROR(VLOOKUP(Table_Main[[#This Row],[Đơn bán]],Table_DonBan[[Mã Đơn bán]:[Add]],COUNTA(Table_DonBan[[#Headers],[Mã Đơn bán]:[Kênh]]),0),0)</f>
        <v>0</v>
      </c>
      <c r="AK7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6" s="48">
        <f>IFERROR(Table_Main[[#This Row],[Giá trị bán trước VAT]]*Table_Main[[#This Row],[Tỷ lệ CK kênh]],"")</f>
        <v>0</v>
      </c>
      <c r="AM76" s="230"/>
      <c r="AN76" s="232"/>
      <c r="AO76" s="226">
        <f>Table_Main[[#This Row],[ĐK - Phân loại]]*Table_Main[[#This Row],[ĐK - Thời gian]]*Table_Main[[#This Row],[ĐK - Giá trị]]*Table_Main[[#This Row],[ĐK - Số lượng]]*Table_Main[[#This Row],[ĐK - Sinh nhật]]*Table_Main[[#This Row],[ĐK - Ngày mua cuối]]</f>
        <v>1</v>
      </c>
      <c r="AP76" s="226">
        <f xml:space="preserve">
IF(ISBLANK(Table_Main[[#This Row],[Chương trình]]),1,
IF(VLOOKUP(Table_Main[[#This Row],[Chương trình]],Table_ChuongTrinh[[Mã Chương trình]:[Đối tượng CK]],Sheet_ChuongTrinh!$C$1,0) = "Sản phẩm",1,0))</f>
        <v>1</v>
      </c>
      <c r="AQ7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7" spans="2:47" ht="18" customHeight="1" x14ac:dyDescent="0.15">
      <c r="B77" s="237"/>
      <c r="C77" s="239" t="s">
        <v>1162</v>
      </c>
      <c r="D77" s="538" t="str">
        <f>IF(ISBLANK(Table_Main[[#This Row],[Mã SKU]]),Table_Main[[#This Row],[Mã Nguyên liệu]],Table_Main[[#This Row],[Mã SKU]])</f>
        <v>NL2</v>
      </c>
      <c r="E77" s="420" cm="1">
        <f t="array" ref="E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7" s="420" cm="1">
        <f t="array" ref="F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7" s="420" cm="1">
        <f t="array" ref="G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7" s="420" cm="1">
        <f t="array" ref="H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22500000</v>
      </c>
      <c r="I77" s="420">
        <f>IFERROR(Table_Main[[#This Row],[Giá trị tồn đầu ngày]]/Table_Main[[#This Row],[Tồn kho đầu ngày]],0)</f>
        <v>150000</v>
      </c>
      <c r="J77" s="420">
        <f>IFERROR(Table_Main[[#This Row],[Giá trị tồn cuối ngày]]/Table_Main[[#This Row],[Tồn kho cuối ngày]],0)</f>
        <v>150000</v>
      </c>
      <c r="K77" s="415">
        <v>45724</v>
      </c>
      <c r="L7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7" s="29">
        <f>IFERROR(MONTH(Table_Main[[#This Row],[Ngày lên đơn]]),0)</f>
        <v>1</v>
      </c>
      <c r="N77" s="551" t="str">
        <f>IF(Table_Main[[#This Row],[Ngày lên đơn]]=0,"",Table_Main[[#This Row],[Ngày xuất nhập]]-Table_Main[[#This Row],[Ngày lên đơn]])</f>
        <v/>
      </c>
      <c r="O77" s="7" t="s">
        <v>53</v>
      </c>
      <c r="P77" s="230" t="s">
        <v>1165</v>
      </c>
      <c r="Q77" s="408">
        <v>50</v>
      </c>
      <c r="R77" s="523"/>
      <c r="S77" s="537">
        <f>IFERROR(VLOOKUP(Table_Main[[#This Row],[Đơn Mua]],Table_DonMua[[Mã Đơn mua]:[Add]],COUNTA(Table_DonMua[[#Headers],[Mã Đơn mua]:[Mã Đối tác]]),0),0)</f>
        <v>0</v>
      </c>
      <c r="T77" s="409"/>
      <c r="U77" s="48">
        <f xml:space="preserve">
IF(NOT(ISBLANK(Table_Main[[#This Row],[Đơn Mua]])),Table_Main[[#This Row],[Số lượng]]*Table_Main[[#This Row],[Giá nhập]],Table_Main[[#This Row],[Số lượng]]*Table_Main[[#This Row],[Giá trị bình quân đầu ngày]])</f>
        <v>7500000</v>
      </c>
      <c r="V7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7" s="48">
        <f>IF(Table_Main[[#This Row],[Đơn Mua]]="", 0,IFERROR(Table_Main[[#This Row],[Tỷ suất VAT khấu trừ]]*(Table_Main[[#This Row],[Giá trị hàng nhập]]/(1+Table_Main[[#This Row],[Tỷ suất VAT khấu trừ]])),0))</f>
        <v>0</v>
      </c>
      <c r="X77" s="523"/>
      <c r="Y77" s="28">
        <f>IFERROR(VLOOKUP(Table_Main[[#This Row],[Đơn bán]],Table_DonBan[[Mã Đơn bán]:[Add]],COUNTA(Table_DonBan[[#Headers],[Mã Đơn bán]:[Mã Khách]]),0),0)</f>
        <v>0</v>
      </c>
      <c r="Z77" s="48">
        <f>IF(ISBLANK(Table_Main[[#This Row],[Đơn bán]]),0,
VLOOKUP(Table_Main[[#This Row],[Mã SKU]],Table_SKU[[Mã SKU]:[Giá bán]],COUNTA(Table_SKU[[#Headers],[Mã SKU]:[Giá bán]]),0))</f>
        <v>0</v>
      </c>
      <c r="AA77" s="48">
        <f>IF(ISBLANK(Table_Main[[#This Row],[Đơn bán]]),0,
IF(Table_Main[[#This Row],[Loại]] = "Xuất",Table_Main[[#This Row],[Giá bán niêm yết]]*Table_Main[[#This Row],[Số lượng]],-Table_Main[[#This Row],[Giá bán niêm yết]]*Table_Main[[#This Row],[Số lượng]]))</f>
        <v>0</v>
      </c>
      <c r="AB77" s="230"/>
      <c r="AC7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7" s="48">
        <f xml:space="preserve">
IF(Table_Main[[#This Row],[Đơn bán]]="", 0,
IFERROR(
VLOOKUP(Table_Main[[#This Row],[Mã SKU]],Table_SKU[[Mã SKU]:[Tỷ suất VAT]],COUNTA(Table_SKU[[#Headers],[Mã SKU]:[Tỷ suất VAT]]),0),0)*Table_Main[[#This Row],[Giá trị bán trước VAT]])</f>
        <v>0</v>
      </c>
      <c r="AG77" s="51">
        <f>IFERROR(VLOOKUP(Table_Main[[#This Row],[Đơn bán]],Table_DonBan[[Mã Đơn bán]:[Add]],COUNTA(Table_DonBan[[#Headers],[Mã Đơn bán]:[Mã NV]]),0),0)</f>
        <v>0</v>
      </c>
      <c r="AH7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7" s="48">
        <f>IFERROR(Table_Main[[#This Row],[Giá trị bán trước VAT]]*Table_Main[[#This Row],[Tỷ lệ hoa hồng]],"")</f>
        <v>0</v>
      </c>
      <c r="AJ77" s="48">
        <f>IFERROR(VLOOKUP(Table_Main[[#This Row],[Đơn bán]],Table_DonBan[[Mã Đơn bán]:[Add]],COUNTA(Table_DonBan[[#Headers],[Mã Đơn bán]:[Kênh]]),0),0)</f>
        <v>0</v>
      </c>
      <c r="AK7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7" s="48">
        <f>IFERROR(Table_Main[[#This Row],[Giá trị bán trước VAT]]*Table_Main[[#This Row],[Tỷ lệ CK kênh]],"")</f>
        <v>0</v>
      </c>
      <c r="AM77" s="230"/>
      <c r="AN77" s="232"/>
      <c r="AO77" s="226">
        <f>Table_Main[[#This Row],[ĐK - Phân loại]]*Table_Main[[#This Row],[ĐK - Thời gian]]*Table_Main[[#This Row],[ĐK - Giá trị]]*Table_Main[[#This Row],[ĐK - Số lượng]]*Table_Main[[#This Row],[ĐK - Sinh nhật]]*Table_Main[[#This Row],[ĐK - Ngày mua cuối]]</f>
        <v>1</v>
      </c>
      <c r="AP77" s="226">
        <f xml:space="preserve">
IF(ISBLANK(Table_Main[[#This Row],[Chương trình]]),1,
IF(VLOOKUP(Table_Main[[#This Row],[Chương trình]],Table_ChuongTrinh[[Mã Chương trình]:[Đối tượng CK]],Sheet_ChuongTrinh!$C$1,0) = "Sản phẩm",1,0))</f>
        <v>1</v>
      </c>
      <c r="AQ7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8" spans="2:47" ht="18" customHeight="1" x14ac:dyDescent="0.3">
      <c r="B78" s="532" t="s">
        <v>1159</v>
      </c>
      <c r="C78" s="523"/>
      <c r="D78" s="537" t="str">
        <f>IF(ISBLANK(Table_Main[[#This Row],[Mã SKU]]),Table_Main[[#This Row],[Mã Nguyên liệu]],Table_Main[[#This Row],[Mã SKU]])</f>
        <v>HH1</v>
      </c>
      <c r="E78" s="420" cm="1">
        <f t="array" ref="E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8" s="420" cm="1">
        <f t="array" ref="F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8" s="420" cm="1">
        <f t="array" ref="G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8" s="420" cm="1">
        <f t="array" ref="H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12000000</v>
      </c>
      <c r="I78" s="420">
        <f>IFERROR(Table_Main[[#This Row],[Giá trị tồn đầu ngày]]/Table_Main[[#This Row],[Tồn kho đầu ngày]],0)</f>
        <v>0</v>
      </c>
      <c r="J78" s="420">
        <f>IFERROR(Table_Main[[#This Row],[Giá trị tồn cuối ngày]]/Table_Main[[#This Row],[Tồn kho cuối ngày]],0)</f>
        <v>80000</v>
      </c>
      <c r="K78" s="415">
        <v>45722</v>
      </c>
      <c r="L78"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8" s="29">
        <f>IFERROR(MONTH(Table_Main[[#This Row],[Ngày lên đơn]]),0)</f>
        <v>3</v>
      </c>
      <c r="N78" s="51">
        <f>IF(Table_Main[[#This Row],[Ngày lên đơn]]=0,"",Table_Main[[#This Row],[Ngày xuất nhập]]-Table_Main[[#This Row],[Ngày lên đơn]])</f>
        <v>0</v>
      </c>
      <c r="O78" s="230" t="s">
        <v>1164</v>
      </c>
      <c r="P78" s="230" t="s">
        <v>1165</v>
      </c>
      <c r="Q78" s="408">
        <v>150</v>
      </c>
      <c r="R78" s="523" t="s">
        <v>1172</v>
      </c>
      <c r="S78" s="537" t="str">
        <f>IFERROR(VLOOKUP(Table_Main[[#This Row],[Đơn Mua]],Table_DonMua[[Mã Đơn mua]:[Add]],COUNTA(Table_DonMua[[#Headers],[Mã Đơn mua]:[Mã Đối tác]]),0),0)</f>
        <v>NCC1</v>
      </c>
      <c r="T78" s="409">
        <v>80000</v>
      </c>
      <c r="U78" s="48">
        <f xml:space="preserve">
IF(NOT(ISBLANK(Table_Main[[#This Row],[Đơn Mua]])),Table_Main[[#This Row],[Số lượng]]*Table_Main[[#This Row],[Giá nhập]],Table_Main[[#This Row],[Số lượng]]*Table_Main[[#This Row],[Giá trị bình quân đầu ngày]])</f>
        <v>12000000</v>
      </c>
      <c r="V7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8" s="48">
        <f>IF(Table_Main[[#This Row],[Đơn Mua]]="", 0,IFERROR(Table_Main[[#This Row],[Tỷ suất VAT khấu trừ]]*(Table_Main[[#This Row],[Giá trị hàng nhập]]/(1+Table_Main[[#This Row],[Tỷ suất VAT khấu trừ]])),0))</f>
        <v>0</v>
      </c>
      <c r="X78" s="523"/>
      <c r="Y78" s="28">
        <f>IFERROR(VLOOKUP(Table_Main[[#This Row],[Đơn bán]],Table_DonBan[[Mã Đơn bán]:[Add]],COUNTA(Table_DonBan[[#Headers],[Mã Đơn bán]:[Mã Khách]]),0),0)</f>
        <v>0</v>
      </c>
      <c r="Z78" s="48">
        <f>IF(ISBLANK(Table_Main[[#This Row],[Đơn bán]]),0,
VLOOKUP(Table_Main[[#This Row],[Mã SKU]],Table_SKU[[Mã SKU]:[Giá bán]],COUNTA(Table_SKU[[#Headers],[Mã SKU]:[Giá bán]]),0))</f>
        <v>0</v>
      </c>
      <c r="AA78" s="48">
        <f>IF(ISBLANK(Table_Main[[#This Row],[Đơn bán]]),0,
IF(Table_Main[[#This Row],[Loại]] = "Xuất",Table_Main[[#This Row],[Giá bán niêm yết]]*Table_Main[[#This Row],[Số lượng]],-Table_Main[[#This Row],[Giá bán niêm yết]]*Table_Main[[#This Row],[Số lượng]]))</f>
        <v>0</v>
      </c>
      <c r="AB78" s="230"/>
      <c r="AC7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8" s="48">
        <f xml:space="preserve">
IF(Table_Main[[#This Row],[Đơn bán]]="", 0,
IFERROR(
VLOOKUP(Table_Main[[#This Row],[Mã SKU]],Table_SKU[[Mã SKU]:[Tỷ suất VAT]],COUNTA(Table_SKU[[#Headers],[Mã SKU]:[Tỷ suất VAT]]),0),0)*Table_Main[[#This Row],[Giá trị bán trước VAT]])</f>
        <v>0</v>
      </c>
      <c r="AG78" s="51">
        <f>IFERROR(VLOOKUP(Table_Main[[#This Row],[Đơn bán]],Table_DonBan[[Mã Đơn bán]:[Add]],COUNTA(Table_DonBan[[#Headers],[Mã Đơn bán]:[Mã NV]]),0),0)</f>
        <v>0</v>
      </c>
      <c r="AH7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8" s="48">
        <f>IFERROR(Table_Main[[#This Row],[Giá trị bán trước VAT]]*Table_Main[[#This Row],[Tỷ lệ hoa hồng]],"")</f>
        <v>0</v>
      </c>
      <c r="AJ78" s="48">
        <f>IFERROR(VLOOKUP(Table_Main[[#This Row],[Đơn bán]],Table_DonBan[[Mã Đơn bán]:[Add]],COUNTA(Table_DonBan[[#Headers],[Mã Đơn bán]:[Kênh]]),0),0)</f>
        <v>0</v>
      </c>
      <c r="AK7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8" s="48">
        <f>IFERROR(Table_Main[[#This Row],[Giá trị bán trước VAT]]*Table_Main[[#This Row],[Tỷ lệ CK kênh]],"")</f>
        <v>0</v>
      </c>
      <c r="AM78" s="230"/>
      <c r="AN78" s="232"/>
      <c r="AO78" s="226">
        <f>Table_Main[[#This Row],[ĐK - Phân loại]]*Table_Main[[#This Row],[ĐK - Thời gian]]*Table_Main[[#This Row],[ĐK - Giá trị]]*Table_Main[[#This Row],[ĐK - Số lượng]]*Table_Main[[#This Row],[ĐK - Sinh nhật]]*Table_Main[[#This Row],[ĐK - Ngày mua cuối]]</f>
        <v>1</v>
      </c>
      <c r="AP78" s="226">
        <f xml:space="preserve">
IF(ISBLANK(Table_Main[[#This Row],[Chương trình]]),1,
IF(VLOOKUP(Table_Main[[#This Row],[Chương trình]],Table_ChuongTrinh[[Mã Chương trình]:[Đối tượng CK]],Sheet_ChuongTrinh!$C$1,0) = "Sản phẩm",1,0))</f>
        <v>1</v>
      </c>
      <c r="AQ7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9" spans="2:47" ht="18" customHeight="1" x14ac:dyDescent="0.3">
      <c r="B79" s="237"/>
      <c r="C79" s="239" t="s">
        <v>1162</v>
      </c>
      <c r="D79" s="538" t="str">
        <f>IF(ISBLANK(Table_Main[[#This Row],[Mã SKU]]),Table_Main[[#This Row],[Mã Nguyên liệu]],Table_Main[[#This Row],[Mã SKU]])</f>
        <v>NL2</v>
      </c>
      <c r="E79" s="420" cm="1">
        <f t="array" ref="E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9" s="420" cm="1">
        <f t="array" ref="F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9" s="420" cm="1">
        <f t="array" ref="G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9" s="420" cm="1">
        <f t="array" ref="H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79" s="420">
        <f>IFERROR(Table_Main[[#This Row],[Giá trị tồn đầu ngày]]/Table_Main[[#This Row],[Tồn kho đầu ngày]],0)</f>
        <v>0</v>
      </c>
      <c r="J79" s="420">
        <f>IFERROR(Table_Main[[#This Row],[Giá trị tồn cuối ngày]]/Table_Main[[#This Row],[Tồn kho cuối ngày]],0)</f>
        <v>150000</v>
      </c>
      <c r="K79" s="415">
        <v>45722</v>
      </c>
      <c r="L79"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9" s="29">
        <f>IFERROR(MONTH(Table_Main[[#This Row],[Ngày lên đơn]]),0)</f>
        <v>3</v>
      </c>
      <c r="N79" s="51">
        <f>IF(Table_Main[[#This Row],[Ngày lên đơn]]=0,"",Table_Main[[#This Row],[Ngày xuất nhập]]-Table_Main[[#This Row],[Ngày lên đơn]])</f>
        <v>0</v>
      </c>
      <c r="O79" s="230" t="s">
        <v>1164</v>
      </c>
      <c r="P79" s="230" t="s">
        <v>1165</v>
      </c>
      <c r="Q79" s="408">
        <v>200</v>
      </c>
      <c r="R79" s="523" t="s">
        <v>1172</v>
      </c>
      <c r="S79" s="537" t="str">
        <f>IFERROR(VLOOKUP(Table_Main[[#This Row],[Đơn Mua]],Table_DonMua[[Mã Đơn mua]:[Add]],COUNTA(Table_DonMua[[#Headers],[Mã Đơn mua]:[Mã Đối tác]]),0),0)</f>
        <v>NCC1</v>
      </c>
      <c r="T79" s="409">
        <v>150000</v>
      </c>
      <c r="U79" s="48">
        <f xml:space="preserve">
IF(NOT(ISBLANK(Table_Main[[#This Row],[Đơn Mua]])),Table_Main[[#This Row],[Số lượng]]*Table_Main[[#This Row],[Giá nhập]],Table_Main[[#This Row],[Số lượng]]*Table_Main[[#This Row],[Giá trị bình quân đầu ngày]])</f>
        <v>30000000</v>
      </c>
      <c r="V7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9" s="48">
        <f>IF(Table_Main[[#This Row],[Đơn Mua]]="", 0,IFERROR(Table_Main[[#This Row],[Tỷ suất VAT khấu trừ]]*(Table_Main[[#This Row],[Giá trị hàng nhập]]/(1+Table_Main[[#This Row],[Tỷ suất VAT khấu trừ]])),0))</f>
        <v>0</v>
      </c>
      <c r="X79" s="523"/>
      <c r="Y79" s="28">
        <f>IFERROR(VLOOKUP(Table_Main[[#This Row],[Đơn bán]],Table_DonBan[[Mã Đơn bán]:[Add]],COUNTA(Table_DonBan[[#Headers],[Mã Đơn bán]:[Mã Khách]]),0),0)</f>
        <v>0</v>
      </c>
      <c r="Z79" s="48">
        <f>IF(ISBLANK(Table_Main[[#This Row],[Đơn bán]]),0,
VLOOKUP(Table_Main[[#This Row],[Mã SKU]],Table_SKU[[Mã SKU]:[Giá bán]],COUNTA(Table_SKU[[#Headers],[Mã SKU]:[Giá bán]]),0))</f>
        <v>0</v>
      </c>
      <c r="AA79" s="48">
        <f>IF(ISBLANK(Table_Main[[#This Row],[Đơn bán]]),0,
IF(Table_Main[[#This Row],[Loại]] = "Xuất",Table_Main[[#This Row],[Giá bán niêm yết]]*Table_Main[[#This Row],[Số lượng]],-Table_Main[[#This Row],[Giá bán niêm yết]]*Table_Main[[#This Row],[Số lượng]]))</f>
        <v>0</v>
      </c>
      <c r="AB79" s="230"/>
      <c r="AC7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9" s="48">
        <f xml:space="preserve">
IF(Table_Main[[#This Row],[Đơn bán]]="", 0,
IFERROR(
VLOOKUP(Table_Main[[#This Row],[Mã SKU]],Table_SKU[[Mã SKU]:[Tỷ suất VAT]],COUNTA(Table_SKU[[#Headers],[Mã SKU]:[Tỷ suất VAT]]),0),0)*Table_Main[[#This Row],[Giá trị bán trước VAT]])</f>
        <v>0</v>
      </c>
      <c r="AG79" s="51">
        <f>IFERROR(VLOOKUP(Table_Main[[#This Row],[Đơn bán]],Table_DonBan[[Mã Đơn bán]:[Add]],COUNTA(Table_DonBan[[#Headers],[Mã Đơn bán]:[Mã NV]]),0),0)</f>
        <v>0</v>
      </c>
      <c r="AH7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9" s="48">
        <f>IFERROR(Table_Main[[#This Row],[Giá trị bán trước VAT]]*Table_Main[[#This Row],[Tỷ lệ hoa hồng]],"")</f>
        <v>0</v>
      </c>
      <c r="AJ79" s="48">
        <f>IFERROR(VLOOKUP(Table_Main[[#This Row],[Đơn bán]],Table_DonBan[[Mã Đơn bán]:[Add]],COUNTA(Table_DonBan[[#Headers],[Mã Đơn bán]:[Kênh]]),0),0)</f>
        <v>0</v>
      </c>
      <c r="AK7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9" s="48">
        <f>IFERROR(Table_Main[[#This Row],[Giá trị bán trước VAT]]*Table_Main[[#This Row],[Tỷ lệ CK kênh]],"")</f>
        <v>0</v>
      </c>
      <c r="AM79" s="230"/>
      <c r="AN79" s="232"/>
      <c r="AO79" s="226">
        <f>Table_Main[[#This Row],[ĐK - Phân loại]]*Table_Main[[#This Row],[ĐK - Thời gian]]*Table_Main[[#This Row],[ĐK - Giá trị]]*Table_Main[[#This Row],[ĐK - Số lượng]]*Table_Main[[#This Row],[ĐK - Sinh nhật]]*Table_Main[[#This Row],[ĐK - Ngày mua cuối]]</f>
        <v>1</v>
      </c>
      <c r="AP79" s="226">
        <f xml:space="preserve">
IF(ISBLANK(Table_Main[[#This Row],[Chương trình]]),1,
IF(VLOOKUP(Table_Main[[#This Row],[Chương trình]],Table_ChuongTrinh[[Mã Chương trình]:[Đối tượng CK]],Sheet_ChuongTrinh!$C$1,0) = "Sản phẩm",1,0))</f>
        <v>1</v>
      </c>
      <c r="AQ7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0" spans="2:47" ht="18" customHeight="1" x14ac:dyDescent="0.15">
      <c r="B80" s="237"/>
      <c r="C80" s="239" t="s">
        <v>1163</v>
      </c>
      <c r="D80" s="538" t="str">
        <f>IF(ISBLANK(Table_Main[[#This Row],[Mã SKU]]),Table_Main[[#This Row],[Mã Nguyên liệu]],Table_Main[[#This Row],[Mã SKU]])</f>
        <v>NL1</v>
      </c>
      <c r="E80" s="420" cm="1">
        <f t="array" ref="E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0" s="420" cm="1">
        <f t="array" ref="F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v>
      </c>
      <c r="G80" s="420" cm="1">
        <f t="array" ref="G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0" s="420" cm="1">
        <f t="array" ref="H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80" s="420">
        <f>IFERROR(Table_Main[[#This Row],[Giá trị tồn đầu ngày]]/Table_Main[[#This Row],[Tồn kho đầu ngày]],0)</f>
        <v>0</v>
      </c>
      <c r="J80" s="420">
        <f>IFERROR(Table_Main[[#This Row],[Giá trị tồn cuối ngày]]/Table_Main[[#This Row],[Tồn kho cuối ngày]],0)</f>
        <v>100000</v>
      </c>
      <c r="K80" s="415">
        <v>45722</v>
      </c>
      <c r="L80" s="47">
        <f xml:space="preserve">
IFERROR(
IFERROR(
VLOOKUP(Table_Main[[#This Row],[Đơn Mua]],Table_DonMua[[Mã Đơn mua]:[Add]],COUNTA(Table_DonMua[[#Headers],[Mã Đơn mua]:[Ngày lập]]),0),
VLOOKUP(Table_Main[[#This Row],[Đơn bán]],Table_DonBan[[Mã Đơn bán]:[Add]], COUNTA(Table_DonBan[[#Headers],[Mã Đơn bán]:[Ngày lập]]),0)),0)</f>
        <v>45720</v>
      </c>
      <c r="M80" s="29">
        <f>IFERROR(MONTH(Table_Main[[#This Row],[Ngày lên đơn]]),0)</f>
        <v>3</v>
      </c>
      <c r="N80" s="551">
        <f>IF(Table_Main[[#This Row],[Ngày lên đơn]]=0,"",Table_Main[[#This Row],[Ngày xuất nhập]]-Table_Main[[#This Row],[Ngày lên đơn]])</f>
        <v>2</v>
      </c>
      <c r="O80" s="7" t="s">
        <v>1164</v>
      </c>
      <c r="P80" s="230" t="s">
        <v>1165</v>
      </c>
      <c r="Q80" s="408">
        <v>300</v>
      </c>
      <c r="R80" s="523" t="s">
        <v>1171</v>
      </c>
      <c r="S80" s="537" t="str">
        <f>IFERROR(VLOOKUP(Table_Main[[#This Row],[Đơn Mua]],Table_DonMua[[Mã Đơn mua]:[Add]],COUNTA(Table_DonMua[[#Headers],[Mã Đơn mua]:[Mã Đối tác]]),0),0)</f>
        <v>NCC2</v>
      </c>
      <c r="T80" s="409">
        <v>100000</v>
      </c>
      <c r="U80" s="48">
        <f xml:space="preserve">
IF(NOT(ISBLANK(Table_Main[[#This Row],[Đơn Mua]])),Table_Main[[#This Row],[Số lượng]]*Table_Main[[#This Row],[Giá nhập]],Table_Main[[#This Row],[Số lượng]]*Table_Main[[#This Row],[Giá trị bình quân đầu ngày]])</f>
        <v>30000000</v>
      </c>
      <c r="V8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0" s="48">
        <f>IF(Table_Main[[#This Row],[Đơn Mua]]="", 0,IFERROR(Table_Main[[#This Row],[Tỷ suất VAT khấu trừ]]*(Table_Main[[#This Row],[Giá trị hàng nhập]]/(1+Table_Main[[#This Row],[Tỷ suất VAT khấu trừ]])),0))</f>
        <v>0</v>
      </c>
      <c r="X80" s="523"/>
      <c r="Y80" s="28">
        <f>IFERROR(VLOOKUP(Table_Main[[#This Row],[Đơn bán]],Table_DonBan[[Mã Đơn bán]:[Add]],COUNTA(Table_DonBan[[#Headers],[Mã Đơn bán]:[Mã Khách]]),0),0)</f>
        <v>0</v>
      </c>
      <c r="Z80" s="48">
        <f>IF(ISBLANK(Table_Main[[#This Row],[Đơn bán]]),0,
VLOOKUP(Table_Main[[#This Row],[Mã SKU]],Table_SKU[[Mã SKU]:[Giá bán]],COUNTA(Table_SKU[[#Headers],[Mã SKU]:[Giá bán]]),0))</f>
        <v>0</v>
      </c>
      <c r="AA80" s="48">
        <f>IF(ISBLANK(Table_Main[[#This Row],[Đơn bán]]),0,
IF(Table_Main[[#This Row],[Loại]] = "Xuất",Table_Main[[#This Row],[Giá bán niêm yết]]*Table_Main[[#This Row],[Số lượng]],-Table_Main[[#This Row],[Giá bán niêm yết]]*Table_Main[[#This Row],[Số lượng]]))</f>
        <v>0</v>
      </c>
      <c r="AB80" s="230"/>
      <c r="AC8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0" s="48">
        <f xml:space="preserve">
IF(Table_Main[[#This Row],[Đơn bán]]="", 0,
IFERROR(
VLOOKUP(Table_Main[[#This Row],[Mã SKU]],Table_SKU[[Mã SKU]:[Tỷ suất VAT]],COUNTA(Table_SKU[[#Headers],[Mã SKU]:[Tỷ suất VAT]]),0),0)*Table_Main[[#This Row],[Giá trị bán trước VAT]])</f>
        <v>0</v>
      </c>
      <c r="AG80" s="51">
        <f>IFERROR(VLOOKUP(Table_Main[[#This Row],[Đơn bán]],Table_DonBan[[Mã Đơn bán]:[Add]],COUNTA(Table_DonBan[[#Headers],[Mã Đơn bán]:[Mã NV]]),0),0)</f>
        <v>0</v>
      </c>
      <c r="AH8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0" s="48">
        <f>IFERROR(Table_Main[[#This Row],[Giá trị bán trước VAT]]*Table_Main[[#This Row],[Tỷ lệ hoa hồng]],"")</f>
        <v>0</v>
      </c>
      <c r="AJ80" s="48">
        <f>IFERROR(VLOOKUP(Table_Main[[#This Row],[Đơn bán]],Table_DonBan[[Mã Đơn bán]:[Add]],COUNTA(Table_DonBan[[#Headers],[Mã Đơn bán]:[Kênh]]),0),0)</f>
        <v>0</v>
      </c>
      <c r="AK8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0" s="48">
        <f>IFERROR(Table_Main[[#This Row],[Giá trị bán trước VAT]]*Table_Main[[#This Row],[Tỷ lệ CK kênh]],"")</f>
        <v>0</v>
      </c>
      <c r="AM80" s="230"/>
      <c r="AN80" s="232"/>
      <c r="AO80" s="226">
        <f>Table_Main[[#This Row],[ĐK - Phân loại]]*Table_Main[[#This Row],[ĐK - Thời gian]]*Table_Main[[#This Row],[ĐK - Giá trị]]*Table_Main[[#This Row],[ĐK - Số lượng]]*Table_Main[[#This Row],[ĐK - Sinh nhật]]*Table_Main[[#This Row],[ĐK - Ngày mua cuối]]</f>
        <v>1</v>
      </c>
      <c r="AP80" s="226">
        <f xml:space="preserve">
IF(ISBLANK(Table_Main[[#This Row],[Chương trình]]),1,
IF(VLOOKUP(Table_Main[[#This Row],[Chương trình]],Table_ChuongTrinh[[Mã Chương trình]:[Đối tượng CK]],Sheet_ChuongTrinh!$C$1,0) = "Sản phẩm",1,0))</f>
        <v>1</v>
      </c>
      <c r="AQ8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1" spans="2:47" ht="18" customHeight="1" x14ac:dyDescent="0.15">
      <c r="B81" s="21"/>
      <c r="C81" s="240"/>
      <c r="D81" s="540">
        <f>IF(ISBLANK(Table_Main[[#This Row],[Mã SKU]]),Table_Main[[#This Row],[Mã Nguyên liệu]],Table_Main[[#This Row],[Mã SKU]])</f>
        <v>0</v>
      </c>
      <c r="E81" s="420" cm="1">
        <f t="array" ref="E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1" s="420" cm="1">
        <f t="array" ref="F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G81" s="420" cm="1">
        <f t="array" ref="G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1" s="420" cm="1">
        <f t="array" ref="H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1" s="420">
        <f>IFERROR(Table_Main[[#This Row],[Giá trị tồn đầu ngày]]/Table_Main[[#This Row],[Tồn kho đầu ngày]],0)</f>
        <v>0</v>
      </c>
      <c r="J81" s="420">
        <f>IFERROR(Table_Main[[#This Row],[Giá trị tồn cuối ngày]]/Table_Main[[#This Row],[Tồn kho cuối ngày]],0)</f>
        <v>0</v>
      </c>
      <c r="K81" s="415"/>
      <c r="L8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1" s="115">
        <f>IFERROR(MONTH(Table_Main[[#This Row],[Ngày lên đơn]]),0)</f>
        <v>1</v>
      </c>
      <c r="N81" s="551" t="str">
        <f>IF(Table_Main[[#This Row],[Ngày lên đơn]]=0,"",Table_Main[[#This Row],[Ngày xuất nhập]]-Table_Main[[#This Row],[Ngày lên đơn]])</f>
        <v/>
      </c>
      <c r="O81" s="7"/>
      <c r="P81" s="230"/>
      <c r="Q81" s="421"/>
      <c r="R81" s="7"/>
      <c r="S81" s="28">
        <f>IFERROR(VLOOKUP(Table_Main[[#This Row],[Đơn Mua]],Table_DonMua[[Mã Đơn mua]:[Add]],COUNTA(Table_DonMua[[#Headers],[Mã Đơn mua]:[Mã Đối tác]]),0),0)</f>
        <v>0</v>
      </c>
      <c r="T81" s="422"/>
      <c r="U81" s="48">
        <f xml:space="preserve">
IF(NOT(ISBLANK(Table_Main[[#This Row],[Đơn Mua]])),Table_Main[[#This Row],[Số lượng]]*Table_Main[[#This Row],[Giá nhập]],Table_Main[[#This Row],[Số lượng]]*Table_Main[[#This Row],[Giá trị bình quân đầu ngày]])</f>
        <v>0</v>
      </c>
      <c r="V81" s="64">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1" s="48">
        <f>IF(Table_Main[[#This Row],[Đơn Mua]]="", 0,IFERROR(Table_Main[[#This Row],[Tỷ suất VAT khấu trừ]]*(Table_Main[[#This Row],[Giá trị hàng nhập]]/(1+Table_Main[[#This Row],[Tỷ suất VAT khấu trừ]])),0))</f>
        <v>0</v>
      </c>
      <c r="X81" s="7"/>
      <c r="Y81" s="28">
        <f>IFERROR(VLOOKUP(Table_Main[[#This Row],[Đơn bán]],Table_DonBan[[Mã Đơn bán]:[Add]],COUNTA(Table_DonBan[[#Headers],[Mã Đơn bán]:[Mã Khách]]),0),0)</f>
        <v>0</v>
      </c>
      <c r="Z81" s="48">
        <f>IF(ISBLANK(Table_Main[[#This Row],[Đơn bán]]),0,
VLOOKUP(Table_Main[[#This Row],[Mã SKU]],Table_SKU[[Mã SKU]:[Giá bán]],COUNTA(Table_SKU[[#Headers],[Mã SKU]:[Giá bán]]),0))</f>
        <v>0</v>
      </c>
      <c r="AA81" s="48">
        <f>IF(ISBLANK(Table_Main[[#This Row],[Đơn bán]]),0,
IF(Table_Main[[#This Row],[Loại]] = "Xuất",Table_Main[[#This Row],[Giá bán niêm yết]]*Table_Main[[#This Row],[Số lượng]],-Table_Main[[#This Row],[Giá bán niêm yết]]*Table_Main[[#This Row],[Số lượng]]))</f>
        <v>0</v>
      </c>
      <c r="AB81" s="7"/>
      <c r="AC8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1" s="120"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1" s="48">
        <f xml:space="preserve">
IF(Table_Main[[#This Row],[Đơn bán]]="", 0,
IFERROR(
VLOOKUP(Table_Main[[#This Row],[Mã SKU]],Table_SKU[[Mã SKU]:[Tỷ suất VAT]],COUNTA(Table_SKU[[#Headers],[Mã SKU]:[Tỷ suất VAT]]),0),0)*Table_Main[[#This Row],[Giá trị bán trước VAT]])</f>
        <v>0</v>
      </c>
      <c r="AG81" s="226">
        <f>IFERROR(VLOOKUP(Table_Main[[#This Row],[Đơn bán]],Table_DonBan[[Mã Đơn bán]:[Add]],COUNTA(Table_DonBan[[#Headers],[Mã Đơn bán]:[Mã NV]]),0),0)</f>
        <v>0</v>
      </c>
      <c r="AH8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1" s="48">
        <f>IFERROR(Table_Main[[#This Row],[Giá trị bán trước VAT]]*Table_Main[[#This Row],[Tỷ lệ hoa hồng]],"")</f>
        <v>0</v>
      </c>
      <c r="AJ81" s="48">
        <f>IFERROR(VLOOKUP(Table_Main[[#This Row],[Đơn bán]],Table_DonBan[[Mã Đơn bán]:[Add]],COUNTA(Table_DonBan[[#Headers],[Mã Đơn bán]:[Kênh]]),0),0)</f>
        <v>0</v>
      </c>
      <c r="AK8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1" s="48">
        <f>IFERROR(Table_Main[[#This Row],[Giá trị bán trước VAT]]*Table_Main[[#This Row],[Tỷ lệ CK kênh]],"")</f>
        <v>0</v>
      </c>
      <c r="AM81" s="218"/>
      <c r="AN81" s="232"/>
      <c r="AO81" s="380">
        <f>Table_Main[[#This Row],[ĐK - Phân loại]]*Table_Main[[#This Row],[ĐK - Thời gian]]*Table_Main[[#This Row],[ĐK - Giá trị]]*Table_Main[[#This Row],[ĐK - Số lượng]]*Table_Main[[#This Row],[ĐK - Sinh nhật]]*Table_Main[[#This Row],[ĐK - Ngày mua cuối]]</f>
        <v>1</v>
      </c>
      <c r="AP81" s="380">
        <f xml:space="preserve">
IF(ISBLANK(Table_Main[[#This Row],[Chương trình]]),1,
IF(VLOOKUP(Table_Main[[#This Row],[Chương trình]],Table_ChuongTrinh[[Mã Chương trình]:[Đối tượng CK]],Sheet_ChuongTrinh!$C$1,0) = "Sản phẩm",1,0))</f>
        <v>1</v>
      </c>
      <c r="AQ81" s="380">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1" s="380">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1" s="380">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1" s="380">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1" s="380">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sheetData>
  <sheetProtection algorithmName="SHA-512" hashValue="7OxWYrdxIa5FQW4lGY6eoJi1TnA/Kzq4MuUOHEjjT+ej/criqiqwVpvSTraiath15tPosUVpUVRRUhki9aRx9w==" saltValue="D0YORTV+fJrS+/tOWExOAQ==" spinCount="100000" sheet="1" scenarios="1" formatCells="0" formatColumns="0" formatRows="0" insertColumns="0" insertRows="0" deleteColumns="0" deleteRows="0" sort="0" autoFilter="0" pivotTables="0"/>
  <protectedRanges>
    <protectedRange sqref="A1:A2 E82:E1047769 AO82:AO1048576 B82:B1047769 A4:A1048490 AE82:AF1047769 BT6:XFD1048490 BL6:BM1048490 AT82:AT1048576 BE6:BJ1048490 I82:J1047769 G82:G1047769 C81:J81 R81:S81 C3:XFD3 AI82:AN1047769 U81:AU81 P82:Q1047769 AT4:XFD5 AT6:AU80 W4:AI80 AM4:AN80 B3:B80 L81:N1047769 K4:T80" name="Range1"/>
    <protectedRange sqref="C4:D80" name="Range1_1"/>
    <protectedRange sqref="U4:V80" name="Range1_3"/>
    <protectedRange sqref="B81" name="Range1_4"/>
    <protectedRange sqref="K81" name="Range1_5"/>
    <protectedRange sqref="O81:P81" name="Range1_7"/>
    <protectedRange sqref="Q81" name="Range1_8"/>
    <protectedRange sqref="AJ4:AL80" name="Range1_6"/>
    <protectedRange sqref="AO4:AS80" name="Range1_9"/>
    <protectedRange sqref="E4:J80" name="Range1_10"/>
  </protectedRanges>
  <phoneticPr fontId="14" type="noConversion"/>
  <conditionalFormatting sqref="AB3">
    <cfRule type="expression" dxfId="521" priority="3">
      <formula>$AO$3=0</formula>
    </cfRule>
  </conditionalFormatting>
  <conditionalFormatting sqref="AB5:AB81">
    <cfRule type="expression" dxfId="520" priority="593">
      <formula>$AO$81=0</formula>
    </cfRule>
  </conditionalFormatting>
  <dataValidations count="15">
    <dataValidation type="list" allowBlank="1" showInputMessage="1" showErrorMessage="1" sqref="B3" xr:uid="{D8EAE210-1A72-4FFA-9686-EB01A46CA25E}">
      <formula1>Ma_SKU</formula1>
    </dataValidation>
    <dataValidation type="list" allowBlank="1" showInputMessage="1" showErrorMessage="1" sqref="P3" xr:uid="{8F0FAAE7-C03E-4B80-8106-F23FF08C4E27}">
      <formula1>MaKho</formula1>
    </dataValidation>
    <dataValidation type="list" allowBlank="1" showInputMessage="1" showErrorMessage="1" sqref="X3" xr:uid="{EA39388B-08BC-494B-B65E-114DA68DD21B}">
      <formula1>MaDonBan</formula1>
    </dataValidation>
    <dataValidation type="list" allowBlank="1" showInputMessage="1" showErrorMessage="1" sqref="AB3" xr:uid="{453D98D3-7C17-4D70-A664-3C35BA5E53F3}">
      <formula1>MaChuongTrinh</formula1>
    </dataValidation>
    <dataValidation type="list" allowBlank="1" showInputMessage="1" showErrorMessage="1" sqref="AM3" xr:uid="{F46C4F23-60B6-49B3-BD5F-71B3230CA91E}">
      <formula1>MaVanDon</formula1>
    </dataValidation>
    <dataValidation type="list" allowBlank="1" showInputMessage="1" showErrorMessage="1" sqref="O3 O5:O81" xr:uid="{4274B77D-3573-4003-B01A-ECACB3DEC570}">
      <formula1>"Nhập, Xuất"</formula1>
    </dataValidation>
    <dataValidation type="list" allowBlank="1" showInputMessage="1" showErrorMessage="1" sqref="R3" xr:uid="{8961F0E3-6807-41E4-8D83-110C1B334386}">
      <formula1>MaDonMua</formula1>
    </dataValidation>
    <dataValidation type="list" allowBlank="1" showInputMessage="1" showErrorMessage="1" sqref="C3" xr:uid="{04AB2AD2-7839-47B7-9EE2-2C031F243064}">
      <formula1>MaNguyenLieu</formula1>
    </dataValidation>
    <dataValidation type="list" allowBlank="1" showInputMessage="1" sqref="B5:B81" xr:uid="{4F7D615C-D01E-4A8D-957A-04E646B9EAB5}">
      <formula1>Ma_SKU</formula1>
    </dataValidation>
    <dataValidation type="list" allowBlank="1" showInputMessage="1" sqref="C5:C81" xr:uid="{E3DF7348-A474-4888-BC1B-F3D6E5F4E0B7}">
      <formula1>MaNguyenLieu</formula1>
    </dataValidation>
    <dataValidation type="list" allowBlank="1" showInputMessage="1" sqref="P5:P81" xr:uid="{269C2D43-732F-4E59-9462-AE372FACEB57}">
      <formula1>MaKho</formula1>
    </dataValidation>
    <dataValidation type="list" allowBlank="1" showInputMessage="1" sqref="R5:R81" xr:uid="{487D71DA-C561-4598-8488-6318DBEAD6DD}">
      <formula1>MaDonMua</formula1>
    </dataValidation>
    <dataValidation type="list" allowBlank="1" showInputMessage="1" sqref="X5:X81" xr:uid="{93FA206E-0809-4DC7-8DC9-501ECB47612D}">
      <formula1>MaDonBan</formula1>
    </dataValidation>
    <dataValidation type="list" allowBlank="1" showInputMessage="1" sqref="AB5:AB81" xr:uid="{BCD4BB33-8C9A-42C1-B706-F6A0B62814EE}">
      <formula1>MaChuongTrinh</formula1>
    </dataValidation>
    <dataValidation type="list" allowBlank="1" showInputMessage="1" sqref="AM5:AM81" xr:uid="{078566DD-86B7-4164-93A9-0E783ABB18AF}">
      <formula1>MaVanDon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93" r:id="rId4" name="Button 9">
              <controlPr defaultSize="0" print="0" autoFill="0" autoPict="0" macro="[0]!CopyToTable">
                <anchor moveWithCells="1">
                  <from>
                    <xdr:col>39</xdr:col>
                    <xdr:colOff>28575</xdr:colOff>
                    <xdr:row>1</xdr:row>
                    <xdr:rowOff>200025</xdr:rowOff>
                  </from>
                  <to>
                    <xdr:col>47</xdr:col>
                    <xdr:colOff>57150</xdr:colOff>
                    <xdr:row>3</xdr:row>
                    <xdr:rowOff>0</xdr:rowOff>
                  </to>
                </anchor>
              </controlPr>
            </control>
          </mc:Choice>
        </mc:AlternateContent>
        <mc:AlternateContent xmlns:mc="http://schemas.openxmlformats.org/markup-compatibility/2006">
          <mc:Choice Requires="x14">
            <control shapeId="67595" r:id="rId5" name="Option Button 11">
              <controlPr defaultSize="0" autoFill="0" autoLine="0" autoPict="0" macro="[0]!DoiDonViHienThi">
                <anchor moveWithCells="1">
                  <from>
                    <xdr:col>16</xdr:col>
                    <xdr:colOff>257175</xdr:colOff>
                    <xdr:row>0</xdr:row>
                    <xdr:rowOff>152400</xdr:rowOff>
                  </from>
                  <to>
                    <xdr:col>16</xdr:col>
                    <xdr:colOff>847725</xdr:colOff>
                    <xdr:row>1</xdr:row>
                    <xdr:rowOff>142875</xdr:rowOff>
                  </to>
                </anchor>
              </controlPr>
            </control>
          </mc:Choice>
        </mc:AlternateContent>
        <mc:AlternateContent xmlns:mc="http://schemas.openxmlformats.org/markup-compatibility/2006">
          <mc:Choice Requires="x14">
            <control shapeId="67596" r:id="rId6" name="Option Button 12">
              <controlPr defaultSize="0" autoFill="0" autoLine="0" autoPict="0" macro="[0]!DoiDonViHienThi">
                <anchor moveWithCells="1">
                  <from>
                    <xdr:col>16</xdr:col>
                    <xdr:colOff>723900</xdr:colOff>
                    <xdr:row>0</xdr:row>
                    <xdr:rowOff>152400</xdr:rowOff>
                  </from>
                  <to>
                    <xdr:col>16</xdr:col>
                    <xdr:colOff>1314450</xdr:colOff>
                    <xdr:row>1</xdr:row>
                    <xdr:rowOff>142875</xdr:rowOff>
                  </to>
                </anchor>
              </controlPr>
            </control>
          </mc:Choice>
        </mc:AlternateContent>
        <mc:AlternateContent xmlns:mc="http://schemas.openxmlformats.org/markup-compatibility/2006">
          <mc:Choice Requires="x14">
            <control shapeId="67597" r:id="rId7" name="Option Button 13">
              <controlPr defaultSize="0" autoFill="0" autoLine="0" autoPict="0" macro="[0]!DoiDonViHienThi">
                <anchor moveWithCells="1">
                  <from>
                    <xdr:col>16</xdr:col>
                    <xdr:colOff>1190625</xdr:colOff>
                    <xdr:row>0</xdr:row>
                    <xdr:rowOff>152400</xdr:rowOff>
                  </from>
                  <to>
                    <xdr:col>17</xdr:col>
                    <xdr:colOff>457200</xdr:colOff>
                    <xdr:row>1</xdr:row>
                    <xdr:rowOff>142875</xdr:rowOff>
                  </to>
                </anchor>
              </controlPr>
            </control>
          </mc:Choice>
        </mc:AlternateContent>
        <mc:AlternateContent xmlns:mc="http://schemas.openxmlformats.org/markup-compatibility/2006">
          <mc:Choice Requires="x14">
            <control shapeId="67598" r:id="rId8" name="Option Button 14">
              <controlPr defaultSize="0" autoFill="0" autoLine="0" autoPict="0" macro="[0]!DoiDonViHienThi">
                <anchor moveWithCells="1">
                  <from>
                    <xdr:col>17</xdr:col>
                    <xdr:colOff>342900</xdr:colOff>
                    <xdr:row>0</xdr:row>
                    <xdr:rowOff>152400</xdr:rowOff>
                  </from>
                  <to>
                    <xdr:col>17</xdr:col>
                    <xdr:colOff>695325</xdr:colOff>
                    <xdr:row>1</xdr:row>
                    <xdr:rowOff>142875</xdr:rowOff>
                  </to>
                </anchor>
              </controlPr>
            </control>
          </mc:Choice>
        </mc:AlternateContent>
        <mc:AlternateContent xmlns:mc="http://schemas.openxmlformats.org/markup-compatibility/2006">
          <mc:Choice Requires="x14">
            <control shapeId="67599" r:id="rId9" name="Group Box 15">
              <controlPr defaultSize="0" autoFill="0" autoPict="0">
                <anchor moveWithCells="1">
                  <from>
                    <xdr:col>16</xdr:col>
                    <xdr:colOff>142875</xdr:colOff>
                    <xdr:row>0</xdr:row>
                    <xdr:rowOff>104775</xdr:rowOff>
                  </from>
                  <to>
                    <xdr:col>17</xdr:col>
                    <xdr:colOff>809625</xdr:colOff>
                    <xdr:row>1</xdr:row>
                    <xdr:rowOff>180975</xdr:rowOff>
                  </to>
                </anchor>
              </controlPr>
            </control>
          </mc:Choice>
        </mc:AlternateContent>
        <mc:AlternateContent xmlns:mc="http://schemas.openxmlformats.org/markup-compatibility/2006">
          <mc:Choice Requires="x14">
            <control shapeId="67600" r:id="rId10" name="Group Box 16">
              <controlPr defaultSize="0" autoFill="0" autoPict="0">
                <anchor moveWithCells="1">
                  <from>
                    <xdr:col>14</xdr:col>
                    <xdr:colOff>133350</xdr:colOff>
                    <xdr:row>0</xdr:row>
                    <xdr:rowOff>104775</xdr:rowOff>
                  </from>
                  <to>
                    <xdr:col>16</xdr:col>
                    <xdr:colOff>95250</xdr:colOff>
                    <xdr:row>1</xdr:row>
                    <xdr:rowOff>180975</xdr:rowOff>
                  </to>
                </anchor>
              </controlPr>
            </control>
          </mc:Choice>
        </mc:AlternateContent>
        <mc:AlternateContent xmlns:mc="http://schemas.openxmlformats.org/markup-compatibility/2006">
          <mc:Choice Requires="x14">
            <control shapeId="67601" r:id="rId11" name="Button 17">
              <controlPr defaultSize="0" autoFill="0" autoPict="0" macro="[0]!NhanNghin">
                <anchor moveWithCells="1">
                  <from>
                    <xdr:col>14</xdr:col>
                    <xdr:colOff>219075</xdr:colOff>
                    <xdr:row>0</xdr:row>
                    <xdr:rowOff>200025</xdr:rowOff>
                  </from>
                  <to>
                    <xdr:col>14</xdr:col>
                    <xdr:colOff>685800</xdr:colOff>
                    <xdr:row>1</xdr:row>
                    <xdr:rowOff>85725</xdr:rowOff>
                  </to>
                </anchor>
              </controlPr>
            </control>
          </mc:Choice>
        </mc:AlternateContent>
        <mc:AlternateContent xmlns:mc="http://schemas.openxmlformats.org/markup-compatibility/2006">
          <mc:Choice Requires="x14">
            <control shapeId="67602" r:id="rId12" name="Button 18">
              <controlPr defaultSize="0" autoFill="0" autoPict="0" macro="[0]!NhanTrieu">
                <anchor moveWithCells="1">
                  <from>
                    <xdr:col>14</xdr:col>
                    <xdr:colOff>733425</xdr:colOff>
                    <xdr:row>0</xdr:row>
                    <xdr:rowOff>200025</xdr:rowOff>
                  </from>
                  <to>
                    <xdr:col>15</xdr:col>
                    <xdr:colOff>285750</xdr:colOff>
                    <xdr:row>1</xdr:row>
                    <xdr:rowOff>85725</xdr:rowOff>
                  </to>
                </anchor>
              </controlPr>
            </control>
          </mc:Choice>
        </mc:AlternateContent>
        <mc:AlternateContent xmlns:mc="http://schemas.openxmlformats.org/markup-compatibility/2006">
          <mc:Choice Requires="x14">
            <control shapeId="67603" r:id="rId13" name="Button 19">
              <controlPr defaultSize="0" autoFill="0" autoPict="0" macro="[0]!NhanTy">
                <anchor moveWithCells="1">
                  <from>
                    <xdr:col>15</xdr:col>
                    <xdr:colOff>333375</xdr:colOff>
                    <xdr:row>0</xdr:row>
                    <xdr:rowOff>200025</xdr:rowOff>
                  </from>
                  <to>
                    <xdr:col>16</xdr:col>
                    <xdr:colOff>19050</xdr:colOff>
                    <xdr:row>1</xdr:row>
                    <xdr:rowOff>85725</xdr:rowOff>
                  </to>
                </anchor>
              </controlPr>
            </control>
          </mc:Choice>
        </mc:AlternateContent>
        <mc:AlternateContent xmlns:mc="http://schemas.openxmlformats.org/markup-compatibility/2006">
          <mc:Choice Requires="x14">
            <control shapeId="67604" r:id="rId14" name="Button 20">
              <controlPr defaultSize="0" print="0" autoFill="0" autoPict="0" macro="[0]!AddRow">
                <anchor moveWithCells="1">
                  <from>
                    <xdr:col>0</xdr:col>
                    <xdr:colOff>0</xdr:colOff>
                    <xdr:row>2</xdr:row>
                    <xdr:rowOff>9525</xdr:rowOff>
                  </from>
                  <to>
                    <xdr:col>0</xdr:col>
                    <xdr:colOff>476250</xdr:colOff>
                    <xdr:row>3</xdr:row>
                    <xdr:rowOff>38100</xdr:rowOff>
                  </to>
                </anchor>
              </controlPr>
            </control>
          </mc:Choice>
        </mc:AlternateContent>
        <mc:AlternateContent xmlns:mc="http://schemas.openxmlformats.org/markup-compatibility/2006">
          <mc:Choice Requires="x14">
            <control shapeId="67605" r:id="rId15" name="Button 21">
              <controlPr defaultSize="0" print="0" autoFill="0" autoPict="0" macro="[0]!DeleteRow">
                <anchor moveWithCells="1">
                  <from>
                    <xdr:col>0</xdr:col>
                    <xdr:colOff>514350</xdr:colOff>
                    <xdr:row>2</xdr:row>
                    <xdr:rowOff>9525</xdr:rowOff>
                  </from>
                  <to>
                    <xdr:col>0</xdr:col>
                    <xdr:colOff>990600</xdr:colOff>
                    <xdr:row>3</xdr:row>
                    <xdr:rowOff>38100</xdr:rowOff>
                  </to>
                </anchor>
              </controlPr>
            </control>
          </mc:Choice>
        </mc:AlternateContent>
        <mc:AlternateContent xmlns:mc="http://schemas.openxmlformats.org/markup-compatibility/2006">
          <mc:Choice Requires="x14">
            <control shapeId="67606" r:id="rId16" name="Button 22">
              <controlPr defaultSize="0" print="0" autoFill="0" autoPict="0" macro="[0]!AddColumn">
                <anchor moveWithCells="1">
                  <from>
                    <xdr:col>38</xdr:col>
                    <xdr:colOff>38100</xdr:colOff>
                    <xdr:row>0</xdr:row>
                    <xdr:rowOff>104775</xdr:rowOff>
                  </from>
                  <to>
                    <xdr:col>38</xdr:col>
                    <xdr:colOff>552450</xdr:colOff>
                    <xdr:row>1</xdr:row>
                    <xdr:rowOff>76200</xdr:rowOff>
                  </to>
                </anchor>
              </controlPr>
            </control>
          </mc:Choice>
        </mc:AlternateContent>
        <mc:AlternateContent xmlns:mc="http://schemas.openxmlformats.org/markup-compatibility/2006">
          <mc:Choice Requires="x14">
            <control shapeId="67607" r:id="rId17" name="Button 23">
              <controlPr defaultSize="0" print="0" autoFill="0" autoPict="0" macro="[0]!DeleteColumn">
                <anchor moveWithCells="1">
                  <from>
                    <xdr:col>38</xdr:col>
                    <xdr:colOff>590550</xdr:colOff>
                    <xdr:row>0</xdr:row>
                    <xdr:rowOff>104775</xdr:rowOff>
                  </from>
                  <to>
                    <xdr:col>38</xdr:col>
                    <xdr:colOff>1133475</xdr:colOff>
                    <xdr:row>1</xdr:row>
                    <xdr:rowOff>76200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6" id="{E517684A-1DE9-4B66-9F9E-ECEDE4DC6C2B}">
            <xm:f>Security!$A$1="NO VBA"</xm:f>
            <x14:dxf>
              <font>
                <color theme="0"/>
              </font>
              <border>
                <vertical/>
                <horizontal/>
              </border>
            </x14:dxf>
          </x14:cfRule>
          <xm:sqref>AT4:XFD4 A4:C4 A5:A1048576 AV5:XFD1048576 C5:D53 L5:N80 R5:S80 U5:AU80 Q81:AU81 P5:P81 K4:AN4 A1:XFD3 B82:AU1048576 B81:O81</xm:sqref>
        </x14:conditionalFormatting>
        <x14:conditionalFormatting xmlns:xm="http://schemas.microsoft.com/office/excel/2006/main">
          <x14:cfRule type="expression" priority="5" id="{05690E2A-6046-4CA2-B798-90C34DFFA5D8}">
            <xm:f>Security!$A$1="NO VBA"</xm:f>
            <x14:dxf>
              <font>
                <color theme="0"/>
              </font>
              <border>
                <vertical/>
                <horizontal/>
              </border>
            </x14:dxf>
          </x14:cfRule>
          <xm:sqref>AO4:AS4</xm:sqref>
        </x14:conditionalFormatting>
        <x14:conditionalFormatting xmlns:xm="http://schemas.microsoft.com/office/excel/2006/main">
          <x14:cfRule type="expression" priority="1" id="{53B26E8E-A919-4A64-AEAE-B3F56539CD87}">
            <xm:f>Security!$A$1="NO VBA"</xm:f>
            <x14:dxf>
              <font>
                <color theme="0"/>
              </font>
              <border>
                <vertical/>
                <horizontal/>
              </border>
            </x14:dxf>
          </x14:cfRule>
          <xm:sqref>D4</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97A9-574E-458C-9ABE-98B48A20B66A}">
  <sheetPr codeName="Sheet24">
    <tabColor theme="7"/>
    <outlinePr summaryRight="0"/>
  </sheetPr>
  <dimension ref="A1:AA65"/>
  <sheetViews>
    <sheetView showGridLines="0" topLeftCell="K42" workbookViewId="0">
      <selection activeCell="P75" sqref="P75"/>
    </sheetView>
  </sheetViews>
  <sheetFormatPr defaultRowHeight="18" customHeight="1" outlineLevelRow="2" outlineLevelCol="2" x14ac:dyDescent="0.3"/>
  <cols>
    <col min="1" max="1" width="1.25" style="7" customWidth="1" collapsed="1"/>
    <col min="2" max="2" width="5.125" style="1" hidden="1" customWidth="1" outlineLevel="1" collapsed="1"/>
    <col min="3" max="4" width="11.5" style="1" hidden="1" customWidth="1" outlineLevel="2"/>
    <col min="5" max="5" width="37.5" style="1" hidden="1" customWidth="1" outlineLevel="1"/>
    <col min="6" max="6" width="12.625" style="1" hidden="1" customWidth="1" outlineLevel="1"/>
    <col min="7" max="7" width="12.5" style="1" hidden="1" customWidth="1" outlineLevel="1"/>
    <col min="8" max="8" width="13.375" style="1" hidden="1" customWidth="1" outlineLevel="1" collapsed="1"/>
    <col min="9" max="10" width="9" style="7" hidden="1" customWidth="1" outlineLevel="2"/>
    <col min="11" max="11" width="9.625" style="1" customWidth="1"/>
    <col min="12" max="12" width="5.375" style="7" bestFit="1" customWidth="1"/>
    <col min="13" max="13" width="16.375" style="7" customWidth="1"/>
    <col min="14" max="14" width="9" style="7"/>
    <col min="15" max="16" width="9.375" style="7" customWidth="1"/>
    <col min="17" max="17" width="9.625" style="7" customWidth="1" outlineLevel="1"/>
    <col min="18" max="18" width="10.5" style="7" customWidth="1" outlineLevel="1"/>
    <col min="19" max="19" width="8" style="7" bestFit="1" customWidth="1" outlineLevel="1"/>
    <col min="20" max="20" width="10.75" style="7" bestFit="1" customWidth="1" outlineLevel="1"/>
    <col min="21" max="21" width="11.5" style="7" customWidth="1"/>
    <col min="22" max="22" width="10.875" style="7" customWidth="1"/>
    <col min="23" max="23" width="17.375" style="7" customWidth="1" outlineLevel="1"/>
    <col min="24" max="24" width="9.5" style="7" customWidth="1"/>
    <col min="25" max="26" width="9" style="38"/>
    <col min="27" max="27" width="6.75" style="7" customWidth="1" collapsed="1"/>
    <col min="28" max="16384" width="9" style="7"/>
  </cols>
  <sheetData>
    <row r="1" spans="1:27" s="21" customFormat="1" ht="37.5" customHeight="1" x14ac:dyDescent="0.3">
      <c r="A1" s="249"/>
      <c r="B1" s="56" t="str">
        <f>EULA!$B11</f>
        <v>Công ty ABC XYZ</v>
      </c>
      <c r="C1" s="282"/>
      <c r="D1" s="282"/>
      <c r="E1" s="282"/>
      <c r="F1" s="282"/>
      <c r="G1" s="282"/>
      <c r="H1" s="57" t="s">
        <v>697</v>
      </c>
      <c r="I1" s="249"/>
      <c r="J1" s="249"/>
      <c r="K1" s="275"/>
      <c r="L1" s="249"/>
      <c r="M1" s="249"/>
      <c r="N1" s="249"/>
      <c r="O1" s="249"/>
      <c r="P1" s="249"/>
      <c r="Q1" s="249"/>
      <c r="R1" s="249"/>
      <c r="S1" s="249"/>
      <c r="T1" s="249"/>
      <c r="U1" s="249"/>
      <c r="V1" s="249"/>
      <c r="W1" s="249"/>
      <c r="X1" s="249"/>
      <c r="Y1" s="249"/>
      <c r="Z1" s="249"/>
      <c r="AA1" s="249"/>
    </row>
    <row r="2" spans="1:27" ht="18" hidden="1" customHeight="1" outlineLevel="2" x14ac:dyDescent="0.3">
      <c r="A2" s="242"/>
      <c r="B2" s="276"/>
      <c r="C2" s="1" t="s">
        <v>698</v>
      </c>
      <c r="D2" s="276"/>
      <c r="E2" s="276"/>
      <c r="F2" s="276"/>
      <c r="G2" s="276"/>
      <c r="H2" s="276"/>
      <c r="I2" s="242"/>
      <c r="J2" s="242"/>
      <c r="K2" s="275"/>
      <c r="L2" s="242"/>
      <c r="M2" s="242"/>
      <c r="N2" s="242"/>
      <c r="O2" s="242"/>
      <c r="P2" s="242"/>
      <c r="Q2" s="242"/>
      <c r="R2" s="242"/>
      <c r="S2" s="242"/>
      <c r="T2" s="242"/>
      <c r="U2" s="242"/>
      <c r="V2" s="242"/>
      <c r="W2" s="242"/>
      <c r="X2" s="242"/>
      <c r="Y2" s="243"/>
      <c r="Z2" s="243"/>
      <c r="AA2" s="242"/>
    </row>
    <row r="3" spans="1:27" ht="18" hidden="1" customHeight="1" outlineLevel="2" x14ac:dyDescent="0.3">
      <c r="A3" s="242"/>
      <c r="B3" s="276"/>
      <c r="C3" s="283"/>
      <c r="D3" s="276"/>
      <c r="E3" s="276"/>
      <c r="F3" s="276"/>
      <c r="G3" s="276"/>
      <c r="H3" s="276"/>
      <c r="I3" s="242"/>
      <c r="J3" s="242"/>
      <c r="K3" s="275"/>
      <c r="L3" s="242"/>
      <c r="M3" s="242"/>
      <c r="N3" s="242"/>
      <c r="O3" s="242"/>
      <c r="P3" s="242"/>
      <c r="Q3" s="242"/>
      <c r="R3" s="242"/>
      <c r="S3" s="242"/>
      <c r="T3" s="242"/>
      <c r="U3" s="242"/>
      <c r="V3" s="242"/>
      <c r="W3" s="242"/>
      <c r="X3" s="242"/>
      <c r="Y3" s="243"/>
      <c r="Z3" s="243"/>
      <c r="AA3" s="242"/>
    </row>
    <row r="4" spans="1:27" ht="18" hidden="1" customHeight="1" outlineLevel="1" collapsed="1" x14ac:dyDescent="0.3">
      <c r="A4" s="242"/>
      <c r="B4" s="568" t="str">
        <f>EULA!$B14</f>
        <v>[Địa chỉ]</v>
      </c>
      <c r="C4" s="568" t="str">
        <f>EULA!$B14</f>
        <v>[Địa chỉ]</v>
      </c>
      <c r="D4" s="569"/>
      <c r="E4" s="568" t="str">
        <f>EULA!$B14</f>
        <v>[Địa chỉ]</v>
      </c>
      <c r="F4" s="185" t="s">
        <v>699</v>
      </c>
      <c r="G4" s="570" t="str">
        <f>CONCATENATE("NHAP-",C3,"-",MOD(YEAR(G5),100)*10000+MONTH(G5)*100+DAY(G5),"-",I4)</f>
        <v>NHAP--100-1</v>
      </c>
      <c r="H4" s="571"/>
      <c r="I4" s="284">
        <v>1</v>
      </c>
      <c r="K4" s="275"/>
      <c r="L4" s="242"/>
      <c r="M4" s="242"/>
      <c r="N4" s="242"/>
      <c r="O4" s="242"/>
      <c r="P4" s="242"/>
      <c r="Q4" s="242"/>
      <c r="R4" s="242"/>
      <c r="S4" s="242"/>
      <c r="T4" s="242"/>
      <c r="U4" s="242"/>
      <c r="V4" s="242"/>
      <c r="W4" s="242"/>
      <c r="X4" s="242"/>
      <c r="Y4" s="243"/>
      <c r="Z4" s="242"/>
      <c r="AA4" s="242"/>
    </row>
    <row r="5" spans="1:27" ht="18" hidden="1" customHeight="1" outlineLevel="1" x14ac:dyDescent="0.3">
      <c r="A5" s="242"/>
      <c r="B5" s="568" t="str">
        <f>EULA!$B15</f>
        <v>[Mã số thuế]</v>
      </c>
      <c r="C5" s="568" t="str">
        <f>EULA!$B15</f>
        <v>[Mã số thuế]</v>
      </c>
      <c r="D5" s="569"/>
      <c r="E5" s="568" t="str">
        <f>EULA!$B15</f>
        <v>[Mã số thuế]</v>
      </c>
      <c r="F5" s="1" t="s">
        <v>700</v>
      </c>
      <c r="G5" s="572"/>
      <c r="H5" s="573"/>
      <c r="I5" s="242"/>
      <c r="J5" s="242"/>
      <c r="K5" s="275"/>
      <c r="L5" s="242"/>
      <c r="M5" s="242"/>
      <c r="N5" s="242"/>
      <c r="O5" s="242"/>
      <c r="P5" s="242"/>
      <c r="Q5" s="242"/>
      <c r="R5" s="242"/>
      <c r="S5" s="242"/>
      <c r="T5" s="242"/>
      <c r="U5" s="242"/>
      <c r="V5" s="242"/>
      <c r="W5" s="242"/>
      <c r="X5" s="242"/>
      <c r="Y5" s="243"/>
      <c r="Z5" s="242"/>
      <c r="AA5" s="242"/>
    </row>
    <row r="6" spans="1:27" ht="18" hidden="1" customHeight="1" outlineLevel="1" x14ac:dyDescent="0.3">
      <c r="A6" s="242"/>
      <c r="B6" s="568" t="str">
        <f>EULA!$B16</f>
        <v>[SĐT - Fax]</v>
      </c>
      <c r="C6" s="568" t="str">
        <f>EULA!$B16</f>
        <v>[SĐT - Fax]</v>
      </c>
      <c r="D6" s="569"/>
      <c r="E6" s="568" t="str">
        <f>EULA!$B16</f>
        <v>[SĐT - Fax]</v>
      </c>
      <c r="F6" s="185" t="s">
        <v>556</v>
      </c>
      <c r="G6" s="574" t="str">
        <f>IFERROR(VLOOKUP($C$3,Table_NhaCungCap[[Mã Đối tác]:[Tên Đối tác]],Sheet_DoiTac!$C$1,0),"")</f>
        <v/>
      </c>
      <c r="H6" s="575"/>
      <c r="I6" s="242"/>
      <c r="J6" s="242"/>
      <c r="K6" s="275"/>
      <c r="L6" s="242"/>
      <c r="M6" s="242"/>
      <c r="N6" s="242"/>
      <c r="O6" s="242"/>
      <c r="P6" s="242"/>
      <c r="Q6" s="242"/>
      <c r="R6" s="242"/>
      <c r="S6" s="242"/>
      <c r="T6" s="242"/>
      <c r="U6" s="242"/>
      <c r="V6" s="242"/>
      <c r="W6" s="242"/>
      <c r="X6" s="242"/>
      <c r="Y6" s="243"/>
      <c r="Z6" s="242"/>
      <c r="AA6" s="242"/>
    </row>
    <row r="7" spans="1:27" ht="18" hidden="1" customHeight="1" outlineLevel="1" x14ac:dyDescent="0.3">
      <c r="A7" s="242"/>
      <c r="B7" s="185" t="str">
        <f>EULA!$B18</f>
        <v>[STK - Ngân hàng]</v>
      </c>
      <c r="C7" s="276"/>
      <c r="D7" s="276"/>
      <c r="E7" s="276"/>
      <c r="F7" s="185" t="s">
        <v>701</v>
      </c>
      <c r="G7" s="576"/>
      <c r="H7" s="575"/>
      <c r="I7" s="242"/>
      <c r="J7" s="242"/>
      <c r="K7" s="275"/>
      <c r="L7" s="242"/>
      <c r="M7" s="242"/>
      <c r="N7" s="242"/>
      <c r="O7" s="242"/>
      <c r="P7" s="242"/>
      <c r="Q7" s="242"/>
      <c r="R7" s="242"/>
      <c r="S7" s="242"/>
      <c r="T7" s="242"/>
      <c r="U7" s="242"/>
      <c r="V7" s="242"/>
      <c r="W7" s="242"/>
      <c r="X7" s="242"/>
      <c r="Y7" s="243"/>
      <c r="Z7" s="243"/>
      <c r="AA7" s="242"/>
    </row>
    <row r="8" spans="1:27" ht="18" hidden="1" customHeight="1" outlineLevel="1" x14ac:dyDescent="0.3">
      <c r="A8" s="242"/>
      <c r="B8" s="276"/>
      <c r="C8" s="276"/>
      <c r="D8" s="276"/>
      <c r="E8" s="276"/>
      <c r="F8" s="185" t="s">
        <v>702</v>
      </c>
      <c r="G8" s="576"/>
      <c r="H8" s="575"/>
      <c r="I8" s="242"/>
      <c r="J8" s="242"/>
      <c r="K8" s="275"/>
      <c r="L8" s="242"/>
      <c r="M8" s="242"/>
      <c r="N8" s="242"/>
      <c r="O8" s="242"/>
      <c r="P8" s="242"/>
      <c r="Q8" s="242"/>
      <c r="R8" s="242"/>
      <c r="S8" s="242"/>
      <c r="T8" s="242"/>
      <c r="U8" s="242"/>
      <c r="V8" s="242"/>
      <c r="W8" s="242"/>
      <c r="X8" s="242"/>
      <c r="Y8" s="243"/>
      <c r="Z8" s="243"/>
      <c r="AA8" s="242"/>
    </row>
    <row r="9" spans="1:27" ht="18" hidden="1" customHeight="1" outlineLevel="1" x14ac:dyDescent="0.3">
      <c r="A9" s="242"/>
      <c r="B9" s="276"/>
      <c r="C9" s="276"/>
      <c r="D9" s="276"/>
      <c r="E9" s="276"/>
      <c r="F9" s="276"/>
      <c r="G9" s="276"/>
      <c r="H9" s="276"/>
      <c r="I9" s="242"/>
      <c r="J9" s="242"/>
      <c r="K9" s="275"/>
      <c r="L9" s="242"/>
      <c r="M9" s="242"/>
      <c r="N9" s="242"/>
      <c r="O9" s="242"/>
      <c r="P9" s="242"/>
      <c r="Q9" s="242"/>
      <c r="R9" s="242"/>
      <c r="S9" s="242"/>
      <c r="T9" s="242"/>
      <c r="U9" s="242"/>
      <c r="V9" s="242"/>
      <c r="W9" s="242"/>
      <c r="X9" s="242"/>
      <c r="Y9" s="243"/>
      <c r="Z9" s="243"/>
      <c r="AA9" s="242"/>
    </row>
    <row r="10" spans="1:27" ht="18" hidden="1" customHeight="1" outlineLevel="1" x14ac:dyDescent="0.3">
      <c r="A10" s="242"/>
      <c r="B10" s="276"/>
      <c r="C10" s="276"/>
      <c r="D10" s="276"/>
      <c r="E10" s="276"/>
      <c r="F10" s="276"/>
      <c r="G10" s="276"/>
      <c r="H10" s="276"/>
      <c r="I10" s="242"/>
      <c r="J10" s="242"/>
      <c r="K10" s="275"/>
      <c r="L10" s="242"/>
      <c r="M10" s="242"/>
      <c r="N10" s="242"/>
      <c r="O10" s="242"/>
      <c r="P10" s="242"/>
      <c r="Q10" s="242"/>
      <c r="R10" s="242"/>
      <c r="S10" s="242"/>
      <c r="T10" s="242"/>
      <c r="U10" s="242"/>
      <c r="V10" s="242"/>
      <c r="W10" s="242"/>
      <c r="X10" s="242"/>
      <c r="Y10" s="243"/>
      <c r="Z10" s="243"/>
      <c r="AA10" s="242"/>
    </row>
    <row r="11" spans="1:27" ht="18" hidden="1" customHeight="1" outlineLevel="1" x14ac:dyDescent="0.3">
      <c r="A11" s="242"/>
      <c r="B11" s="58" t="s">
        <v>703</v>
      </c>
      <c r="C11" s="285"/>
      <c r="D11" s="285"/>
      <c r="E11" s="285"/>
      <c r="F11" s="276"/>
      <c r="G11" s="276"/>
      <c r="H11" s="276"/>
      <c r="I11" s="242"/>
      <c r="J11" s="242"/>
      <c r="K11" s="275"/>
      <c r="L11" s="242"/>
      <c r="M11" s="242"/>
      <c r="N11" s="242"/>
      <c r="O11" s="242"/>
      <c r="P11" s="242"/>
      <c r="Q11" s="242"/>
      <c r="R11" s="242"/>
      <c r="S11" s="242"/>
      <c r="T11" s="242"/>
      <c r="U11" s="242"/>
      <c r="V11" s="242"/>
      <c r="W11" s="242"/>
      <c r="X11" s="242"/>
      <c r="Y11" s="243"/>
      <c r="Z11" s="243"/>
      <c r="AA11" s="242"/>
    </row>
    <row r="12" spans="1:27" ht="18" hidden="1" customHeight="1" outlineLevel="2" x14ac:dyDescent="0.3">
      <c r="A12" s="242"/>
      <c r="B12" s="1" t="s">
        <v>704</v>
      </c>
      <c r="C12" s="276"/>
      <c r="D12" s="276"/>
      <c r="E12" s="276"/>
      <c r="F12" s="568" t="str">
        <f>IFERROR(VLOOKUP($G$7,Table_Kho[[#All],[Mã Kho]:[Tên Kho]],Sheet_Kho!$C$2,0),"")</f>
        <v/>
      </c>
      <c r="G12" s="569"/>
      <c r="H12" s="569"/>
      <c r="I12" s="569"/>
      <c r="J12" s="569"/>
      <c r="K12" s="275"/>
      <c r="L12" s="242"/>
      <c r="M12" s="242"/>
      <c r="N12" s="242"/>
      <c r="O12" s="242"/>
      <c r="P12" s="242"/>
      <c r="Q12" s="242"/>
      <c r="R12" s="242"/>
      <c r="S12" s="242"/>
      <c r="T12" s="242"/>
      <c r="U12" s="242"/>
      <c r="V12" s="242"/>
      <c r="W12" s="242"/>
      <c r="X12" s="242"/>
      <c r="Y12" s="243"/>
      <c r="Z12" s="243"/>
      <c r="AA12" s="242"/>
    </row>
    <row r="13" spans="1:27" ht="18" hidden="1" customHeight="1" outlineLevel="2" x14ac:dyDescent="0.3">
      <c r="A13" s="242"/>
      <c r="B13" s="1" t="s">
        <v>705</v>
      </c>
      <c r="C13" s="276"/>
      <c r="D13" s="276"/>
      <c r="E13" s="276"/>
      <c r="F13" s="568" t="str">
        <f>IFERROR(VLOOKUP($G$7,Table_Kho[[#All],[Mã Kho]:[Địa điểm]],Sheet_Kho!$E$2,0),"")</f>
        <v/>
      </c>
      <c r="G13" s="569"/>
      <c r="H13" s="569"/>
      <c r="I13" s="569"/>
      <c r="J13" s="569"/>
      <c r="K13" s="275"/>
      <c r="L13" s="242"/>
      <c r="M13" s="242"/>
      <c r="N13" s="242"/>
      <c r="O13" s="242"/>
      <c r="P13" s="242"/>
      <c r="Q13" s="242"/>
      <c r="R13" s="242"/>
      <c r="S13" s="242"/>
      <c r="T13" s="242"/>
      <c r="U13" s="242"/>
      <c r="V13" s="242"/>
      <c r="W13" s="242"/>
      <c r="X13" s="242"/>
      <c r="Y13" s="243"/>
      <c r="Z13" s="243"/>
      <c r="AA13" s="242"/>
    </row>
    <row r="14" spans="1:27" ht="18" hidden="1" customHeight="1" outlineLevel="2" x14ac:dyDescent="0.3">
      <c r="A14" s="242"/>
      <c r="B14" s="1" t="s">
        <v>542</v>
      </c>
      <c r="C14" s="276"/>
      <c r="D14" s="276"/>
      <c r="E14" s="276"/>
      <c r="F14" s="568" t="str">
        <f>IFERROR(VLOOKUP(G7,Table_Kho[[#All],[Mã Kho]:[SĐT]],Sheet_Kho!$D$2,0),"")</f>
        <v/>
      </c>
      <c r="G14" s="569"/>
      <c r="H14" s="569"/>
      <c r="I14" s="569"/>
      <c r="J14" s="569"/>
      <c r="K14" s="275"/>
      <c r="L14" s="242"/>
      <c r="M14" s="242"/>
      <c r="N14" s="242"/>
      <c r="O14" s="242"/>
      <c r="P14" s="242"/>
      <c r="Q14" s="242"/>
      <c r="R14" s="242"/>
      <c r="S14" s="242"/>
      <c r="T14" s="242"/>
      <c r="U14" s="242"/>
      <c r="V14" s="242"/>
      <c r="W14" s="242"/>
      <c r="X14" s="242"/>
      <c r="Y14" s="243"/>
      <c r="Z14" s="243"/>
      <c r="AA14" s="242"/>
    </row>
    <row r="15" spans="1:27" ht="18" hidden="1" customHeight="1" outlineLevel="2" collapsed="1" x14ac:dyDescent="0.3">
      <c r="A15" s="242"/>
      <c r="B15" s="276"/>
      <c r="C15" s="276"/>
      <c r="D15" s="276"/>
      <c r="E15" s="276"/>
      <c r="F15" s="276"/>
      <c r="G15" s="276"/>
      <c r="H15" s="276"/>
      <c r="I15" s="242"/>
      <c r="J15" s="242"/>
      <c r="K15" s="275"/>
      <c r="L15" s="242"/>
      <c r="M15" s="242"/>
      <c r="N15" s="242"/>
      <c r="O15" s="242"/>
      <c r="P15" s="242"/>
      <c r="Q15" s="242"/>
      <c r="R15" s="242"/>
      <c r="S15" s="242"/>
      <c r="T15" s="242"/>
      <c r="U15" s="242"/>
      <c r="V15" s="242"/>
      <c r="W15" s="242"/>
      <c r="X15" s="242"/>
      <c r="Y15" s="243"/>
      <c r="Z15" s="243"/>
      <c r="AA15" s="242"/>
    </row>
    <row r="16" spans="1:27" ht="18" hidden="1" customHeight="1" outlineLevel="2" x14ac:dyDescent="0.3">
      <c r="A16" s="242"/>
      <c r="B16" s="276"/>
      <c r="C16" s="276"/>
      <c r="D16" s="276"/>
      <c r="E16" s="276"/>
      <c r="F16" s="276"/>
      <c r="G16" s="92" t="s">
        <v>322</v>
      </c>
      <c r="H16" s="93" t="s">
        <v>329</v>
      </c>
      <c r="I16" s="242"/>
      <c r="J16" s="242"/>
      <c r="K16" s="275"/>
      <c r="L16" s="242"/>
      <c r="M16" s="242"/>
      <c r="N16" s="242"/>
      <c r="O16" s="242"/>
      <c r="P16" s="242"/>
      <c r="Q16" s="242"/>
      <c r="R16" s="242"/>
      <c r="S16" s="242"/>
      <c r="T16" s="242"/>
      <c r="U16" s="242"/>
      <c r="V16" s="242"/>
      <c r="W16" s="242"/>
      <c r="X16" s="242"/>
      <c r="Y16" s="243"/>
      <c r="Z16" s="243"/>
      <c r="AA16" s="242"/>
    </row>
    <row r="17" spans="1:27" ht="18" hidden="1" customHeight="1" outlineLevel="1" x14ac:dyDescent="0.3">
      <c r="A17" s="242"/>
      <c r="B17" s="59" t="s">
        <v>643</v>
      </c>
      <c r="C17" s="59" t="s">
        <v>564</v>
      </c>
      <c r="D17" s="59" t="s">
        <v>706</v>
      </c>
      <c r="E17" s="59" t="s">
        <v>707</v>
      </c>
      <c r="F17" s="60" t="s">
        <v>30</v>
      </c>
      <c r="G17" s="59" t="s">
        <v>708</v>
      </c>
      <c r="H17" s="60" t="s">
        <v>709</v>
      </c>
      <c r="I17" s="59" t="s">
        <v>710</v>
      </c>
      <c r="J17" s="59" t="s">
        <v>686</v>
      </c>
      <c r="K17" s="275"/>
      <c r="L17" s="242"/>
      <c r="M17" s="242"/>
      <c r="N17" s="242"/>
      <c r="O17" s="242"/>
      <c r="P17" s="242"/>
      <c r="Q17" s="242"/>
      <c r="R17" s="242"/>
      <c r="S17" s="242"/>
      <c r="T17" s="242"/>
      <c r="U17" s="242"/>
      <c r="V17" s="242"/>
      <c r="W17" s="242"/>
      <c r="X17" s="242"/>
      <c r="Y17" s="243"/>
      <c r="Z17" s="243"/>
      <c r="AA17" s="242"/>
    </row>
    <row r="18" spans="1:27" ht="18" hidden="1" customHeight="1" outlineLevel="2" x14ac:dyDescent="0.3">
      <c r="A18" s="242"/>
      <c r="B18" s="40" t="str">
        <f>IF(Table_FormDonMua_SKU[[#This Row],[Mã hàng]]&lt;&gt;"",COUNTIF($C$18:C28,"&lt;&gt;"""),"")</f>
        <v/>
      </c>
      <c r="C18" s="286"/>
      <c r="D18" s="286"/>
      <c r="E18" s="7" t="str">
        <f>IFERROR(
IFERROR(
VLOOKUP(Table_FormDonMua_SKU[[#This Row],[Mã nguyên liệu]],Table_NguyenLieu[[Mã Nguyên liệu]:[Tên Nguyên liệu]],Sheet_NguyenLieu!$D$1,0),
VLOOKUP(Table_FormDonMua_SKU[[#This Row],[Mã hàng]],Table_SKU[[Mã SKU]:[Mô tả]],Sheet_SKU!$H$1,0)),
"")</f>
        <v/>
      </c>
      <c r="F18" s="15"/>
      <c r="G18" s="15"/>
      <c r="H18" s="15" t="str">
        <f>IF(ISBLANK(Table_FormDonMua_SKU[[#This Row],[Mã hàng]]),
IF(ISBLANK(Table_FormDonMua_SKU[[#This Row],[Mã nguyên liệu]]),"",
Table_FormDonMua_SKU[[#This Row],[Giá sau VAT]]*Table_FormDonMua_SKU[[#This Row],[Số lượng]]),
Table_FormDonMua_SKU[[#This Row],[Giá sau VAT]]*Table_FormDonMua_SKU[[#This Row],[Số lượng]])</f>
        <v/>
      </c>
      <c r="I18" s="119" t="str">
        <f>IFERROR(
IFERROR(
VLOOKUP(Table_FormDonMua_SKU[[#This Row],[Mã hàng]],Table_SKU[[Mã SKU]:[Tỷ suất VAT]],Sheet_SKU!$K$1,0),
VLOOKUP(Table_FormDonMua_SKU[[#This Row],[Mã nguyên liệu]],Table_NguyenLieu[[Mã Nguyên liệu]:[Tỷ suất VAT]],Sheet_NguyenLieu!$G$1,0)),
"")</f>
        <v/>
      </c>
      <c r="J18" s="50" t="str">
        <f>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f>
        <v/>
      </c>
      <c r="K18" s="275"/>
      <c r="L18" s="242"/>
      <c r="M18" s="242"/>
      <c r="N18" s="242"/>
      <c r="O18" s="242"/>
      <c r="P18" s="242"/>
      <c r="Q18" s="242"/>
      <c r="R18" s="242"/>
      <c r="S18" s="242"/>
      <c r="T18" s="242"/>
      <c r="U18" s="242"/>
      <c r="V18" s="242"/>
      <c r="W18" s="242"/>
      <c r="X18" s="242"/>
      <c r="Y18" s="243"/>
      <c r="Z18" s="243"/>
      <c r="AA18" s="242"/>
    </row>
    <row r="19" spans="1:27" ht="18" hidden="1" customHeight="1" outlineLevel="2" x14ac:dyDescent="0.3">
      <c r="A19" s="242"/>
      <c r="B19" s="7"/>
      <c r="C19" s="286"/>
      <c r="D19" s="286"/>
      <c r="E19" s="7"/>
      <c r="F19" s="15"/>
      <c r="G19" s="15"/>
      <c r="H19" s="15"/>
      <c r="I19" s="119"/>
      <c r="J19" s="50"/>
      <c r="K19" s="275"/>
      <c r="L19" s="242"/>
      <c r="M19" s="242"/>
      <c r="N19" s="242"/>
      <c r="O19" s="242"/>
      <c r="P19" s="242"/>
      <c r="Q19" s="242"/>
      <c r="R19" s="242"/>
      <c r="S19" s="242"/>
      <c r="T19" s="242"/>
      <c r="U19" s="242"/>
      <c r="V19" s="242"/>
      <c r="W19" s="242"/>
      <c r="X19" s="242"/>
      <c r="Y19" s="243"/>
      <c r="Z19" s="243"/>
      <c r="AA19" s="242"/>
    </row>
    <row r="20" spans="1:27" ht="18" hidden="1" customHeight="1" outlineLevel="2" x14ac:dyDescent="0.3">
      <c r="A20" s="242"/>
      <c r="B20" s="7"/>
      <c r="C20" s="286"/>
      <c r="D20" s="286"/>
      <c r="E20" s="7"/>
      <c r="F20" s="15"/>
      <c r="G20" s="15"/>
      <c r="H20" s="15"/>
      <c r="I20" s="119"/>
      <c r="J20" s="50"/>
      <c r="K20" s="275"/>
      <c r="L20" s="242"/>
      <c r="M20" s="242"/>
      <c r="N20" s="242"/>
      <c r="O20" s="242"/>
      <c r="P20" s="242"/>
      <c r="Q20" s="242"/>
      <c r="R20" s="242"/>
      <c r="S20" s="242"/>
      <c r="T20" s="242"/>
      <c r="U20" s="242"/>
      <c r="V20" s="242"/>
      <c r="W20" s="242"/>
      <c r="X20" s="242"/>
      <c r="Y20" s="243"/>
      <c r="Z20" s="243"/>
      <c r="AA20" s="242"/>
    </row>
    <row r="21" spans="1:27" ht="18" hidden="1" customHeight="1" outlineLevel="2" x14ac:dyDescent="0.3">
      <c r="A21" s="242"/>
      <c r="B21" s="7"/>
      <c r="C21" s="286"/>
      <c r="D21" s="286"/>
      <c r="E21" s="7"/>
      <c r="F21" s="15"/>
      <c r="G21" s="15"/>
      <c r="H21" s="15"/>
      <c r="I21" s="119"/>
      <c r="J21" s="50"/>
      <c r="K21" s="275"/>
      <c r="L21" s="242"/>
      <c r="M21" s="242"/>
      <c r="N21" s="242"/>
      <c r="O21" s="242"/>
      <c r="P21" s="242"/>
      <c r="Q21" s="242"/>
      <c r="R21" s="242"/>
      <c r="S21" s="242"/>
      <c r="T21" s="242"/>
      <c r="U21" s="242"/>
      <c r="V21" s="242"/>
      <c r="W21" s="242"/>
      <c r="X21" s="242"/>
      <c r="Y21" s="243"/>
      <c r="Z21" s="243"/>
      <c r="AA21" s="242"/>
    </row>
    <row r="22" spans="1:27" ht="18" hidden="1" customHeight="1" outlineLevel="2" x14ac:dyDescent="0.3">
      <c r="A22" s="242"/>
      <c r="B22" s="7"/>
      <c r="C22" s="286"/>
      <c r="D22" s="286"/>
      <c r="E22" s="7"/>
      <c r="F22" s="15"/>
      <c r="G22" s="15"/>
      <c r="H22" s="15"/>
      <c r="I22" s="119"/>
      <c r="J22" s="50"/>
      <c r="K22" s="275"/>
      <c r="L22" s="242"/>
      <c r="M22" s="242"/>
      <c r="N22" s="242"/>
      <c r="O22" s="242"/>
      <c r="P22" s="242"/>
      <c r="Q22" s="242"/>
      <c r="R22" s="242"/>
      <c r="S22" s="242"/>
      <c r="T22" s="242"/>
      <c r="U22" s="242"/>
      <c r="V22" s="242"/>
      <c r="W22" s="242"/>
      <c r="X22" s="242"/>
      <c r="Y22" s="243"/>
      <c r="Z22" s="243"/>
      <c r="AA22" s="242"/>
    </row>
    <row r="23" spans="1:27" ht="18" hidden="1" customHeight="1" outlineLevel="2" x14ac:dyDescent="0.3">
      <c r="A23" s="242"/>
      <c r="B23" s="7"/>
      <c r="C23" s="286"/>
      <c r="D23" s="286"/>
      <c r="E23" s="7"/>
      <c r="F23" s="15"/>
      <c r="G23" s="15"/>
      <c r="H23" s="15"/>
      <c r="I23" s="119"/>
      <c r="J23" s="50"/>
      <c r="K23" s="275"/>
      <c r="L23" s="242"/>
      <c r="M23" s="242"/>
      <c r="N23" s="242"/>
      <c r="O23" s="242"/>
      <c r="P23" s="242"/>
      <c r="Q23" s="242"/>
      <c r="R23" s="242"/>
      <c r="S23" s="242"/>
      <c r="T23" s="242"/>
      <c r="U23" s="242"/>
      <c r="V23" s="242"/>
      <c r="W23" s="242"/>
      <c r="X23" s="242"/>
      <c r="Y23" s="243"/>
      <c r="Z23" s="243"/>
      <c r="AA23" s="242"/>
    </row>
    <row r="24" spans="1:27" ht="18" hidden="1" customHeight="1" outlineLevel="2" x14ac:dyDescent="0.3">
      <c r="A24" s="242"/>
      <c r="B24" s="7"/>
      <c r="C24" s="286"/>
      <c r="D24" s="286"/>
      <c r="E24" s="7"/>
      <c r="F24" s="15"/>
      <c r="G24" s="15"/>
      <c r="H24" s="15"/>
      <c r="I24" s="119"/>
      <c r="J24" s="50"/>
      <c r="K24" s="275"/>
      <c r="L24" s="242"/>
      <c r="M24" s="242"/>
      <c r="N24" s="242"/>
      <c r="O24" s="242"/>
      <c r="P24" s="242"/>
      <c r="Q24" s="242"/>
      <c r="R24" s="242"/>
      <c r="S24" s="242"/>
      <c r="T24" s="242"/>
      <c r="U24" s="242"/>
      <c r="V24" s="242"/>
      <c r="W24" s="242"/>
      <c r="X24" s="242"/>
      <c r="Y24" s="243"/>
      <c r="Z24" s="243"/>
      <c r="AA24" s="242"/>
    </row>
    <row r="25" spans="1:27" ht="18" hidden="1" customHeight="1" outlineLevel="2" x14ac:dyDescent="0.3">
      <c r="A25" s="242"/>
      <c r="B25" s="7"/>
      <c r="C25" s="286"/>
      <c r="D25" s="286"/>
      <c r="E25" s="7"/>
      <c r="F25" s="15"/>
      <c r="G25" s="15"/>
      <c r="H25" s="15"/>
      <c r="I25" s="119"/>
      <c r="J25" s="50"/>
      <c r="K25" s="275"/>
      <c r="L25" s="242"/>
      <c r="M25" s="242"/>
      <c r="N25" s="242"/>
      <c r="O25" s="242"/>
      <c r="P25" s="242"/>
      <c r="Q25" s="242"/>
      <c r="R25" s="242"/>
      <c r="S25" s="242"/>
      <c r="T25" s="242"/>
      <c r="U25" s="242"/>
      <c r="V25" s="242"/>
      <c r="W25" s="242"/>
      <c r="X25" s="242"/>
      <c r="Y25" s="243"/>
      <c r="Z25" s="243"/>
      <c r="AA25" s="242"/>
    </row>
    <row r="26" spans="1:27" ht="18" hidden="1" customHeight="1" outlineLevel="2" x14ac:dyDescent="0.3">
      <c r="A26" s="242"/>
      <c r="B26" s="7"/>
      <c r="C26" s="286"/>
      <c r="D26" s="286"/>
      <c r="E26" s="7"/>
      <c r="F26" s="15"/>
      <c r="G26" s="15"/>
      <c r="H26" s="15"/>
      <c r="I26" s="119"/>
      <c r="J26" s="50"/>
      <c r="K26" s="275"/>
      <c r="L26" s="242"/>
      <c r="M26" s="242"/>
      <c r="N26" s="242"/>
      <c r="O26" s="242"/>
      <c r="P26" s="242"/>
      <c r="Q26" s="242"/>
      <c r="R26" s="242"/>
      <c r="S26" s="242"/>
      <c r="T26" s="242"/>
      <c r="U26" s="242"/>
      <c r="V26" s="242"/>
      <c r="W26" s="242"/>
      <c r="X26" s="242"/>
      <c r="Y26" s="243"/>
      <c r="Z26" s="243"/>
      <c r="AA26" s="242"/>
    </row>
    <row r="27" spans="1:27" ht="18" hidden="1" customHeight="1" outlineLevel="2" x14ac:dyDescent="0.3">
      <c r="A27" s="242"/>
      <c r="B27" s="7"/>
      <c r="C27" s="286"/>
      <c r="D27" s="286"/>
      <c r="E27" s="7"/>
      <c r="F27" s="15"/>
      <c r="G27" s="15"/>
      <c r="H27" s="15"/>
      <c r="I27" s="119"/>
      <c r="J27" s="50"/>
      <c r="K27" s="275"/>
      <c r="L27" s="242"/>
      <c r="M27" s="242"/>
      <c r="N27" s="242"/>
      <c r="O27" s="242"/>
      <c r="P27" s="242"/>
      <c r="Q27" s="242"/>
      <c r="R27" s="242"/>
      <c r="S27" s="242"/>
      <c r="T27" s="242"/>
      <c r="U27" s="242"/>
      <c r="V27" s="242"/>
      <c r="W27" s="242"/>
      <c r="X27" s="242"/>
      <c r="Y27" s="243"/>
      <c r="Z27" s="243"/>
      <c r="AA27" s="242"/>
    </row>
    <row r="28" spans="1:27" ht="18" hidden="1" customHeight="1" outlineLevel="1" x14ac:dyDescent="0.3">
      <c r="A28" s="242"/>
      <c r="B28" s="7"/>
      <c r="C28" s="286"/>
      <c r="D28" s="286"/>
      <c r="E28" s="7"/>
      <c r="F28" s="15"/>
      <c r="G28" s="15"/>
      <c r="H28" s="15"/>
      <c r="I28" s="119"/>
      <c r="J28" s="50"/>
      <c r="K28" s="275"/>
      <c r="L28" s="242"/>
      <c r="M28" s="242"/>
      <c r="N28" s="242"/>
      <c r="O28" s="242"/>
      <c r="P28" s="242"/>
      <c r="Q28" s="242"/>
      <c r="R28" s="242"/>
      <c r="S28" s="242"/>
      <c r="T28" s="242"/>
      <c r="U28" s="242"/>
      <c r="V28" s="242"/>
      <c r="W28" s="242"/>
      <c r="X28" s="242"/>
      <c r="Y28" s="243"/>
      <c r="Z28" s="243"/>
      <c r="AA28" s="242"/>
    </row>
    <row r="29" spans="1:27" ht="18" hidden="1" customHeight="1" outlineLevel="1" x14ac:dyDescent="0.3">
      <c r="A29" s="242"/>
      <c r="B29" s="242"/>
      <c r="C29" s="242"/>
      <c r="D29" s="242"/>
      <c r="E29" s="242"/>
      <c r="F29" s="244"/>
      <c r="G29" s="244"/>
      <c r="H29" s="244"/>
      <c r="I29" s="242"/>
      <c r="J29" s="242"/>
      <c r="K29" s="275"/>
      <c r="L29" s="242"/>
      <c r="M29" s="242"/>
      <c r="N29" s="242"/>
      <c r="O29" s="242"/>
      <c r="P29" s="242"/>
      <c r="Q29" s="242"/>
      <c r="R29" s="242"/>
      <c r="S29" s="242"/>
      <c r="T29" s="242"/>
      <c r="U29" s="242"/>
      <c r="V29" s="242"/>
      <c r="W29" s="242"/>
      <c r="X29" s="242"/>
      <c r="Y29" s="243"/>
      <c r="Z29" s="243"/>
      <c r="AA29" s="242"/>
    </row>
    <row r="30" spans="1:27" ht="18" hidden="1" customHeight="1" outlineLevel="1" x14ac:dyDescent="0.3">
      <c r="A30" s="242"/>
      <c r="B30" s="61" t="s">
        <v>544</v>
      </c>
      <c r="C30" s="287"/>
      <c r="D30" s="287"/>
      <c r="E30" s="288"/>
      <c r="F30" s="185" t="s">
        <v>711</v>
      </c>
      <c r="G30" s="289"/>
      <c r="H30" s="414">
        <f>SUM(Table_FormDonMua_SKU[Thành tiền])</f>
        <v>0</v>
      </c>
      <c r="I30" s="242"/>
      <c r="J30" s="242"/>
      <c r="K30" s="275"/>
      <c r="L30" s="242"/>
      <c r="M30" s="242"/>
      <c r="N30" s="242"/>
      <c r="O30" s="242"/>
      <c r="P30" s="242"/>
      <c r="Q30" s="242"/>
      <c r="R30" s="242"/>
      <c r="S30" s="242"/>
      <c r="T30" s="242"/>
      <c r="U30" s="242"/>
      <c r="V30" s="242"/>
      <c r="W30" s="242"/>
      <c r="X30" s="242"/>
      <c r="Y30" s="243"/>
      <c r="Z30" s="243"/>
      <c r="AA30" s="242"/>
    </row>
    <row r="31" spans="1:27" ht="18" hidden="1" customHeight="1" outlineLevel="1" x14ac:dyDescent="0.3">
      <c r="A31" s="242"/>
      <c r="B31" s="290"/>
      <c r="C31" s="276"/>
      <c r="D31" s="276"/>
      <c r="E31" s="291"/>
      <c r="F31" s="185" t="s">
        <v>712</v>
      </c>
      <c r="G31" s="289"/>
      <c r="H31" s="411"/>
      <c r="I31" s="242"/>
      <c r="J31" s="242"/>
      <c r="K31" s="275"/>
      <c r="L31" s="242"/>
      <c r="M31" s="242"/>
      <c r="N31" s="242"/>
      <c r="O31" s="242"/>
      <c r="P31" s="242"/>
      <c r="Q31" s="242"/>
      <c r="R31" s="242"/>
      <c r="S31" s="242"/>
      <c r="T31" s="242"/>
      <c r="U31" s="242"/>
      <c r="V31" s="242"/>
      <c r="W31" s="242"/>
      <c r="X31" s="242"/>
      <c r="Y31" s="243"/>
      <c r="Z31" s="243"/>
      <c r="AA31" s="242"/>
    </row>
    <row r="32" spans="1:27" ht="18" hidden="1" customHeight="1" outlineLevel="1" x14ac:dyDescent="0.3">
      <c r="A32" s="242"/>
      <c r="B32" s="290"/>
      <c r="C32" s="276"/>
      <c r="D32" s="276"/>
      <c r="E32" s="291"/>
      <c r="F32" s="1" t="s">
        <v>713</v>
      </c>
      <c r="G32" s="289"/>
      <c r="H32" s="411"/>
      <c r="I32" s="242"/>
      <c r="J32" s="242"/>
      <c r="K32" s="275"/>
      <c r="L32" s="242"/>
      <c r="M32" s="242"/>
      <c r="N32" s="242"/>
      <c r="O32" s="242"/>
      <c r="P32" s="242"/>
      <c r="Q32" s="242"/>
      <c r="R32" s="242"/>
      <c r="S32" s="242"/>
      <c r="T32" s="242"/>
      <c r="U32" s="242"/>
      <c r="V32" s="242"/>
      <c r="W32" s="242"/>
      <c r="X32" s="242"/>
      <c r="Y32" s="243"/>
      <c r="Z32" s="243"/>
      <c r="AA32" s="242"/>
    </row>
    <row r="33" spans="1:27" ht="18" hidden="1" customHeight="1" outlineLevel="1" x14ac:dyDescent="0.3">
      <c r="A33" s="242"/>
      <c r="B33" s="290"/>
      <c r="C33" s="276"/>
      <c r="D33" s="276"/>
      <c r="E33" s="291"/>
      <c r="F33" s="1" t="s">
        <v>714</v>
      </c>
      <c r="G33" s="289"/>
      <c r="H33" s="411">
        <f>U43</f>
        <v>0</v>
      </c>
      <c r="I33" s="242"/>
      <c r="J33" s="242"/>
      <c r="K33" s="275"/>
      <c r="L33" s="242"/>
      <c r="M33" s="242"/>
      <c r="N33" s="242"/>
      <c r="O33" s="242"/>
      <c r="P33" s="242"/>
      <c r="Q33" s="242"/>
      <c r="R33" s="242"/>
      <c r="S33" s="242"/>
      <c r="T33" s="242"/>
      <c r="U33" s="242"/>
      <c r="V33" s="242"/>
      <c r="W33" s="242"/>
      <c r="X33" s="242"/>
      <c r="Y33" s="243"/>
      <c r="Z33" s="243"/>
      <c r="AA33" s="242"/>
    </row>
    <row r="34" spans="1:27" ht="18" hidden="1" customHeight="1" outlineLevel="1" x14ac:dyDescent="0.3">
      <c r="A34" s="242"/>
      <c r="B34" s="292"/>
      <c r="C34" s="293"/>
      <c r="D34" s="293"/>
      <c r="E34" s="294"/>
      <c r="F34" s="62" t="s">
        <v>715</v>
      </c>
      <c r="G34" s="295"/>
      <c r="H34" s="410">
        <f>+H30+H31-H32</f>
        <v>0</v>
      </c>
      <c r="I34" s="242"/>
      <c r="J34" s="242"/>
      <c r="K34" s="275"/>
      <c r="L34" s="242"/>
      <c r="M34" s="242"/>
      <c r="N34" s="242"/>
      <c r="O34" s="242"/>
      <c r="P34" s="242"/>
      <c r="Q34" s="242"/>
      <c r="R34" s="242"/>
      <c r="S34" s="242"/>
      <c r="T34" s="242"/>
      <c r="U34" s="242"/>
      <c r="V34" s="242"/>
      <c r="W34" s="242"/>
      <c r="X34" s="242"/>
      <c r="Y34" s="243"/>
      <c r="Z34" s="243"/>
      <c r="AA34" s="242"/>
    </row>
    <row r="35" spans="1:27" ht="18" hidden="1" customHeight="1" outlineLevel="1" x14ac:dyDescent="0.3">
      <c r="A35" s="242"/>
      <c r="B35" s="276"/>
      <c r="C35" s="276"/>
      <c r="D35" s="276"/>
      <c r="E35" s="276"/>
      <c r="F35" s="276"/>
      <c r="G35" s="276"/>
      <c r="H35" s="276"/>
      <c r="I35" s="242"/>
      <c r="J35" s="242"/>
      <c r="K35" s="275"/>
      <c r="L35" s="242"/>
      <c r="M35" s="242"/>
      <c r="N35" s="242"/>
      <c r="O35" s="242"/>
      <c r="P35" s="242"/>
      <c r="Q35" s="242"/>
      <c r="R35" s="242"/>
      <c r="S35" s="242"/>
      <c r="T35" s="242"/>
      <c r="U35" s="242"/>
      <c r="V35" s="242"/>
      <c r="W35" s="242"/>
      <c r="X35" s="242"/>
      <c r="Y35" s="243"/>
      <c r="Z35" s="243"/>
      <c r="AA35" s="242"/>
    </row>
    <row r="36" spans="1:27" ht="18" hidden="1" customHeight="1" outlineLevel="1" x14ac:dyDescent="0.3">
      <c r="A36" s="242"/>
      <c r="B36" s="276"/>
      <c r="C36" s="276"/>
      <c r="D36" s="276"/>
      <c r="E36" s="276"/>
      <c r="F36" s="276"/>
      <c r="G36" s="566" t="str">
        <f>B1</f>
        <v>Công ty ABC XYZ</v>
      </c>
      <c r="H36" s="567"/>
      <c r="I36" s="242"/>
      <c r="J36" s="242"/>
      <c r="K36" s="275"/>
      <c r="L36" s="242"/>
      <c r="M36" s="242"/>
      <c r="N36" s="242"/>
      <c r="O36" s="242"/>
      <c r="P36" s="242"/>
      <c r="Q36" s="242"/>
      <c r="R36" s="242"/>
      <c r="S36" s="242"/>
      <c r="T36" s="242"/>
      <c r="U36" s="242"/>
      <c r="V36" s="242"/>
      <c r="W36" s="242"/>
      <c r="X36" s="242"/>
      <c r="Y36" s="243"/>
      <c r="Z36" s="243"/>
      <c r="AA36" s="242"/>
    </row>
    <row r="37" spans="1:27" ht="18" hidden="1" customHeight="1" outlineLevel="1" x14ac:dyDescent="0.3">
      <c r="A37" s="242"/>
      <c r="B37" s="276"/>
      <c r="C37" s="276"/>
      <c r="D37" s="276"/>
      <c r="E37" s="276"/>
      <c r="F37" s="276"/>
      <c r="G37" s="566" t="s">
        <v>716</v>
      </c>
      <c r="H37" s="567"/>
      <c r="I37" s="242"/>
      <c r="J37" s="242"/>
      <c r="K37" s="275"/>
      <c r="L37" s="242"/>
      <c r="M37" s="242"/>
      <c r="N37" s="242"/>
      <c r="O37" s="242"/>
      <c r="P37" s="242"/>
      <c r="Q37" s="242"/>
      <c r="R37" s="242"/>
      <c r="S37" s="242"/>
      <c r="T37" s="242"/>
      <c r="U37" s="242"/>
      <c r="V37" s="242"/>
      <c r="W37" s="242"/>
      <c r="X37" s="242"/>
      <c r="Y37" s="243"/>
      <c r="Z37" s="243"/>
      <c r="AA37" s="242"/>
    </row>
    <row r="38" spans="1:27" ht="18" hidden="1" customHeight="1" outlineLevel="1" x14ac:dyDescent="0.3">
      <c r="A38" s="242"/>
      <c r="B38" s="276"/>
      <c r="C38" s="276"/>
      <c r="D38" s="276"/>
      <c r="E38" s="276"/>
      <c r="F38" s="276"/>
      <c r="G38" s="564" t="str">
        <f>IFERROR(VLOOKUP(G8,Table_NhanVien[#All],Sheet_CauTruc!$T$1,0),"")</f>
        <v/>
      </c>
      <c r="H38" s="565"/>
      <c r="I38" s="242"/>
      <c r="J38" s="242"/>
      <c r="K38" s="275"/>
      <c r="L38" s="242"/>
      <c r="M38" s="242"/>
      <c r="N38" s="242"/>
      <c r="O38" s="242"/>
      <c r="P38" s="242"/>
      <c r="Q38" s="242"/>
      <c r="R38" s="242"/>
      <c r="S38" s="242"/>
      <c r="T38" s="242"/>
      <c r="U38" s="242"/>
      <c r="V38" s="242"/>
      <c r="W38" s="242"/>
      <c r="X38" s="242"/>
      <c r="Y38" s="243"/>
      <c r="Z38" s="243"/>
      <c r="AA38" s="242"/>
    </row>
    <row r="39" spans="1:27" ht="18" hidden="1" customHeight="1" outlineLevel="1" x14ac:dyDescent="0.3">
      <c r="A39" s="242"/>
      <c r="B39" s="276"/>
      <c r="C39" s="276"/>
      <c r="D39" s="276"/>
      <c r="E39" s="276"/>
      <c r="F39" s="276"/>
      <c r="G39" s="296"/>
      <c r="H39" s="296"/>
      <c r="I39" s="242"/>
      <c r="J39" s="242"/>
      <c r="K39" s="275"/>
      <c r="L39" s="242"/>
      <c r="M39" s="242"/>
      <c r="N39" s="242"/>
      <c r="O39" s="242"/>
      <c r="P39" s="242"/>
      <c r="Q39" s="242"/>
      <c r="R39" s="242"/>
      <c r="S39" s="242"/>
      <c r="T39" s="242"/>
      <c r="U39" s="242"/>
      <c r="V39" s="242"/>
      <c r="W39" s="242"/>
      <c r="X39" s="242"/>
      <c r="Y39" s="243"/>
      <c r="Z39" s="243"/>
      <c r="AA39" s="242"/>
    </row>
    <row r="40" spans="1:27" ht="18" hidden="1" customHeight="1" outlineLevel="1" x14ac:dyDescent="0.3">
      <c r="A40" s="242"/>
      <c r="B40" s="276"/>
      <c r="C40" s="276"/>
      <c r="D40" s="276"/>
      <c r="E40" s="276"/>
      <c r="F40" s="276"/>
      <c r="G40" s="242"/>
      <c r="H40" s="242"/>
      <c r="I40" s="242"/>
      <c r="J40" s="242"/>
      <c r="K40" s="275"/>
      <c r="L40" s="242"/>
      <c r="M40" s="242"/>
      <c r="N40" s="242"/>
      <c r="O40" s="242"/>
      <c r="P40" s="242"/>
      <c r="Q40" s="242"/>
      <c r="R40" s="242"/>
      <c r="S40" s="242"/>
      <c r="T40" s="242"/>
      <c r="U40" s="242"/>
      <c r="V40" s="242"/>
      <c r="W40" s="242"/>
      <c r="X40" s="242"/>
      <c r="Y40" s="243"/>
      <c r="Z40" s="243"/>
      <c r="AA40" s="242"/>
    </row>
    <row r="41" spans="1:27" ht="18" hidden="1" customHeight="1" outlineLevel="1" x14ac:dyDescent="0.3">
      <c r="A41" s="242"/>
      <c r="B41" s="276"/>
      <c r="C41" s="276"/>
      <c r="D41" s="276"/>
      <c r="E41" s="276"/>
      <c r="F41" s="276"/>
      <c r="G41" s="242"/>
      <c r="H41" s="242"/>
      <c r="I41" s="242"/>
      <c r="J41" s="242"/>
      <c r="K41" s="275"/>
      <c r="L41" s="242"/>
      <c r="M41" s="242"/>
      <c r="N41" s="242"/>
      <c r="O41" s="242"/>
      <c r="P41" s="242"/>
      <c r="Q41" s="242"/>
      <c r="R41" s="242"/>
      <c r="S41" s="242"/>
      <c r="T41" s="242"/>
      <c r="U41" s="242"/>
      <c r="V41" s="242"/>
      <c r="W41" s="242"/>
      <c r="X41" s="242"/>
      <c r="Y41" s="243"/>
      <c r="Z41" s="243"/>
      <c r="AA41" s="242"/>
    </row>
    <row r="42" spans="1:27" ht="18" customHeight="1" collapsed="1" x14ac:dyDescent="0.3">
      <c r="A42" s="242"/>
      <c r="B42" s="276"/>
      <c r="C42" s="276"/>
      <c r="D42" s="276"/>
      <c r="E42" s="276"/>
      <c r="F42" s="276"/>
      <c r="G42" s="297"/>
      <c r="H42" s="297"/>
      <c r="I42" s="242"/>
      <c r="J42" s="242"/>
      <c r="K42" s="275"/>
      <c r="L42" s="301">
        <v>0</v>
      </c>
      <c r="M42" s="301">
        <f t="shared" ref="M42:W42" si="0">+L42+1</f>
        <v>1</v>
      </c>
      <c r="N42" s="301">
        <f t="shared" si="0"/>
        <v>2</v>
      </c>
      <c r="O42" s="301">
        <f t="shared" si="0"/>
        <v>3</v>
      </c>
      <c r="P42" s="301">
        <f t="shared" si="0"/>
        <v>4</v>
      </c>
      <c r="Q42" s="301">
        <f t="shared" si="0"/>
        <v>5</v>
      </c>
      <c r="R42" s="301">
        <f t="shared" si="0"/>
        <v>6</v>
      </c>
      <c r="S42" s="301">
        <f t="shared" si="0"/>
        <v>7</v>
      </c>
      <c r="T42" s="301">
        <f t="shared" si="0"/>
        <v>8</v>
      </c>
      <c r="U42" s="301">
        <f t="shared" si="0"/>
        <v>9</v>
      </c>
      <c r="V42" s="301">
        <f t="shared" si="0"/>
        <v>10</v>
      </c>
      <c r="W42" s="301">
        <f t="shared" si="0"/>
        <v>11</v>
      </c>
      <c r="X42" s="301"/>
      <c r="Y42" s="243"/>
      <c r="Z42" s="243"/>
      <c r="AA42" s="242"/>
    </row>
    <row r="43" spans="1:27" ht="18" customHeight="1" x14ac:dyDescent="0.3">
      <c r="A43" s="242"/>
      <c r="B43" s="276"/>
      <c r="C43" s="276"/>
      <c r="D43" s="276"/>
      <c r="E43" s="276"/>
      <c r="F43" s="276"/>
      <c r="G43" s="276"/>
      <c r="H43" s="276"/>
      <c r="I43" s="242"/>
      <c r="J43" s="242"/>
      <c r="K43" s="275"/>
      <c r="L43" s="298"/>
      <c r="M43" s="51" t="str">
        <f>G4</f>
        <v>NHAP--100-1</v>
      </c>
      <c r="N43" s="415">
        <f>G5</f>
        <v>0</v>
      </c>
      <c r="O43" s="246">
        <f>C3</f>
        <v>0</v>
      </c>
      <c r="P43" s="246">
        <f>G7</f>
        <v>0</v>
      </c>
      <c r="Q43" s="48">
        <f>H30</f>
        <v>0</v>
      </c>
      <c r="R43" s="48">
        <f xml:space="preserve">
SUM(Table_FormDonMua_SKU[VAT khấu trừ])</f>
        <v>0</v>
      </c>
      <c r="S43" s="48">
        <f>H31</f>
        <v>0</v>
      </c>
      <c r="T43" s="48">
        <f>H32</f>
        <v>0</v>
      </c>
      <c r="U43" s="393">
        <f xml:space="preserve">
IFERROR(
R43+R43/Q43*(S43-T43),0)</f>
        <v>0</v>
      </c>
      <c r="V43" s="393">
        <f>W43-U43</f>
        <v>0</v>
      </c>
      <c r="W43" s="416">
        <f>H34</f>
        <v>0</v>
      </c>
      <c r="X43" s="299"/>
      <c r="Y43" s="300"/>
      <c r="Z43" s="243"/>
      <c r="AA43" s="242"/>
    </row>
    <row r="44" spans="1:27" ht="18" customHeight="1" x14ac:dyDescent="0.3">
      <c r="A44" s="242"/>
      <c r="B44" s="276"/>
      <c r="C44" s="276"/>
      <c r="D44" s="276"/>
      <c r="E44" s="276"/>
      <c r="F44" s="276"/>
      <c r="G44" s="276"/>
      <c r="H44" s="276"/>
      <c r="I44" s="242"/>
      <c r="J44" s="242"/>
      <c r="K44" s="275"/>
      <c r="L44" s="298"/>
      <c r="M44" s="51" t="str">
        <f>CONCATENATE("NHAP-",O44,"-",MOD(YEAR(N44),100)*10000+MONTH(N44)*100+DAY(N44),"-",L44)</f>
        <v>NHAP--100-</v>
      </c>
      <c r="N44" s="415"/>
      <c r="O44" s="246"/>
      <c r="P44" s="246"/>
      <c r="Q44" s="48" cm="1">
        <f t="array" ref="Q44">IFERROR(
SUM(_xlfn._xlws.FILTER(Table_Main[Giá trị hàng nhập],
(Table_Main[Đơn Mua] = M44)
)),0)</f>
        <v>0</v>
      </c>
      <c r="R44" s="48" cm="1">
        <f t="array" ref="R44">IFERROR(
SUM(_xlfn._xlws.FILTER(Table_Main[VAT khấu trừ],
(Table_Main[Đơn Mua] = M44)
)),0)</f>
        <v>0</v>
      </c>
      <c r="S44" s="48"/>
      <c r="T44" s="48"/>
      <c r="U44" s="393">
        <f xml:space="preserve">
IFERROR(
R44+R44/Q44*(S44-T44),0)</f>
        <v>0</v>
      </c>
      <c r="V44" s="393">
        <f>W44-U44</f>
        <v>0</v>
      </c>
      <c r="W44" s="416">
        <f>IF(M44="TONKHODAU",0,Q44+S44-T44)</f>
        <v>0</v>
      </c>
      <c r="X44" s="299"/>
      <c r="Y44" s="300"/>
      <c r="Z44" s="243"/>
      <c r="AA44" s="242"/>
    </row>
    <row r="45" spans="1:27" ht="18" customHeight="1" x14ac:dyDescent="0.3">
      <c r="A45" s="242"/>
      <c r="B45" s="276"/>
      <c r="C45" s="276"/>
      <c r="D45" s="276"/>
      <c r="E45" s="276"/>
      <c r="F45" s="276"/>
      <c r="G45" s="276"/>
      <c r="H45" s="276"/>
      <c r="I45" s="242"/>
      <c r="J45" s="242"/>
      <c r="K45" s="275"/>
      <c r="L45" s="42" t="s">
        <v>60</v>
      </c>
      <c r="M45" s="42" t="s">
        <v>717</v>
      </c>
      <c r="N45" s="42" t="s">
        <v>700</v>
      </c>
      <c r="O45" s="42" t="s">
        <v>698</v>
      </c>
      <c r="P45" s="42" t="s">
        <v>718</v>
      </c>
      <c r="Q45" s="42" t="s">
        <v>719</v>
      </c>
      <c r="R45" s="42" t="s">
        <v>720</v>
      </c>
      <c r="S45" s="42" t="s">
        <v>712</v>
      </c>
      <c r="T45" s="42" t="s">
        <v>721</v>
      </c>
      <c r="U45" s="42" t="s">
        <v>714</v>
      </c>
      <c r="V45" s="42" t="s">
        <v>657</v>
      </c>
      <c r="W45" s="42" t="s">
        <v>722</v>
      </c>
      <c r="X45" s="7" t="s">
        <v>883</v>
      </c>
      <c r="Y45" s="7" t="s">
        <v>1253</v>
      </c>
      <c r="Z45" s="243"/>
      <c r="AA45" s="242"/>
    </row>
    <row r="46" spans="1:27" ht="18" customHeight="1" x14ac:dyDescent="0.3">
      <c r="A46" s="242"/>
      <c r="B46" s="276"/>
      <c r="C46" s="276"/>
      <c r="D46" s="276"/>
      <c r="E46" s="276"/>
      <c r="F46" s="276"/>
      <c r="G46" s="276"/>
      <c r="H46" s="276"/>
      <c r="I46" s="242"/>
      <c r="J46" s="242"/>
      <c r="K46" s="275"/>
      <c r="L46" s="250"/>
      <c r="M46" s="527" t="str">
        <f>CONCATENATE("NHAP-",Table_DonMua[[#This Row],[Mã Đối tác]],"-",MOD(YEAR(Table_DonMua[[#This Row],[Ngày lập]]),100)*10000+MONTH(Table_DonMua[[#This Row],[Ngày lập]])*100+DAY(Table_DonMua[[#This Row],[Ngày lập]]),"-",Table_DonMua[[#This Row],[TT]])</f>
        <v>NHAP-NCC1-250528-</v>
      </c>
      <c r="N46" s="415">
        <v>45805</v>
      </c>
      <c r="O46" s="534" t="s">
        <v>1168</v>
      </c>
      <c r="P46" s="534" t="s">
        <v>1165</v>
      </c>
      <c r="Q46" s="417">
        <f>IFERROR(
SUM(_xlfn._xlws.FILTER(Table_Main[Giá trị hàng nhập],
(Table_Main[Đơn Mua] = Table_DonMua[[#This Row],[Mã Đơn mua]])
)),0)</f>
        <v>4191908</v>
      </c>
      <c r="R46" s="417">
        <f>IFERROR(
SUM(_xlfn._xlws.FILTER(Table_Main[VAT khấu trừ],
(Table_Main[Đơn Mua] = Table_DonMua[[#This Row],[Mã Đơn mua]])
)),0)</f>
        <v>0</v>
      </c>
      <c r="S46" s="535"/>
      <c r="T46" s="535"/>
      <c r="U46" s="120">
        <f xml:space="preserve">
IFERROR(Table_DonMua[[#This Row],[VAT hàng]]+Table_DonMua[[#This Row],[VAT hàng]]/Table_DonMua[[#This Row],[Tiền hàng]]*(Table_DonMua[[#This Row],[Phụ phí]]-Table_DonMua[[#This Row],[Khuyến mãi]]),0)</f>
        <v>0</v>
      </c>
      <c r="V46" s="419">
        <f>Table_DonMua[[#This Row],[Phải trả]]-Table_DonMua[[#This Row],[Tổng VAT khấu trừ]]</f>
        <v>4191908</v>
      </c>
      <c r="W46" s="417">
        <f xml:space="preserve">
IF(Table_DonMua[[#This Row],[Mã Đơn mua]]="TONKHODAU",0,
+Table_DonMua[[#This Row],[Tiền hàng]]+Table_DonMua[[#This Row],[Phụ phí]]-Table_DonMua[[#This Row],[Khuyến mãi]])</f>
        <v>4191908</v>
      </c>
      <c r="X46" s="528"/>
      <c r="Y46"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430146</v>
      </c>
      <c r="Z46" s="243"/>
      <c r="AA46" s="242"/>
    </row>
    <row r="47" spans="1:27" ht="18" customHeight="1" x14ac:dyDescent="0.3">
      <c r="L47" s="250"/>
      <c r="M47" s="527" t="str">
        <f>CONCATENATE("NHAP-",Table_DonMua[[#This Row],[Mã Đối tác]],"-",MOD(YEAR(Table_DonMua[[#This Row],[Ngày lập]]),100)*10000+MONTH(Table_DonMua[[#This Row],[Ngày lập]])*100+DAY(Table_DonMua[[#This Row],[Ngày lập]]),"-",Table_DonMua[[#This Row],[TT]])</f>
        <v>NHAP-NCC2-250527-</v>
      </c>
      <c r="N47" s="415">
        <v>45804</v>
      </c>
      <c r="O47" s="534" t="s">
        <v>1169</v>
      </c>
      <c r="P47" s="534" t="s">
        <v>1165</v>
      </c>
      <c r="Q47" s="417">
        <f>IFERROR(
SUM(_xlfn._xlws.FILTER(Table_Main[Giá trị hàng nhập],
(Table_Main[Đơn Mua] = Table_DonMua[[#This Row],[Mã Đơn mua]])
)),0)</f>
        <v>3270208</v>
      </c>
      <c r="R47" s="417">
        <f>IFERROR(
SUM(_xlfn._xlws.FILTER(Table_Main[VAT khấu trừ],
(Table_Main[Đơn Mua] = Table_DonMua[[#This Row],[Mã Đơn mua]])
)),0)</f>
        <v>0</v>
      </c>
      <c r="S47" s="535"/>
      <c r="T47" s="535"/>
      <c r="U47" s="120">
        <f xml:space="preserve">
IFERROR(Table_DonMua[[#This Row],[VAT hàng]]+Table_DonMua[[#This Row],[VAT hàng]]/Table_DonMua[[#This Row],[Tiền hàng]]*(Table_DonMua[[#This Row],[Phụ phí]]-Table_DonMua[[#This Row],[Khuyến mãi]]),0)</f>
        <v>0</v>
      </c>
      <c r="V47" s="419">
        <f>Table_DonMua[[#This Row],[Phải trả]]-Table_DonMua[[#This Row],[Tổng VAT khấu trừ]]</f>
        <v>3270208</v>
      </c>
      <c r="W47" s="417">
        <f xml:space="preserve">
IF(Table_DonMua[[#This Row],[Mã Đơn mua]]="TONKHODAU",0,
+Table_DonMua[[#This Row],[Tiền hàng]]+Table_DonMua[[#This Row],[Phụ phí]]-Table_DonMua[[#This Row],[Khuyến mãi]])</f>
        <v>3270208</v>
      </c>
      <c r="X47" s="528"/>
      <c r="Y47"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8" spans="1:27" ht="18" customHeight="1" x14ac:dyDescent="0.3">
      <c r="L48" s="250"/>
      <c r="M48" s="527" t="str">
        <f>CONCATENATE("NHAP-",Table_DonMua[[#This Row],[Mã Đối tác]],"-",MOD(YEAR(Table_DonMua[[#This Row],[Ngày lập]]),100)*10000+MONTH(Table_DonMua[[#This Row],[Ngày lập]])*100+DAY(Table_DonMua[[#This Row],[Ngày lập]]),"-",Table_DonMua[[#This Row],[TT]])</f>
        <v>NHAP-NCC3-250525-</v>
      </c>
      <c r="N48" s="415">
        <v>45802</v>
      </c>
      <c r="O48" s="534" t="s">
        <v>1170</v>
      </c>
      <c r="P48" s="534" t="s">
        <v>1165</v>
      </c>
      <c r="Q48" s="417">
        <f>IFERROR(
SUM(_xlfn._xlws.FILTER(Table_Main[Giá trị hàng nhập],
(Table_Main[Đơn Mua] = Table_DonMua[[#This Row],[Mã Đơn mua]])
)),0)</f>
        <v>1326520</v>
      </c>
      <c r="R48" s="417">
        <f>IFERROR(
SUM(_xlfn._xlws.FILTER(Table_Main[VAT khấu trừ],
(Table_Main[Đơn Mua] = Table_DonMua[[#This Row],[Mã Đơn mua]])
)),0)</f>
        <v>0</v>
      </c>
      <c r="S48" s="535"/>
      <c r="T48" s="535"/>
      <c r="U48" s="120">
        <f xml:space="preserve">
IFERROR(Table_DonMua[[#This Row],[VAT hàng]]+Table_DonMua[[#This Row],[VAT hàng]]/Table_DonMua[[#This Row],[Tiền hàng]]*(Table_DonMua[[#This Row],[Phụ phí]]-Table_DonMua[[#This Row],[Khuyến mãi]]),0)</f>
        <v>0</v>
      </c>
      <c r="V48" s="419">
        <f>Table_DonMua[[#This Row],[Phải trả]]-Table_DonMua[[#This Row],[Tổng VAT khấu trừ]]</f>
        <v>1326520</v>
      </c>
      <c r="W48" s="417">
        <f xml:space="preserve">
IF(Table_DonMua[[#This Row],[Mã Đơn mua]]="TONKHODAU",0,
+Table_DonMua[[#This Row],[Tiền hàng]]+Table_DonMua[[#This Row],[Phụ phí]]-Table_DonMua[[#This Row],[Khuyến mãi]])</f>
        <v>1326520</v>
      </c>
      <c r="X48" s="528"/>
      <c r="Y48"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9" spans="12:25" ht="18" customHeight="1" x14ac:dyDescent="0.3">
      <c r="L49" s="250"/>
      <c r="M49" s="527" t="str">
        <f>CONCATENATE("NHAP-",Table_DonMua[[#This Row],[Mã Đối tác]],"-",MOD(YEAR(Table_DonMua[[#This Row],[Ngày lập]]),100)*10000+MONTH(Table_DonMua[[#This Row],[Ngày lập]])*100+DAY(Table_DonMua[[#This Row],[Ngày lập]]),"-",Table_DonMua[[#This Row],[TT]])</f>
        <v>NHAP-NCC2-250523-</v>
      </c>
      <c r="N49" s="415">
        <v>45800</v>
      </c>
      <c r="O49" s="534" t="s">
        <v>1169</v>
      </c>
      <c r="P49" s="534" t="s">
        <v>1165</v>
      </c>
      <c r="Q49" s="417">
        <f>IFERROR(
SUM(_xlfn._xlws.FILTER(Table_Main[Giá trị hàng nhập],
(Table_Main[Đơn Mua] = Table_DonMua[[#This Row],[Mã Đơn mua]])
)),0)</f>
        <v>2388672</v>
      </c>
      <c r="R49" s="417">
        <f>IFERROR(
SUM(_xlfn._xlws.FILTER(Table_Main[VAT khấu trừ],
(Table_Main[Đơn Mua] = Table_DonMua[[#This Row],[Mã Đơn mua]])
)),0)</f>
        <v>0</v>
      </c>
      <c r="S49" s="535"/>
      <c r="T49" s="535"/>
      <c r="U49" s="120">
        <f xml:space="preserve">
IFERROR(Table_DonMua[[#This Row],[VAT hàng]]+Table_DonMua[[#This Row],[VAT hàng]]/Table_DonMua[[#This Row],[Tiền hàng]]*(Table_DonMua[[#This Row],[Phụ phí]]-Table_DonMua[[#This Row],[Khuyến mãi]]),0)</f>
        <v>0</v>
      </c>
      <c r="V49" s="419">
        <f>Table_DonMua[[#This Row],[Phải trả]]-Table_DonMua[[#This Row],[Tổng VAT khấu trừ]]</f>
        <v>2388672</v>
      </c>
      <c r="W49" s="417">
        <f xml:space="preserve">
IF(Table_DonMua[[#This Row],[Mã Đơn mua]]="TONKHODAU",0,
+Table_DonMua[[#This Row],[Tiền hàng]]+Table_DonMua[[#This Row],[Phụ phí]]-Table_DonMua[[#This Row],[Khuyến mãi]])</f>
        <v>2388672</v>
      </c>
      <c r="X49" s="528"/>
      <c r="Y49"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0" spans="12:25" ht="18" customHeight="1" x14ac:dyDescent="0.3">
      <c r="L50" s="250"/>
      <c r="M50" s="527" t="str">
        <f>CONCATENATE("NHAP-",Table_DonMua[[#This Row],[Mã Đối tác]],"-",MOD(YEAR(Table_DonMua[[#This Row],[Ngày lập]]),100)*10000+MONTH(Table_DonMua[[#This Row],[Ngày lập]])*100+DAY(Table_DonMua[[#This Row],[Ngày lập]]),"-",Table_DonMua[[#This Row],[TT]])</f>
        <v>NHAP-NCC2-250520-</v>
      </c>
      <c r="N50" s="415">
        <v>45797</v>
      </c>
      <c r="O50" s="534" t="s">
        <v>1169</v>
      </c>
      <c r="P50" s="534" t="s">
        <v>1165</v>
      </c>
      <c r="Q50" s="417">
        <f>IFERROR(
SUM(_xlfn._xlws.FILTER(Table_Main[Giá trị hàng nhập],
(Table_Main[Đơn Mua] = Table_DonMua[[#This Row],[Mã Đơn mua]])
)),0)</f>
        <v>4980430</v>
      </c>
      <c r="R50" s="417">
        <f>IFERROR(
SUM(_xlfn._xlws.FILTER(Table_Main[VAT khấu trừ],
(Table_Main[Đơn Mua] = Table_DonMua[[#This Row],[Mã Đơn mua]])
)),0)</f>
        <v>0</v>
      </c>
      <c r="S50" s="535"/>
      <c r="T50" s="535"/>
      <c r="U50" s="120">
        <f xml:space="preserve">
IFERROR(Table_DonMua[[#This Row],[VAT hàng]]+Table_DonMua[[#This Row],[VAT hàng]]/Table_DonMua[[#This Row],[Tiền hàng]]*(Table_DonMua[[#This Row],[Phụ phí]]-Table_DonMua[[#This Row],[Khuyến mãi]]),0)</f>
        <v>0</v>
      </c>
      <c r="V50" s="419">
        <f>Table_DonMua[[#This Row],[Phải trả]]-Table_DonMua[[#This Row],[Tổng VAT khấu trừ]]</f>
        <v>4980430</v>
      </c>
      <c r="W50" s="417">
        <f xml:space="preserve">
IF(Table_DonMua[[#This Row],[Mã Đơn mua]]="TONKHODAU",0,
+Table_DonMua[[#This Row],[Tiền hàng]]+Table_DonMua[[#This Row],[Phụ phí]]-Table_DonMua[[#This Row],[Khuyến mãi]])</f>
        <v>4980430</v>
      </c>
      <c r="X50" s="528"/>
      <c r="Y50"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1" spans="12:25" ht="18" customHeight="1" x14ac:dyDescent="0.3">
      <c r="L51" s="250"/>
      <c r="M51" s="527" t="str">
        <f>CONCATENATE("NHAP-",Table_DonMua[[#This Row],[Mã Đối tác]],"-",MOD(YEAR(Table_DonMua[[#This Row],[Ngày lập]]),100)*10000+MONTH(Table_DonMua[[#This Row],[Ngày lập]])*100+DAY(Table_DonMua[[#This Row],[Ngày lập]]),"-",Table_DonMua[[#This Row],[TT]])</f>
        <v>NHAP-NCC2-250511-</v>
      </c>
      <c r="N51" s="415">
        <v>45788</v>
      </c>
      <c r="O51" s="534" t="s">
        <v>1169</v>
      </c>
      <c r="P51" s="534" t="s">
        <v>1165</v>
      </c>
      <c r="Q51" s="417">
        <f>IFERROR(
SUM(_xlfn._xlws.FILTER(Table_Main[Giá trị hàng nhập],
(Table_Main[Đơn Mua] = Table_DonMua[[#This Row],[Mã Đơn mua]])
)),0)</f>
        <v>540624</v>
      </c>
      <c r="R51" s="417">
        <f>IFERROR(
SUM(_xlfn._xlws.FILTER(Table_Main[VAT khấu trừ],
(Table_Main[Đơn Mua] = Table_DonMua[[#This Row],[Mã Đơn mua]])
)),0)</f>
        <v>0</v>
      </c>
      <c r="S51" s="535"/>
      <c r="T51" s="535"/>
      <c r="U51" s="120">
        <f xml:space="preserve">
IFERROR(Table_DonMua[[#This Row],[VAT hàng]]+Table_DonMua[[#This Row],[VAT hàng]]/Table_DonMua[[#This Row],[Tiền hàng]]*(Table_DonMua[[#This Row],[Phụ phí]]-Table_DonMua[[#This Row],[Khuyến mãi]]),0)</f>
        <v>0</v>
      </c>
      <c r="V51" s="419">
        <f>Table_DonMua[[#This Row],[Phải trả]]-Table_DonMua[[#This Row],[Tổng VAT khấu trừ]]</f>
        <v>540624</v>
      </c>
      <c r="W51" s="417">
        <f xml:space="preserve">
IF(Table_DonMua[[#This Row],[Mã Đơn mua]]="TONKHODAU",0,
+Table_DonMua[[#This Row],[Tiền hàng]]+Table_DonMua[[#This Row],[Phụ phí]]-Table_DonMua[[#This Row],[Khuyến mãi]])</f>
        <v>540624</v>
      </c>
      <c r="X51" s="528"/>
      <c r="Y51"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2" spans="12:25" ht="18" customHeight="1" x14ac:dyDescent="0.3">
      <c r="L52" s="250"/>
      <c r="M52" s="527" t="str">
        <f>CONCATENATE("NHAP-",Table_DonMua[[#This Row],[Mã Đối tác]],"-",MOD(YEAR(Table_DonMua[[#This Row],[Ngày lập]]),100)*10000+MONTH(Table_DonMua[[#This Row],[Ngày lập]])*100+DAY(Table_DonMua[[#This Row],[Ngày lập]]),"-",Table_DonMua[[#This Row],[TT]])</f>
        <v>NHAP-NCC1-250505-</v>
      </c>
      <c r="N52" s="415">
        <v>45782</v>
      </c>
      <c r="O52" s="534" t="s">
        <v>1168</v>
      </c>
      <c r="P52" s="534" t="s">
        <v>1165</v>
      </c>
      <c r="Q52" s="417">
        <f>IFERROR(
SUM(_xlfn._xlws.FILTER(Table_Main[Giá trị hàng nhập],
(Table_Main[Đơn Mua] = Table_DonMua[[#This Row],[Mã Đơn mua]])
)),0)</f>
        <v>2571280</v>
      </c>
      <c r="R52" s="417">
        <f>IFERROR(
SUM(_xlfn._xlws.FILTER(Table_Main[VAT khấu trừ],
(Table_Main[Đơn Mua] = Table_DonMua[[#This Row],[Mã Đơn mua]])
)),0)</f>
        <v>0</v>
      </c>
      <c r="S52" s="535"/>
      <c r="T52" s="535"/>
      <c r="U52" s="120">
        <f xml:space="preserve">
IFERROR(Table_DonMua[[#This Row],[VAT hàng]]+Table_DonMua[[#This Row],[VAT hàng]]/Table_DonMua[[#This Row],[Tiền hàng]]*(Table_DonMua[[#This Row],[Phụ phí]]-Table_DonMua[[#This Row],[Khuyến mãi]]),0)</f>
        <v>0</v>
      </c>
      <c r="V52" s="419">
        <f>Table_DonMua[[#This Row],[Phải trả]]-Table_DonMua[[#This Row],[Tổng VAT khấu trừ]]</f>
        <v>2571280</v>
      </c>
      <c r="W52" s="417">
        <f xml:space="preserve">
IF(Table_DonMua[[#This Row],[Mã Đơn mua]]="TONKHODAU",0,
+Table_DonMua[[#This Row],[Tiền hàng]]+Table_DonMua[[#This Row],[Phụ phí]]-Table_DonMua[[#This Row],[Khuyến mãi]])</f>
        <v>2571280</v>
      </c>
      <c r="X52" s="528"/>
      <c r="Y52"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3" spans="12:25" ht="18" customHeight="1" x14ac:dyDescent="0.3">
      <c r="L53" s="250"/>
      <c r="M53" s="527" t="str">
        <f>CONCATENATE("NHAP-",Table_DonMua[[#This Row],[Mã Đối tác]],"-",MOD(YEAR(Table_DonMua[[#This Row],[Ngày lập]]),100)*10000+MONTH(Table_DonMua[[#This Row],[Ngày lập]])*100+DAY(Table_DonMua[[#This Row],[Ngày lập]]),"-",Table_DonMua[[#This Row],[TT]])</f>
        <v>NHAP-NCC2-250501-</v>
      </c>
      <c r="N53" s="415">
        <v>45778</v>
      </c>
      <c r="O53" s="534" t="s">
        <v>1169</v>
      </c>
      <c r="P53" s="534" t="s">
        <v>1165</v>
      </c>
      <c r="Q53" s="417">
        <f>IFERROR(
SUM(_xlfn._xlws.FILTER(Table_Main[Giá trị hàng nhập],
(Table_Main[Đơn Mua] = Table_DonMua[[#This Row],[Mã Đơn mua]])
)),0)</f>
        <v>1367328</v>
      </c>
      <c r="R53" s="417">
        <f>IFERROR(
SUM(_xlfn._xlws.FILTER(Table_Main[VAT khấu trừ],
(Table_Main[Đơn Mua] = Table_DonMua[[#This Row],[Mã Đơn mua]])
)),0)</f>
        <v>0</v>
      </c>
      <c r="S53" s="535"/>
      <c r="T53" s="535"/>
      <c r="U53" s="120">
        <f xml:space="preserve">
IFERROR(Table_DonMua[[#This Row],[VAT hàng]]+Table_DonMua[[#This Row],[VAT hàng]]/Table_DonMua[[#This Row],[Tiền hàng]]*(Table_DonMua[[#This Row],[Phụ phí]]-Table_DonMua[[#This Row],[Khuyến mãi]]),0)</f>
        <v>0</v>
      </c>
      <c r="V53" s="419">
        <f>Table_DonMua[[#This Row],[Phải trả]]-Table_DonMua[[#This Row],[Tổng VAT khấu trừ]]</f>
        <v>1367328</v>
      </c>
      <c r="W53" s="417">
        <f xml:space="preserve">
IF(Table_DonMua[[#This Row],[Mã Đơn mua]]="TONKHODAU",0,
+Table_DonMua[[#This Row],[Tiền hàng]]+Table_DonMua[[#This Row],[Phụ phí]]-Table_DonMua[[#This Row],[Khuyến mãi]])</f>
        <v>1367328</v>
      </c>
      <c r="X53" s="528"/>
      <c r="Y53"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4" spans="12:25" ht="18" customHeight="1" x14ac:dyDescent="0.3">
      <c r="L54" s="250"/>
      <c r="M54" s="527" t="str">
        <f>CONCATENATE("NHAP-",Table_DonMua[[#This Row],[Mã Đối tác]],"-",MOD(YEAR(Table_DonMua[[#This Row],[Ngày lập]]),100)*10000+MONTH(Table_DonMua[[#This Row],[Ngày lập]])*100+DAY(Table_DonMua[[#This Row],[Ngày lập]]),"-",Table_DonMua[[#This Row],[TT]])</f>
        <v>NHAP-NCC1-250428-</v>
      </c>
      <c r="N54" s="415">
        <v>45775</v>
      </c>
      <c r="O54" s="534" t="s">
        <v>1168</v>
      </c>
      <c r="P54" s="534" t="s">
        <v>1165</v>
      </c>
      <c r="Q54" s="417">
        <f>IFERROR(
SUM(_xlfn._xlws.FILTER(Table_Main[Giá trị hàng nhập],
(Table_Main[Đơn Mua] = Table_DonMua[[#This Row],[Mã Đơn mua]])
)),0)</f>
        <v>948135</v>
      </c>
      <c r="R54" s="417">
        <f>IFERROR(
SUM(_xlfn._xlws.FILTER(Table_Main[VAT khấu trừ],
(Table_Main[Đơn Mua] = Table_DonMua[[#This Row],[Mã Đơn mua]])
)),0)</f>
        <v>0</v>
      </c>
      <c r="S54" s="535"/>
      <c r="T54" s="535"/>
      <c r="U54" s="120">
        <f xml:space="preserve">
IFERROR(Table_DonMua[[#This Row],[VAT hàng]]+Table_DonMua[[#This Row],[VAT hàng]]/Table_DonMua[[#This Row],[Tiền hàng]]*(Table_DonMua[[#This Row],[Phụ phí]]-Table_DonMua[[#This Row],[Khuyến mãi]]),0)</f>
        <v>0</v>
      </c>
      <c r="V54" s="419">
        <f>Table_DonMua[[#This Row],[Phải trả]]-Table_DonMua[[#This Row],[Tổng VAT khấu trừ]]</f>
        <v>948135</v>
      </c>
      <c r="W54" s="417">
        <f xml:space="preserve">
IF(Table_DonMua[[#This Row],[Mã Đơn mua]]="TONKHODAU",0,
+Table_DonMua[[#This Row],[Tiền hàng]]+Table_DonMua[[#This Row],[Phụ phí]]-Table_DonMua[[#This Row],[Khuyến mãi]])</f>
        <v>948135</v>
      </c>
      <c r="X54" s="528"/>
      <c r="Y54"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5" spans="12:25" ht="18" customHeight="1" x14ac:dyDescent="0.3">
      <c r="L55" s="250"/>
      <c r="M55" s="527" t="str">
        <f>CONCATENATE("NHAP-",Table_DonMua[[#This Row],[Mã Đối tác]],"-",MOD(YEAR(Table_DonMua[[#This Row],[Ngày lập]]),100)*10000+MONTH(Table_DonMua[[#This Row],[Ngày lập]])*100+DAY(Table_DonMua[[#This Row],[Ngày lập]]),"-",Table_DonMua[[#This Row],[TT]])</f>
        <v>NHAP-NCC2-250425-</v>
      </c>
      <c r="N55" s="415">
        <v>45772</v>
      </c>
      <c r="O55" s="534" t="s">
        <v>1169</v>
      </c>
      <c r="P55" s="534" t="s">
        <v>1165</v>
      </c>
      <c r="Q55" s="417">
        <f>IFERROR(
SUM(_xlfn._xlws.FILTER(Table_Main[Giá trị hàng nhập],
(Table_Main[Đơn Mua] = Table_DonMua[[#This Row],[Mã Đơn mua]])
)),0)</f>
        <v>3671875</v>
      </c>
      <c r="R55" s="417">
        <f>IFERROR(
SUM(_xlfn._xlws.FILTER(Table_Main[VAT khấu trừ],
(Table_Main[Đơn Mua] = Table_DonMua[[#This Row],[Mã Đơn mua]])
)),0)</f>
        <v>0</v>
      </c>
      <c r="S55" s="535"/>
      <c r="T55" s="535"/>
      <c r="U55" s="120">
        <f xml:space="preserve">
IFERROR(Table_DonMua[[#This Row],[VAT hàng]]+Table_DonMua[[#This Row],[VAT hàng]]/Table_DonMua[[#This Row],[Tiền hàng]]*(Table_DonMua[[#This Row],[Phụ phí]]-Table_DonMua[[#This Row],[Khuyến mãi]]),0)</f>
        <v>0</v>
      </c>
      <c r="V55" s="419">
        <f>Table_DonMua[[#This Row],[Phải trả]]-Table_DonMua[[#This Row],[Tổng VAT khấu trừ]]</f>
        <v>3671875</v>
      </c>
      <c r="W55" s="417">
        <f xml:space="preserve">
IF(Table_DonMua[[#This Row],[Mã Đơn mua]]="TONKHODAU",0,
+Table_DonMua[[#This Row],[Tiền hàng]]+Table_DonMua[[#This Row],[Phụ phí]]-Table_DonMua[[#This Row],[Khuyến mãi]])</f>
        <v>3671875</v>
      </c>
      <c r="X55" s="528"/>
      <c r="Y55"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6" spans="12:25" ht="18" customHeight="1" x14ac:dyDescent="0.3">
      <c r="L56" s="250"/>
      <c r="M56" s="527" t="str">
        <f>CONCATENATE("NHAP-",Table_DonMua[[#This Row],[Mã Đối tác]],"-",MOD(YEAR(Table_DonMua[[#This Row],[Ngày lập]]),100)*10000+MONTH(Table_DonMua[[#This Row],[Ngày lập]])*100+DAY(Table_DonMua[[#This Row],[Ngày lập]]),"-",Table_DonMua[[#This Row],[TT]])</f>
        <v>NHAP-NCC3-250420-</v>
      </c>
      <c r="N56" s="415">
        <v>45767</v>
      </c>
      <c r="O56" s="534" t="s">
        <v>1170</v>
      </c>
      <c r="P56" s="534" t="s">
        <v>1165</v>
      </c>
      <c r="Q56" s="417">
        <f>IFERROR(
SUM(_xlfn._xlws.FILTER(Table_Main[Giá trị hàng nhập],
(Table_Main[Đơn Mua] = Table_DonMua[[#This Row],[Mã Đơn mua]])
)),0)</f>
        <v>1584286</v>
      </c>
      <c r="R56" s="417">
        <f>IFERROR(
SUM(_xlfn._xlws.FILTER(Table_Main[VAT khấu trừ],
(Table_Main[Đơn Mua] = Table_DonMua[[#This Row],[Mã Đơn mua]])
)),0)</f>
        <v>0</v>
      </c>
      <c r="S56" s="535"/>
      <c r="T56" s="535"/>
      <c r="U56" s="120">
        <f xml:space="preserve">
IFERROR(Table_DonMua[[#This Row],[VAT hàng]]+Table_DonMua[[#This Row],[VAT hàng]]/Table_DonMua[[#This Row],[Tiền hàng]]*(Table_DonMua[[#This Row],[Phụ phí]]-Table_DonMua[[#This Row],[Khuyến mãi]]),0)</f>
        <v>0</v>
      </c>
      <c r="V56" s="419">
        <f>Table_DonMua[[#This Row],[Phải trả]]-Table_DonMua[[#This Row],[Tổng VAT khấu trừ]]</f>
        <v>1584286</v>
      </c>
      <c r="W56" s="417">
        <f xml:space="preserve">
IF(Table_DonMua[[#This Row],[Mã Đơn mua]]="TONKHODAU",0,
+Table_DonMua[[#This Row],[Tiền hàng]]+Table_DonMua[[#This Row],[Phụ phí]]-Table_DonMua[[#This Row],[Khuyến mãi]])</f>
        <v>1584286</v>
      </c>
      <c r="X56" s="528"/>
      <c r="Y56"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7" spans="12:25" ht="18" customHeight="1" x14ac:dyDescent="0.3">
      <c r="L57" s="250"/>
      <c r="M57" s="527" t="str">
        <f>CONCATENATE("NHAP-",Table_DonMua[[#This Row],[Mã Đối tác]],"-",MOD(YEAR(Table_DonMua[[#This Row],[Ngày lập]]),100)*10000+MONTH(Table_DonMua[[#This Row],[Ngày lập]])*100+DAY(Table_DonMua[[#This Row],[Ngày lập]]),"-",Table_DonMua[[#This Row],[TT]])</f>
        <v>NHAP-NCC1-250417-</v>
      </c>
      <c r="N57" s="415">
        <v>45764</v>
      </c>
      <c r="O57" s="534" t="s">
        <v>1168</v>
      </c>
      <c r="P57" s="534" t="s">
        <v>1165</v>
      </c>
      <c r="Q57" s="417">
        <f>IFERROR(
SUM(_xlfn._xlws.FILTER(Table_Main[Giá trị hàng nhập],
(Table_Main[Đơn Mua] = Table_DonMua[[#This Row],[Mã Đơn mua]])
)),0)</f>
        <v>730769</v>
      </c>
      <c r="R57" s="417">
        <f>IFERROR(
SUM(_xlfn._xlws.FILTER(Table_Main[VAT khấu trừ],
(Table_Main[Đơn Mua] = Table_DonMua[[#This Row],[Mã Đơn mua]])
)),0)</f>
        <v>0</v>
      </c>
      <c r="S57" s="535"/>
      <c r="T57" s="535"/>
      <c r="U57" s="120">
        <f xml:space="preserve">
IFERROR(Table_DonMua[[#This Row],[VAT hàng]]+Table_DonMua[[#This Row],[VAT hàng]]/Table_DonMua[[#This Row],[Tiền hàng]]*(Table_DonMua[[#This Row],[Phụ phí]]-Table_DonMua[[#This Row],[Khuyến mãi]]),0)</f>
        <v>0</v>
      </c>
      <c r="V57" s="419">
        <f>Table_DonMua[[#This Row],[Phải trả]]-Table_DonMua[[#This Row],[Tổng VAT khấu trừ]]</f>
        <v>730769</v>
      </c>
      <c r="W57" s="417">
        <f xml:space="preserve">
IF(Table_DonMua[[#This Row],[Mã Đơn mua]]="TONKHODAU",0,
+Table_DonMua[[#This Row],[Tiền hàng]]+Table_DonMua[[#This Row],[Phụ phí]]-Table_DonMua[[#This Row],[Khuyến mãi]])</f>
        <v>730769</v>
      </c>
      <c r="X57" s="528"/>
      <c r="Y57"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8" spans="12:25" ht="18" customHeight="1" x14ac:dyDescent="0.3">
      <c r="L58" s="250"/>
      <c r="M58" s="527" t="str">
        <f>CONCATENATE("NHAP-",Table_DonMua[[#This Row],[Mã Đối tác]],"-",MOD(YEAR(Table_DonMua[[#This Row],[Ngày lập]]),100)*10000+MONTH(Table_DonMua[[#This Row],[Ngày lập]])*100+DAY(Table_DonMua[[#This Row],[Ngày lập]]),"-",Table_DonMua[[#This Row],[TT]])</f>
        <v>NHAP-NCC2-250328-</v>
      </c>
      <c r="N58" s="415">
        <v>45744</v>
      </c>
      <c r="O58" s="534" t="s">
        <v>1169</v>
      </c>
      <c r="P58" s="534" t="s">
        <v>1165</v>
      </c>
      <c r="Q58" s="417">
        <f>IFERROR(
SUM(_xlfn._xlws.FILTER(Table_Main[Giá trị hàng nhập],
(Table_Main[Đơn Mua] = Table_DonMua[[#This Row],[Mã Đơn mua]])
)),0)</f>
        <v>885396</v>
      </c>
      <c r="R58" s="417">
        <f>IFERROR(
SUM(_xlfn._xlws.FILTER(Table_Main[VAT khấu trừ],
(Table_Main[Đơn Mua] = Table_DonMua[[#This Row],[Mã Đơn mua]])
)),0)</f>
        <v>0</v>
      </c>
      <c r="S58" s="535"/>
      <c r="T58" s="535"/>
      <c r="U58" s="120">
        <f xml:space="preserve">
IFERROR(Table_DonMua[[#This Row],[VAT hàng]]+Table_DonMua[[#This Row],[VAT hàng]]/Table_DonMua[[#This Row],[Tiền hàng]]*(Table_DonMua[[#This Row],[Phụ phí]]-Table_DonMua[[#This Row],[Khuyến mãi]]),0)</f>
        <v>0</v>
      </c>
      <c r="V58" s="419">
        <f>Table_DonMua[[#This Row],[Phải trả]]-Table_DonMua[[#This Row],[Tổng VAT khấu trừ]]</f>
        <v>885396</v>
      </c>
      <c r="W58" s="417">
        <f xml:space="preserve">
IF(Table_DonMua[[#This Row],[Mã Đơn mua]]="TONKHODAU",0,
+Table_DonMua[[#This Row],[Tiền hàng]]+Table_DonMua[[#This Row],[Phụ phí]]-Table_DonMua[[#This Row],[Khuyến mãi]])</f>
        <v>885396</v>
      </c>
      <c r="X58" s="528"/>
      <c r="Y58"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9" spans="12:25" ht="18" customHeight="1" x14ac:dyDescent="0.3">
      <c r="L59" s="250"/>
      <c r="M59" s="527" t="str">
        <f>CONCATENATE("NHAP-",Table_DonMua[[#This Row],[Mã Đối tác]],"-",MOD(YEAR(Table_DonMua[[#This Row],[Ngày lập]]),100)*10000+MONTH(Table_DonMua[[#This Row],[Ngày lập]])*100+DAY(Table_DonMua[[#This Row],[Ngày lập]]),"-",Table_DonMua[[#This Row],[TT]])</f>
        <v>NHAP-NCC1-250321-</v>
      </c>
      <c r="N59" s="415">
        <v>45737</v>
      </c>
      <c r="O59" s="534" t="s">
        <v>1168</v>
      </c>
      <c r="P59" s="534" t="s">
        <v>1165</v>
      </c>
      <c r="Q59" s="417">
        <f>IFERROR(
SUM(_xlfn._xlws.FILTER(Table_Main[Giá trị hàng nhập],
(Table_Main[Đơn Mua] = Table_DonMua[[#This Row],[Mã Đơn mua]])
)),0)</f>
        <v>790272</v>
      </c>
      <c r="R59" s="417">
        <f>IFERROR(
SUM(_xlfn._xlws.FILTER(Table_Main[VAT khấu trừ],
(Table_Main[Đơn Mua] = Table_DonMua[[#This Row],[Mã Đơn mua]])
)),0)</f>
        <v>0</v>
      </c>
      <c r="S59" s="535"/>
      <c r="T59" s="535"/>
      <c r="U59" s="120">
        <f xml:space="preserve">
IFERROR(Table_DonMua[[#This Row],[VAT hàng]]+Table_DonMua[[#This Row],[VAT hàng]]/Table_DonMua[[#This Row],[Tiền hàng]]*(Table_DonMua[[#This Row],[Phụ phí]]-Table_DonMua[[#This Row],[Khuyến mãi]]),0)</f>
        <v>0</v>
      </c>
      <c r="V59" s="419">
        <f>Table_DonMua[[#This Row],[Phải trả]]-Table_DonMua[[#This Row],[Tổng VAT khấu trừ]]</f>
        <v>790272</v>
      </c>
      <c r="W59" s="417">
        <f xml:space="preserve">
IF(Table_DonMua[[#This Row],[Mã Đơn mua]]="TONKHODAU",0,
+Table_DonMua[[#This Row],[Tiền hàng]]+Table_DonMua[[#This Row],[Phụ phí]]-Table_DonMua[[#This Row],[Khuyến mãi]])</f>
        <v>790272</v>
      </c>
      <c r="X59" s="528"/>
      <c r="Y59"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0" spans="12:25" ht="18" customHeight="1" x14ac:dyDescent="0.3">
      <c r="L60" s="250"/>
      <c r="M60" s="527" t="str">
        <f>CONCATENATE("NHAP-",Table_DonMua[[#This Row],[Mã Đối tác]],"-",MOD(YEAR(Table_DonMua[[#This Row],[Ngày lập]]),100)*10000+MONTH(Table_DonMua[[#This Row],[Ngày lập]])*100+DAY(Table_DonMua[[#This Row],[Ngày lập]]),"-",Table_DonMua[[#This Row],[TT]])</f>
        <v>NHAP-NCC1-250316-</v>
      </c>
      <c r="N60" s="415">
        <v>45732</v>
      </c>
      <c r="O60" s="534" t="s">
        <v>1168</v>
      </c>
      <c r="P60" s="534" t="s">
        <v>1165</v>
      </c>
      <c r="Q60" s="417">
        <f>IFERROR(
SUM(_xlfn._xlws.FILTER(Table_Main[Giá trị hàng nhập],
(Table_Main[Đơn Mua] = Table_DonMua[[#This Row],[Mã Đơn mua]])
)),0)</f>
        <v>3197782</v>
      </c>
      <c r="R60" s="417">
        <f>IFERROR(
SUM(_xlfn._xlws.FILTER(Table_Main[VAT khấu trừ],
(Table_Main[Đơn Mua] = Table_DonMua[[#This Row],[Mã Đơn mua]])
)),0)</f>
        <v>0</v>
      </c>
      <c r="S60" s="535"/>
      <c r="T60" s="535"/>
      <c r="U60" s="120">
        <f xml:space="preserve">
IFERROR(Table_DonMua[[#This Row],[VAT hàng]]+Table_DonMua[[#This Row],[VAT hàng]]/Table_DonMua[[#This Row],[Tiền hàng]]*(Table_DonMua[[#This Row],[Phụ phí]]-Table_DonMua[[#This Row],[Khuyến mãi]]),0)</f>
        <v>0</v>
      </c>
      <c r="V60" s="419">
        <f>Table_DonMua[[#This Row],[Phải trả]]-Table_DonMua[[#This Row],[Tổng VAT khấu trừ]]</f>
        <v>3197782</v>
      </c>
      <c r="W60" s="417">
        <f xml:space="preserve">
IF(Table_DonMua[[#This Row],[Mã Đơn mua]]="TONKHODAU",0,
+Table_DonMua[[#This Row],[Tiền hàng]]+Table_DonMua[[#This Row],[Phụ phí]]-Table_DonMua[[#This Row],[Khuyến mãi]])</f>
        <v>3197782</v>
      </c>
      <c r="X60" s="528"/>
      <c r="Y60"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1" spans="12:25" ht="18" customHeight="1" x14ac:dyDescent="0.3">
      <c r="L61" s="250"/>
      <c r="M61" s="527" t="str">
        <f>CONCATENATE("NHAP-",Table_DonMua[[#This Row],[Mã Đối tác]],"-",MOD(YEAR(Table_DonMua[[#This Row],[Ngày lập]]),100)*10000+MONTH(Table_DonMua[[#This Row],[Ngày lập]])*100+DAY(Table_DonMua[[#This Row],[Ngày lập]]),"-",Table_DonMua[[#This Row],[TT]])</f>
        <v>NHAP-NCC2-250314-</v>
      </c>
      <c r="N61" s="415">
        <v>45730</v>
      </c>
      <c r="O61" s="534" t="s">
        <v>1169</v>
      </c>
      <c r="P61" s="534" t="s">
        <v>1165</v>
      </c>
      <c r="Q61" s="417">
        <f>IFERROR(
SUM(_xlfn._xlws.FILTER(Table_Main[Giá trị hàng nhập],
(Table_Main[Đơn Mua] = Table_DonMua[[#This Row],[Mã Đơn mua]])
)),0)</f>
        <v>1518566</v>
      </c>
      <c r="R61" s="417">
        <f>IFERROR(
SUM(_xlfn._xlws.FILTER(Table_Main[VAT khấu trừ],
(Table_Main[Đơn Mua] = Table_DonMua[[#This Row],[Mã Đơn mua]])
)),0)</f>
        <v>0</v>
      </c>
      <c r="S61" s="535"/>
      <c r="T61" s="535"/>
      <c r="U61" s="120">
        <f xml:space="preserve">
IFERROR(Table_DonMua[[#This Row],[VAT hàng]]+Table_DonMua[[#This Row],[VAT hàng]]/Table_DonMua[[#This Row],[Tiền hàng]]*(Table_DonMua[[#This Row],[Phụ phí]]-Table_DonMua[[#This Row],[Khuyến mãi]]),0)</f>
        <v>0</v>
      </c>
      <c r="V61" s="419">
        <f>Table_DonMua[[#This Row],[Phải trả]]-Table_DonMua[[#This Row],[Tổng VAT khấu trừ]]</f>
        <v>1518566</v>
      </c>
      <c r="W61" s="417">
        <f xml:space="preserve">
IF(Table_DonMua[[#This Row],[Mã Đơn mua]]="TONKHODAU",0,
+Table_DonMua[[#This Row],[Tiền hàng]]+Table_DonMua[[#This Row],[Phụ phí]]-Table_DonMua[[#This Row],[Khuyến mãi]])</f>
        <v>1518566</v>
      </c>
      <c r="X61" s="528"/>
      <c r="Y61"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2" spans="12:25" ht="18" customHeight="1" x14ac:dyDescent="0.3">
      <c r="L62" s="250"/>
      <c r="M62" s="527" t="str">
        <f>CONCATENATE("NHAP-",Table_DonMua[[#This Row],[Mã Đối tác]],"-",MOD(YEAR(Table_DonMua[[#This Row],[Ngày lập]]),100)*10000+MONTH(Table_DonMua[[#This Row],[Ngày lập]])*100+DAY(Table_DonMua[[#This Row],[Ngày lập]]),"-",Table_DonMua[[#This Row],[TT]])</f>
        <v>NHAP-NCC3-250312-</v>
      </c>
      <c r="N62" s="415">
        <v>45728</v>
      </c>
      <c r="O62" s="534" t="s">
        <v>1170</v>
      </c>
      <c r="P62" s="534" t="s">
        <v>1165</v>
      </c>
      <c r="Q62" s="417">
        <f>IFERROR(
SUM(_xlfn._xlws.FILTER(Table_Main[Giá trị hàng nhập],
(Table_Main[Đơn Mua] = Table_DonMua[[#This Row],[Mã Đơn mua]])
)),0)</f>
        <v>836292</v>
      </c>
      <c r="R62" s="417">
        <f>IFERROR(
SUM(_xlfn._xlws.FILTER(Table_Main[VAT khấu trừ],
(Table_Main[Đơn Mua] = Table_DonMua[[#This Row],[Mã Đơn mua]])
)),0)</f>
        <v>0</v>
      </c>
      <c r="S62" s="535"/>
      <c r="T62" s="535"/>
      <c r="U62" s="120">
        <f xml:space="preserve">
IFERROR(Table_DonMua[[#This Row],[VAT hàng]]+Table_DonMua[[#This Row],[VAT hàng]]/Table_DonMua[[#This Row],[Tiền hàng]]*(Table_DonMua[[#This Row],[Phụ phí]]-Table_DonMua[[#This Row],[Khuyến mãi]]),0)</f>
        <v>0</v>
      </c>
      <c r="V62" s="419">
        <f>Table_DonMua[[#This Row],[Phải trả]]-Table_DonMua[[#This Row],[Tổng VAT khấu trừ]]</f>
        <v>836292</v>
      </c>
      <c r="W62" s="417">
        <f xml:space="preserve">
IF(Table_DonMua[[#This Row],[Mã Đơn mua]]="TONKHODAU",0,
+Table_DonMua[[#This Row],[Tiền hàng]]+Table_DonMua[[#This Row],[Phụ phí]]-Table_DonMua[[#This Row],[Khuyến mãi]])</f>
        <v>836292</v>
      </c>
      <c r="X62" s="528"/>
      <c r="Y62"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3" spans="12:25" ht="18" customHeight="1" x14ac:dyDescent="0.3">
      <c r="L63" s="250"/>
      <c r="M63" s="527" t="str">
        <f>CONCATENATE("NHAP-",Table_DonMua[[#This Row],[Mã Đối tác]],"-",MOD(YEAR(Table_DonMua[[#This Row],[Ngày lập]]),100)*10000+MONTH(Table_DonMua[[#This Row],[Ngày lập]])*100+DAY(Table_DonMua[[#This Row],[Ngày lập]]),"-",Table_DonMua[[#This Row],[TT]])</f>
        <v>NHAP-NCC1-250306-</v>
      </c>
      <c r="N63" s="415">
        <v>45722</v>
      </c>
      <c r="O63" s="534" t="s">
        <v>1168</v>
      </c>
      <c r="P63" s="534" t="s">
        <v>1165</v>
      </c>
      <c r="Q63" s="417">
        <f>IFERROR(
SUM(_xlfn._xlws.FILTER(Table_Main[Giá trị hàng nhập],
(Table_Main[Đơn Mua] = Table_DonMua[[#This Row],[Mã Đơn mua]])
)),0)</f>
        <v>42000000</v>
      </c>
      <c r="R63" s="417">
        <f>IFERROR(
SUM(_xlfn._xlws.FILTER(Table_Main[VAT khấu trừ],
(Table_Main[Đơn Mua] = Table_DonMua[[#This Row],[Mã Đơn mua]])
)),0)</f>
        <v>0</v>
      </c>
      <c r="S63" s="535"/>
      <c r="T63" s="535"/>
      <c r="U63" s="120">
        <f xml:space="preserve">
IFERROR(Table_DonMua[[#This Row],[VAT hàng]]+Table_DonMua[[#This Row],[VAT hàng]]/Table_DonMua[[#This Row],[Tiền hàng]]*(Table_DonMua[[#This Row],[Phụ phí]]-Table_DonMua[[#This Row],[Khuyến mãi]]),0)</f>
        <v>0</v>
      </c>
      <c r="V63" s="419">
        <f>Table_DonMua[[#This Row],[Phải trả]]-Table_DonMua[[#This Row],[Tổng VAT khấu trừ]]</f>
        <v>42000000</v>
      </c>
      <c r="W63" s="417">
        <f xml:space="preserve">
IF(Table_DonMua[[#This Row],[Mã Đơn mua]]="TONKHODAU",0,
+Table_DonMua[[#This Row],[Tiền hàng]]+Table_DonMua[[#This Row],[Phụ phí]]-Table_DonMua[[#This Row],[Khuyến mãi]])</f>
        <v>42000000</v>
      </c>
      <c r="X63" s="528"/>
      <c r="Y63"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4" spans="12:25" ht="18" customHeight="1" x14ac:dyDescent="0.3">
      <c r="L64" s="250"/>
      <c r="M64" s="527" t="str">
        <f>CONCATENATE("NHAP-",Table_DonMua[[#This Row],[Mã Đối tác]],"-",MOD(YEAR(Table_DonMua[[#This Row],[Ngày lập]]),100)*10000+MONTH(Table_DonMua[[#This Row],[Ngày lập]])*100+DAY(Table_DonMua[[#This Row],[Ngày lập]]),"-",Table_DonMua[[#This Row],[TT]])</f>
        <v>NHAP-NCC2-250304-</v>
      </c>
      <c r="N64" s="415">
        <v>45720</v>
      </c>
      <c r="O64" s="534" t="s">
        <v>1169</v>
      </c>
      <c r="P64" s="534" t="s">
        <v>1165</v>
      </c>
      <c r="Q64" s="417">
        <f>IFERROR(
SUM(_xlfn._xlws.FILTER(Table_Main[Giá trị hàng nhập],
(Table_Main[Đơn Mua] = Table_DonMua[[#This Row],[Mã Đơn mua]])
)),0)</f>
        <v>30000000</v>
      </c>
      <c r="R64" s="417">
        <f>IFERROR(
SUM(_xlfn._xlws.FILTER(Table_Main[VAT khấu trừ],
(Table_Main[Đơn Mua] = Table_DonMua[[#This Row],[Mã Đơn mua]])
)),0)</f>
        <v>0</v>
      </c>
      <c r="S64" s="535"/>
      <c r="T64" s="535"/>
      <c r="U64" s="120">
        <f xml:space="preserve">
IFERROR(Table_DonMua[[#This Row],[VAT hàng]]+Table_DonMua[[#This Row],[VAT hàng]]/Table_DonMua[[#This Row],[Tiền hàng]]*(Table_DonMua[[#This Row],[Phụ phí]]-Table_DonMua[[#This Row],[Khuyến mãi]]),0)</f>
        <v>0</v>
      </c>
      <c r="V64" s="419">
        <f>Table_DonMua[[#This Row],[Phải trả]]-Table_DonMua[[#This Row],[Tổng VAT khấu trừ]]</f>
        <v>30000000</v>
      </c>
      <c r="W64" s="417">
        <f xml:space="preserve">
IF(Table_DonMua[[#This Row],[Mã Đơn mua]]="TONKHODAU",0,
+Table_DonMua[[#This Row],[Tiền hàng]]+Table_DonMua[[#This Row],[Phụ phí]]-Table_DonMua[[#This Row],[Khuyến mãi]])</f>
        <v>30000000</v>
      </c>
      <c r="X64" s="528"/>
      <c r="Y64"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5" spans="12:25" ht="18" customHeight="1" x14ac:dyDescent="0.3">
      <c r="L65" s="298"/>
      <c r="M65" s="51" t="s">
        <v>932</v>
      </c>
      <c r="N65" s="415"/>
      <c r="O65" s="534"/>
      <c r="P65" s="534"/>
      <c r="Q65" s="417">
        <f>IFERROR(
SUM(_xlfn._xlws.FILTER(Table_Main[Giá trị hàng nhập],
(Table_Main[Đơn Mua] = Table_DonMua[[#This Row],[Mã Đơn mua]])
)),0)</f>
        <v>0</v>
      </c>
      <c r="R65" s="417">
        <f>IFERROR(
SUM(_xlfn._xlws.FILTER(Table_Main[VAT khấu trừ],
(Table_Main[Đơn Mua] = Table_DonMua[[#This Row],[Mã Đơn mua]])
)),0)</f>
        <v>0</v>
      </c>
      <c r="S65" s="489"/>
      <c r="T65" s="489"/>
      <c r="U65" s="120">
        <f xml:space="preserve">
IFERROR(Table_DonMua[[#This Row],[VAT hàng]]+Table_DonMua[[#This Row],[VAT hàng]]/Table_DonMua[[#This Row],[Tiền hàng]]*(Table_DonMua[[#This Row],[Phụ phí]]-Table_DonMua[[#This Row],[Khuyến mãi]]),0)</f>
        <v>0</v>
      </c>
      <c r="V65" s="419">
        <f>Table_DonMua[[#This Row],[Phải trả]]-Table_DonMua[[#This Row],[Tổng VAT khấu trừ]]</f>
        <v>0</v>
      </c>
      <c r="W65" s="419">
        <f xml:space="preserve">
IF(Table_DonMua[[#This Row],[Mã Đơn mua]]="TONKHODAU",0,
+Table_DonMua[[#This Row],[Tiền hàng]]+Table_DonMua[[#This Row],[Phụ phí]]-Table_DonMua[[#This Row],[Khuyến mãi]])</f>
        <v>0</v>
      </c>
      <c r="X65" s="299"/>
      <c r="Y65" s="263">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sheetData>
  <sheetProtection algorithmName="SHA-512" hashValue="whjDO07CMU9hrUPUnfChv0zO1t2IOosw2VqGWaM9AETxctPZiXxrlX6RmlPd/TfD/EOCsRWU3pVW0hXgMuuzVw==" saltValue="d5/SY1yddnHCrAobnYqYKg==" spinCount="100000" sheet="1" scenarios="1" formatCells="0" formatColumns="0" formatRows="0" insertColumns="0" insertRows="0" deleteColumns="0" deleteRows="0" sort="0" autoFilter="0" pivotTables="0"/>
  <protectedRanges>
    <protectedRange sqref="L42:W42 X1:XFD1 Z4:XFD6 AA2:XFD3 L2:X3 L7:X41 I5:J17 I4 L65:M65 Q65:V65 L66:X1048576 I1:J3 W45:Y65 I18:J1048576 AA7:XFD1048576 L43:V64" name="Range1"/>
    <protectedRange sqref="E4:F11 B4:D14 B1:H3 F18:H34 B36:F42 G42:H42 G36:H39 F12:F17 G4:H17 B15:E34 B43:H1048576 K1:K1048576" name="Range1_1"/>
    <protectedRange sqref="R45:R64" name="Range1_3"/>
    <protectedRange sqref="U45:U64" name="Range1_5"/>
    <protectedRange sqref="V45:V64" name="Range1_6"/>
    <protectedRange sqref="N65:P65" name="Range1_2"/>
  </protectedRanges>
  <mergeCells count="14">
    <mergeCell ref="G38:H38"/>
    <mergeCell ref="G37:H37"/>
    <mergeCell ref="G36:H36"/>
    <mergeCell ref="B4:E4"/>
    <mergeCell ref="B6:E6"/>
    <mergeCell ref="B5:E5"/>
    <mergeCell ref="F12:J12"/>
    <mergeCell ref="F13:J13"/>
    <mergeCell ref="F14:J14"/>
    <mergeCell ref="G4:H4"/>
    <mergeCell ref="G5:H5"/>
    <mergeCell ref="G6:H6"/>
    <mergeCell ref="G7:H7"/>
    <mergeCell ref="G8:H8"/>
  </mergeCells>
  <phoneticPr fontId="14" type="noConversion"/>
  <conditionalFormatting sqref="M46:M65">
    <cfRule type="duplicateValues" dxfId="468" priority="669"/>
  </conditionalFormatting>
  <conditionalFormatting sqref="G4:H4">
    <cfRule type="expression" dxfId="467" priority="671">
      <formula>MATCH($G$4,$M$46:$M$65,0)</formula>
    </cfRule>
  </conditionalFormatting>
  <dataValidations count="5">
    <dataValidation type="list" allowBlank="1" showInputMessage="1" showErrorMessage="1" sqref="G7:H7 P44" xr:uid="{4045604B-F06F-4364-A943-0652F6A61BF4}">
      <formula1>MaKho</formula1>
    </dataValidation>
    <dataValidation type="list" allowBlank="1" showInputMessage="1" showErrorMessage="1" sqref="G8:H8" xr:uid="{997AD682-5253-4616-8876-C08802667892}">
      <formula1>MaNhanVien</formula1>
    </dataValidation>
    <dataValidation type="list" allowBlank="1" showInputMessage="1" showErrorMessage="1" sqref="D18:D28" xr:uid="{2B539EAB-70CD-47C3-BB27-57AC06A3EAB4}">
      <formula1>MaNguyenLieu</formula1>
    </dataValidation>
    <dataValidation allowBlank="1" showInputMessage="1" showErrorMessage="1" sqref="N46:N65" xr:uid="{3A95A9C5-E89E-4DCF-B940-5E94B15D4CEC}"/>
    <dataValidation type="list" allowBlank="1" showInputMessage="1" sqref="P46:P65" xr:uid="{BF6D24E6-9361-4557-BD86-B4FB15216480}">
      <formula1>MaKho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AddRow">
                <anchor moveWithCells="1">
                  <from>
                    <xdr:col>12</xdr:col>
                    <xdr:colOff>76200</xdr:colOff>
                    <xdr:row>0</xdr:row>
                    <xdr:rowOff>142875</xdr:rowOff>
                  </from>
                  <to>
                    <xdr:col>12</xdr:col>
                    <xdr:colOff>552450</xdr:colOff>
                    <xdr:row>0</xdr:row>
                    <xdr:rowOff>400050</xdr:rowOff>
                  </to>
                </anchor>
              </controlPr>
            </control>
          </mc:Choice>
        </mc:AlternateContent>
        <mc:AlternateContent xmlns:mc="http://schemas.openxmlformats.org/markup-compatibility/2006">
          <mc:Choice Requires="x14">
            <control shapeId="68610" r:id="rId5" name="Button 2">
              <controlPr defaultSize="0" print="0" autoFill="0" autoPict="0" macro="[0]!DeleteRow">
                <anchor moveWithCells="1">
                  <from>
                    <xdr:col>12</xdr:col>
                    <xdr:colOff>704850</xdr:colOff>
                    <xdr:row>0</xdr:row>
                    <xdr:rowOff>142875</xdr:rowOff>
                  </from>
                  <to>
                    <xdr:col>12</xdr:col>
                    <xdr:colOff>1181100</xdr:colOff>
                    <xdr:row>0</xdr:row>
                    <xdr:rowOff>400050</xdr:rowOff>
                  </to>
                </anchor>
              </controlPr>
            </control>
          </mc:Choice>
        </mc:AlternateContent>
        <mc:AlternateContent xmlns:mc="http://schemas.openxmlformats.org/markup-compatibility/2006">
          <mc:Choice Requires="x14">
            <control shapeId="68611" r:id="rId6" name="Button 3">
              <controlPr defaultSize="0" print="0" autoFill="0" autoPict="0" macro="[0]!AddColumn">
                <anchor moveWithCells="1">
                  <from>
                    <xdr:col>22</xdr:col>
                    <xdr:colOff>0</xdr:colOff>
                    <xdr:row>0</xdr:row>
                    <xdr:rowOff>142875</xdr:rowOff>
                  </from>
                  <to>
                    <xdr:col>22</xdr:col>
                    <xdr:colOff>514350</xdr:colOff>
                    <xdr:row>0</xdr:row>
                    <xdr:rowOff>400050</xdr:rowOff>
                  </to>
                </anchor>
              </controlPr>
            </control>
          </mc:Choice>
        </mc:AlternateContent>
        <mc:AlternateContent xmlns:mc="http://schemas.openxmlformats.org/markup-compatibility/2006">
          <mc:Choice Requires="x14">
            <control shapeId="68612" r:id="rId7" name="Button 4">
              <controlPr defaultSize="0" print="0" autoFill="0" autoPict="0" macro="[0]!DeleteColumn">
                <anchor moveWithCells="1">
                  <from>
                    <xdr:col>22</xdr:col>
                    <xdr:colOff>647700</xdr:colOff>
                    <xdr:row>0</xdr:row>
                    <xdr:rowOff>142875</xdr:rowOff>
                  </from>
                  <to>
                    <xdr:col>22</xdr:col>
                    <xdr:colOff>1190625</xdr:colOff>
                    <xdr:row>0</xdr:row>
                    <xdr:rowOff>400050</xdr:rowOff>
                  </to>
                </anchor>
              </controlPr>
            </control>
          </mc:Choice>
        </mc:AlternateContent>
        <mc:AlternateContent xmlns:mc="http://schemas.openxmlformats.org/markup-compatibility/2006">
          <mc:Choice Requires="x14">
            <control shapeId="68613" r:id="rId8" name="Button 5">
              <controlPr defaultSize="0" print="0" autoFill="0" autoPict="0" macro="[0]!CopyToTable">
                <anchor moveWithCells="1">
                  <from>
                    <xdr:col>23</xdr:col>
                    <xdr:colOff>228600</xdr:colOff>
                    <xdr:row>42</xdr:row>
                    <xdr:rowOff>114300</xdr:rowOff>
                  </from>
                  <to>
                    <xdr:col>24</xdr:col>
                    <xdr:colOff>47625</xdr:colOff>
                    <xdr:row>43</xdr:row>
                    <xdr:rowOff>142875</xdr:rowOff>
                  </to>
                </anchor>
              </controlPr>
            </control>
          </mc:Choice>
        </mc:AlternateContent>
        <mc:AlternateContent xmlns:mc="http://schemas.openxmlformats.org/markup-compatibility/2006">
          <mc:Choice Requires="x14">
            <control shapeId="68616" r:id="rId9" name="Option Button 8">
              <controlPr defaultSize="0" autoFill="0" autoLine="0" autoPict="0" macro="[0]!DoiDonViHienThi">
                <anchor moveWithCells="1">
                  <from>
                    <xdr:col>15</xdr:col>
                    <xdr:colOff>533400</xdr:colOff>
                    <xdr:row>0</xdr:row>
                    <xdr:rowOff>152400</xdr:rowOff>
                  </from>
                  <to>
                    <xdr:col>16</xdr:col>
                    <xdr:colOff>409575</xdr:colOff>
                    <xdr:row>0</xdr:row>
                    <xdr:rowOff>428625</xdr:rowOff>
                  </to>
                </anchor>
              </controlPr>
            </control>
          </mc:Choice>
        </mc:AlternateContent>
        <mc:AlternateContent xmlns:mc="http://schemas.openxmlformats.org/markup-compatibility/2006">
          <mc:Choice Requires="x14">
            <control shapeId="68617" r:id="rId10" name="Option Button 9">
              <controlPr defaultSize="0" autoFill="0" autoLine="0" autoPict="0" macro="[0]!DoiDonViHienThi">
                <anchor moveWithCells="1">
                  <from>
                    <xdr:col>16</xdr:col>
                    <xdr:colOff>285750</xdr:colOff>
                    <xdr:row>0</xdr:row>
                    <xdr:rowOff>152400</xdr:rowOff>
                  </from>
                  <to>
                    <xdr:col>17</xdr:col>
                    <xdr:colOff>142875</xdr:colOff>
                    <xdr:row>0</xdr:row>
                    <xdr:rowOff>428625</xdr:rowOff>
                  </to>
                </anchor>
              </controlPr>
            </control>
          </mc:Choice>
        </mc:AlternateContent>
        <mc:AlternateContent xmlns:mc="http://schemas.openxmlformats.org/markup-compatibility/2006">
          <mc:Choice Requires="x14">
            <control shapeId="68618" r:id="rId11" name="Option Button 10">
              <controlPr defaultSize="0" autoFill="0" autoLine="0" autoPict="0" macro="[0]!DoiDonViHienThi">
                <anchor moveWithCells="1">
                  <from>
                    <xdr:col>17</xdr:col>
                    <xdr:colOff>19050</xdr:colOff>
                    <xdr:row>0</xdr:row>
                    <xdr:rowOff>152400</xdr:rowOff>
                  </from>
                  <to>
                    <xdr:col>17</xdr:col>
                    <xdr:colOff>609600</xdr:colOff>
                    <xdr:row>0</xdr:row>
                    <xdr:rowOff>428625</xdr:rowOff>
                  </to>
                </anchor>
              </controlPr>
            </control>
          </mc:Choice>
        </mc:AlternateContent>
        <mc:AlternateContent xmlns:mc="http://schemas.openxmlformats.org/markup-compatibility/2006">
          <mc:Choice Requires="x14">
            <control shapeId="68619" r:id="rId12" name="Option Button 11">
              <controlPr defaultSize="0" autoFill="0" autoLine="0" autoPict="0" macro="[0]!DoiDonViHienThi">
                <anchor moveWithCells="1">
                  <from>
                    <xdr:col>17</xdr:col>
                    <xdr:colOff>495300</xdr:colOff>
                    <xdr:row>0</xdr:row>
                    <xdr:rowOff>152400</xdr:rowOff>
                  </from>
                  <to>
                    <xdr:col>18</xdr:col>
                    <xdr:colOff>47625</xdr:colOff>
                    <xdr:row>0</xdr:row>
                    <xdr:rowOff>428625</xdr:rowOff>
                  </to>
                </anchor>
              </controlPr>
            </control>
          </mc:Choice>
        </mc:AlternateContent>
        <mc:AlternateContent xmlns:mc="http://schemas.openxmlformats.org/markup-compatibility/2006">
          <mc:Choice Requires="x14">
            <control shapeId="68620" r:id="rId13" name="Group Box 12">
              <controlPr defaultSize="0" autoFill="0" autoPict="0">
                <anchor moveWithCells="1">
                  <from>
                    <xdr:col>15</xdr:col>
                    <xdr:colOff>419100</xdr:colOff>
                    <xdr:row>0</xdr:row>
                    <xdr:rowOff>104775</xdr:rowOff>
                  </from>
                  <to>
                    <xdr:col>18</xdr:col>
                    <xdr:colOff>161925</xdr:colOff>
                    <xdr:row>0</xdr:row>
                    <xdr:rowOff>466725</xdr:rowOff>
                  </to>
                </anchor>
              </controlPr>
            </control>
          </mc:Choice>
        </mc:AlternateContent>
        <mc:AlternateContent xmlns:mc="http://schemas.openxmlformats.org/markup-compatibility/2006">
          <mc:Choice Requires="x14">
            <control shapeId="68621" r:id="rId14" name="Group Box 13">
              <controlPr defaultSize="0" autoFill="0" autoPict="0">
                <anchor moveWithCells="1">
                  <from>
                    <xdr:col>13</xdr:col>
                    <xdr:colOff>114300</xdr:colOff>
                    <xdr:row>0</xdr:row>
                    <xdr:rowOff>104775</xdr:rowOff>
                  </from>
                  <to>
                    <xdr:col>15</xdr:col>
                    <xdr:colOff>371475</xdr:colOff>
                    <xdr:row>0</xdr:row>
                    <xdr:rowOff>466725</xdr:rowOff>
                  </to>
                </anchor>
              </controlPr>
            </control>
          </mc:Choice>
        </mc:AlternateContent>
        <mc:AlternateContent xmlns:mc="http://schemas.openxmlformats.org/markup-compatibility/2006">
          <mc:Choice Requires="x14">
            <control shapeId="68622" r:id="rId15" name="Button 14">
              <controlPr defaultSize="0" autoFill="0" autoPict="0" macro="[0]!NhanNghin">
                <anchor moveWithCells="1">
                  <from>
                    <xdr:col>13</xdr:col>
                    <xdr:colOff>200025</xdr:colOff>
                    <xdr:row>0</xdr:row>
                    <xdr:rowOff>200025</xdr:rowOff>
                  </from>
                  <to>
                    <xdr:col>13</xdr:col>
                    <xdr:colOff>666750</xdr:colOff>
                    <xdr:row>0</xdr:row>
                    <xdr:rowOff>371475</xdr:rowOff>
                  </to>
                </anchor>
              </controlPr>
            </control>
          </mc:Choice>
        </mc:AlternateContent>
        <mc:AlternateContent xmlns:mc="http://schemas.openxmlformats.org/markup-compatibility/2006">
          <mc:Choice Requires="x14">
            <control shapeId="68623" r:id="rId16" name="Button 15">
              <controlPr defaultSize="0" autoFill="0" autoPict="0" macro="[0]!NhanTrieu">
                <anchor moveWithCells="1">
                  <from>
                    <xdr:col>14</xdr:col>
                    <xdr:colOff>28575</xdr:colOff>
                    <xdr:row>0</xdr:row>
                    <xdr:rowOff>200025</xdr:rowOff>
                  </from>
                  <to>
                    <xdr:col>14</xdr:col>
                    <xdr:colOff>495300</xdr:colOff>
                    <xdr:row>0</xdr:row>
                    <xdr:rowOff>371475</xdr:rowOff>
                  </to>
                </anchor>
              </controlPr>
            </control>
          </mc:Choice>
        </mc:AlternateContent>
        <mc:AlternateContent xmlns:mc="http://schemas.openxmlformats.org/markup-compatibility/2006">
          <mc:Choice Requires="x14">
            <control shapeId="68624" r:id="rId17" name="Button 16">
              <controlPr defaultSize="0" autoFill="0" autoPict="0" macro="[0]!NhanTy">
                <anchor moveWithCells="1">
                  <from>
                    <xdr:col>14</xdr:col>
                    <xdr:colOff>542925</xdr:colOff>
                    <xdr:row>0</xdr:row>
                    <xdr:rowOff>200025</xdr:rowOff>
                  </from>
                  <to>
                    <xdr:col>15</xdr:col>
                    <xdr:colOff>295275</xdr:colOff>
                    <xdr:row>0</xdr:row>
                    <xdr:rowOff>371475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3" id="{3BC314E6-3C51-4DBF-83E1-87DE117E1E79}">
            <xm:f>Security!$A$1="NO VBA"</xm:f>
            <x14:dxf>
              <font>
                <color theme="0"/>
              </font>
              <border>
                <vertical/>
                <horizontal/>
              </border>
            </x14:dxf>
          </x14:cfRule>
          <xm:sqref>A1:XFD3 K4:XFD4 A4:I4 A5:XFD17 K18:XFD44 A18:J46 K45:W45 K46 A65:XFD1048576 L46:M64 Z45:XFD64 A47:K64 O46:Y64</xm:sqref>
        </x14:conditionalFormatting>
        <x14:conditionalFormatting xmlns:xm="http://schemas.microsoft.com/office/excel/2006/main">
          <x14:cfRule type="expression" priority="2" id="{8EA63F0F-E0EA-4772-BDDB-0BC23A150D05}">
            <xm:f>Security!$A$1="NO VBA"</xm:f>
            <x14:dxf>
              <font>
                <color theme="0"/>
              </font>
              <border>
                <vertical/>
                <horizontal/>
              </border>
            </x14:dxf>
          </x14:cfRule>
          <xm:sqref>X45:Y45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D7D2DD7F-125F-4E05-BE7E-03B7F7EF6CAF}">
          <x14:formula1>
            <xm:f>_xlfn.ANCHORARRAY(Sheet_SKU!$G$6)</xm:f>
          </x14:formula1>
          <xm:sqref>C18:C28</xm:sqref>
        </x14:dataValidation>
        <x14:dataValidation type="list" allowBlank="1" showInputMessage="1" xr:uid="{0F0BF468-8C0C-4C4D-8C70-43D139095655}">
          <x14:formula1>
            <xm:f>_xlfn.ANCHORARRAY(Sheet_DoiTac!$E$3)</xm:f>
          </x14:formula1>
          <xm:sqref>O44 O46:O65</xm:sqref>
        </x14:dataValidation>
        <x14:dataValidation type="list" allowBlank="1" showInputMessage="1" showErrorMessage="1" xr:uid="{8FB0D184-06B3-4B97-AF93-3B1862948ABA}">
          <x14:formula1>
            <xm:f>_xlfn.ANCHORARRAY(Sheet_DoiTac!$E3)</xm:f>
          </x14:formula1>
          <xm:sqref>C3</xm:sqref>
        </x14:dataValidation>
        <x14:dataValidation type="custom" allowBlank="1" showInputMessage="1" showErrorMessage="1" xr:uid="{4069C7E7-F157-4B96-B1B8-544BFDCBA7F1}">
          <x14:formula1>
            <xm:f>H11&lt;&gt;Sheet_DonBan!Z:Z</xm:f>
          </x14:formula1>
          <xm:sqref>H11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F18DF-DEF9-4F50-B914-21DA20CD67DA}">
  <sheetPr codeName="Sheet25">
    <tabColor theme="7"/>
    <outlinePr summaryRight="0"/>
  </sheetPr>
  <dimension ref="A1:AX71"/>
  <sheetViews>
    <sheetView showGridLines="0" topLeftCell="Z1" zoomScaleNormal="100" workbookViewId="0">
      <selection activeCell="AM52" sqref="AM52"/>
    </sheetView>
  </sheetViews>
  <sheetFormatPr defaultRowHeight="18" customHeight="1" outlineLevelRow="2" outlineLevelCol="3" x14ac:dyDescent="0.3"/>
  <cols>
    <col min="1" max="1" width="1.25" style="7" customWidth="1" collapsed="1"/>
    <col min="2" max="2" width="3.875" style="1" hidden="1" customWidth="1" outlineLevel="1" collapsed="1"/>
    <col min="3" max="3" width="12.75" style="1" hidden="1" customWidth="1" outlineLevel="2"/>
    <col min="4" max="4" width="25.625" style="1" hidden="1" customWidth="1" outlineLevel="1" collapsed="1"/>
    <col min="5" max="5" width="10" style="1" hidden="1" customWidth="1" outlineLevel="1"/>
    <col min="6" max="6" width="10.25" style="1" hidden="1" customWidth="1" outlineLevel="1" collapsed="1"/>
    <col min="7" max="7" width="10.25" style="1" hidden="1" customWidth="1" outlineLevel="2" collapsed="1"/>
    <col min="8" max="8" width="10.25" style="1" hidden="1" customWidth="1" outlineLevel="3"/>
    <col min="9" max="9" width="14.375" style="1" hidden="1" customWidth="1" outlineLevel="3"/>
    <col min="10" max="10" width="14.5" style="1" hidden="1" customWidth="1" outlineLevel="3"/>
    <col min="11" max="14" width="10.25" style="1" hidden="1" customWidth="1" outlineLevel="3"/>
    <col min="15" max="15" width="10" style="1" hidden="1" customWidth="1" outlineLevel="1" collapsed="1"/>
    <col min="16" max="16" width="15" style="1" hidden="1" customWidth="1" outlineLevel="1"/>
    <col min="17" max="17" width="7.625" style="1" hidden="1" customWidth="1" outlineLevel="1" collapsed="1"/>
    <col min="18" max="18" width="11.375" style="1" hidden="1" customWidth="1" outlineLevel="2"/>
    <col min="19" max="19" width="9.625" style="1" customWidth="1"/>
    <col min="20" max="20" width="5.375" style="28" bestFit="1" customWidth="1"/>
    <col min="21" max="21" width="18.125" style="28" customWidth="1"/>
    <col min="22" max="25" width="9" style="7" customWidth="1" outlineLevel="1"/>
    <col min="26" max="26" width="9" style="28" customWidth="1" outlineLevel="1"/>
    <col min="27" max="27" width="9" style="7" customWidth="1" outlineLevel="1"/>
    <col min="28" max="28" width="14.25" style="7" bestFit="1" customWidth="1"/>
    <col min="29" max="29" width="13.375" style="7" bestFit="1" customWidth="1"/>
    <col min="30" max="30" width="9" style="7" customWidth="1"/>
    <col min="31" max="31" width="9" style="28" customWidth="1" outlineLevel="1"/>
    <col min="32" max="32" width="14.125" style="28" customWidth="1" outlineLevel="1"/>
    <col min="33" max="33" width="9.625" style="28" customWidth="1" outlineLevel="1"/>
    <col min="34" max="35" width="16.5" style="28" customWidth="1"/>
    <col min="36" max="40" width="15.625" style="7" customWidth="1" outlineLevel="1"/>
    <col min="41" max="41" width="6.75" style="7" bestFit="1" customWidth="1" collapsed="1"/>
    <col min="42" max="48" width="6.75" style="7" hidden="1" customWidth="1" outlineLevel="1"/>
    <col min="49" max="49" width="9" style="7" customWidth="1"/>
    <col min="50" max="50" width="9" style="38"/>
    <col min="51" max="16384" width="9" style="7"/>
  </cols>
  <sheetData>
    <row r="1" spans="1:50" s="21" customFormat="1" ht="37.5" customHeight="1" x14ac:dyDescent="0.3">
      <c r="A1" s="249"/>
      <c r="B1" s="56" t="str">
        <f>EULA!$B11</f>
        <v>Công ty ABC XYZ</v>
      </c>
      <c r="C1" s="282"/>
      <c r="D1" s="282"/>
      <c r="E1" s="249"/>
      <c r="F1" s="282"/>
      <c r="G1" s="282"/>
      <c r="H1" s="282"/>
      <c r="I1" s="282"/>
      <c r="J1" s="282"/>
      <c r="K1" s="282"/>
      <c r="L1" s="282"/>
      <c r="M1" s="282"/>
      <c r="N1" s="282"/>
      <c r="O1" s="282"/>
      <c r="P1" s="282"/>
      <c r="Q1" s="57" t="s">
        <v>723</v>
      </c>
      <c r="R1" s="282"/>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row>
    <row r="2" spans="1:50" ht="18" hidden="1" customHeight="1" outlineLevel="2" x14ac:dyDescent="0.3">
      <c r="A2" s="242"/>
      <c r="B2" s="276"/>
      <c r="C2" s="1" t="s">
        <v>724</v>
      </c>
      <c r="D2" s="276"/>
      <c r="E2" s="242"/>
      <c r="F2" s="276"/>
      <c r="G2" s="276"/>
      <c r="H2" s="276"/>
      <c r="I2" s="276"/>
      <c r="J2" s="276"/>
      <c r="K2" s="276"/>
      <c r="L2" s="276"/>
      <c r="M2" s="276"/>
      <c r="N2" s="276"/>
      <c r="O2" s="276"/>
      <c r="P2" s="276"/>
      <c r="Q2" s="297"/>
      <c r="R2" s="276"/>
      <c r="S2" s="248"/>
      <c r="T2" s="242"/>
      <c r="U2" s="242"/>
      <c r="V2" s="242"/>
      <c r="W2" s="242"/>
      <c r="X2" s="242"/>
      <c r="Y2" s="248"/>
      <c r="Z2" s="242"/>
      <c r="AA2" s="242"/>
      <c r="AB2" s="242"/>
      <c r="AC2" s="242"/>
      <c r="AD2" s="248"/>
      <c r="AE2" s="248"/>
      <c r="AF2" s="248"/>
      <c r="AG2" s="248"/>
      <c r="AH2" s="242"/>
      <c r="AI2" s="242"/>
      <c r="AJ2" s="242"/>
      <c r="AK2" s="242"/>
      <c r="AL2" s="242"/>
      <c r="AM2" s="242"/>
      <c r="AN2" s="242"/>
      <c r="AO2" s="242"/>
      <c r="AP2" s="242"/>
      <c r="AQ2" s="242"/>
      <c r="AR2" s="242"/>
      <c r="AS2" s="242"/>
      <c r="AT2" s="242"/>
      <c r="AU2" s="242"/>
      <c r="AV2" s="242"/>
      <c r="AW2" s="243"/>
      <c r="AX2" s="242"/>
    </row>
    <row r="3" spans="1:50" ht="18" hidden="1" customHeight="1" outlineLevel="2" x14ac:dyDescent="0.3">
      <c r="A3" s="242"/>
      <c r="B3" s="276"/>
      <c r="C3" s="283"/>
      <c r="D3" s="276"/>
      <c r="E3" s="242"/>
      <c r="F3" s="276"/>
      <c r="G3" s="276"/>
      <c r="H3" s="276"/>
      <c r="I3" s="276"/>
      <c r="J3" s="276"/>
      <c r="K3" s="276"/>
      <c r="L3" s="276"/>
      <c r="M3" s="276"/>
      <c r="N3" s="276"/>
      <c r="O3" s="276"/>
      <c r="P3" s="276"/>
      <c r="Q3" s="297"/>
      <c r="R3" s="276"/>
      <c r="S3" s="248"/>
      <c r="T3" s="242"/>
      <c r="U3" s="242"/>
      <c r="V3" s="242"/>
      <c r="W3" s="242"/>
      <c r="X3" s="242"/>
      <c r="Y3" s="248"/>
      <c r="Z3" s="242"/>
      <c r="AA3" s="242"/>
      <c r="AB3" s="242"/>
      <c r="AC3" s="242"/>
      <c r="AD3" s="248"/>
      <c r="AE3" s="248"/>
      <c r="AF3" s="248"/>
      <c r="AG3" s="248"/>
      <c r="AH3" s="242"/>
      <c r="AI3" s="242"/>
      <c r="AJ3" s="242"/>
      <c r="AK3" s="242"/>
      <c r="AL3" s="242"/>
      <c r="AM3" s="242"/>
      <c r="AN3" s="242"/>
      <c r="AO3" s="242"/>
      <c r="AP3" s="242"/>
      <c r="AQ3" s="242"/>
      <c r="AR3" s="242"/>
      <c r="AS3" s="242"/>
      <c r="AT3" s="242"/>
      <c r="AU3" s="242"/>
      <c r="AV3" s="242"/>
      <c r="AW3" s="243"/>
      <c r="AX3" s="242"/>
    </row>
    <row r="4" spans="1:50" ht="18" hidden="1" customHeight="1" outlineLevel="1" collapsed="1" x14ac:dyDescent="0.3">
      <c r="A4" s="242"/>
      <c r="B4" s="568" t="str">
        <f>EULA!$B14</f>
        <v>[Địa chỉ]</v>
      </c>
      <c r="C4" s="568" t="str">
        <f>EULA!$B14</f>
        <v>[Địa chỉ]</v>
      </c>
      <c r="D4" s="568" t="str">
        <f>EULA!$B14</f>
        <v>[Địa chỉ]</v>
      </c>
      <c r="E4" s="242"/>
      <c r="F4" s="1" t="s">
        <v>725</v>
      </c>
      <c r="G4" s="276"/>
      <c r="H4" s="276"/>
      <c r="I4" s="276"/>
      <c r="J4" s="276"/>
      <c r="K4" s="276"/>
      <c r="L4" s="276"/>
      <c r="M4" s="276"/>
      <c r="N4" s="276"/>
      <c r="O4" s="276"/>
      <c r="P4" s="570" t="str">
        <f>CONCATENATE("BAN-",C3,"-",MOD(YEAR(P5),100)*10000+MONTH(P5)*100+DAY(P5),"-",R4)</f>
        <v>BAN--100-1</v>
      </c>
      <c r="Q4" s="571"/>
      <c r="R4" s="284">
        <v>1</v>
      </c>
      <c r="S4" s="248"/>
      <c r="T4" s="242"/>
      <c r="U4" s="242"/>
      <c r="V4" s="242"/>
      <c r="W4" s="242"/>
      <c r="X4" s="242"/>
      <c r="Y4" s="248"/>
      <c r="Z4" s="242"/>
      <c r="AA4" s="242"/>
      <c r="AB4" s="242"/>
      <c r="AC4" s="242"/>
      <c r="AD4" s="248"/>
      <c r="AE4" s="248"/>
      <c r="AF4" s="248"/>
      <c r="AG4" s="248"/>
      <c r="AH4" s="242"/>
      <c r="AI4" s="242"/>
      <c r="AJ4" s="242"/>
      <c r="AK4" s="242"/>
      <c r="AL4" s="242"/>
      <c r="AM4" s="242"/>
      <c r="AN4" s="242"/>
      <c r="AO4" s="242"/>
      <c r="AP4" s="242"/>
      <c r="AQ4" s="242"/>
      <c r="AR4" s="242"/>
      <c r="AS4" s="242"/>
      <c r="AT4" s="242"/>
      <c r="AU4" s="242"/>
      <c r="AV4" s="242"/>
      <c r="AW4" s="242"/>
      <c r="AX4" s="242"/>
    </row>
    <row r="5" spans="1:50" ht="18" hidden="1" customHeight="1" outlineLevel="1" x14ac:dyDescent="0.3">
      <c r="A5" s="242"/>
      <c r="B5" s="568" t="str">
        <f>EULA!$B15</f>
        <v>[Mã số thuế]</v>
      </c>
      <c r="C5" s="568" t="str">
        <f>EULA!$B15</f>
        <v>[Mã số thuế]</v>
      </c>
      <c r="D5" s="568" t="str">
        <f>EULA!$B15</f>
        <v>[Mã số thuế]</v>
      </c>
      <c r="E5" s="242"/>
      <c r="F5" s="1" t="s">
        <v>539</v>
      </c>
      <c r="G5" s="276"/>
      <c r="H5" s="276"/>
      <c r="I5" s="276"/>
      <c r="J5" s="276"/>
      <c r="K5" s="276"/>
      <c r="L5" s="276"/>
      <c r="M5" s="276"/>
      <c r="N5" s="276"/>
      <c r="O5" s="276"/>
      <c r="P5" s="572"/>
      <c r="Q5" s="573"/>
      <c r="R5" s="276"/>
      <c r="S5" s="248"/>
      <c r="T5" s="242"/>
      <c r="U5" s="242"/>
      <c r="V5" s="242"/>
      <c r="W5" s="242"/>
      <c r="X5" s="242"/>
      <c r="Y5" s="248"/>
      <c r="Z5" s="242"/>
      <c r="AA5" s="242"/>
      <c r="AB5" s="242"/>
      <c r="AC5" s="242"/>
      <c r="AD5" s="248"/>
      <c r="AE5" s="248"/>
      <c r="AF5" s="248"/>
      <c r="AG5" s="248"/>
      <c r="AH5" s="242"/>
      <c r="AI5" s="242"/>
      <c r="AJ5" s="242"/>
      <c r="AK5" s="242"/>
      <c r="AL5" s="242"/>
      <c r="AM5" s="242"/>
      <c r="AN5" s="242"/>
      <c r="AO5" s="242"/>
      <c r="AP5" s="242"/>
      <c r="AQ5" s="242"/>
      <c r="AR5" s="242"/>
      <c r="AS5" s="242"/>
      <c r="AT5" s="242"/>
      <c r="AU5" s="242"/>
      <c r="AV5" s="242"/>
      <c r="AW5" s="242"/>
      <c r="AX5" s="242"/>
    </row>
    <row r="6" spans="1:50" ht="18" hidden="1" customHeight="1" outlineLevel="1" x14ac:dyDescent="0.3">
      <c r="A6" s="242"/>
      <c r="B6" s="568" t="str">
        <f>EULA!$B16</f>
        <v>[SĐT - Fax]</v>
      </c>
      <c r="C6" s="568" t="str">
        <f>EULA!$B16</f>
        <v>[SĐT - Fax]</v>
      </c>
      <c r="D6" s="568" t="str">
        <f>EULA!$B16</f>
        <v>[SĐT - Fax]</v>
      </c>
      <c r="E6" s="242"/>
      <c r="F6" s="1" t="s">
        <v>173</v>
      </c>
      <c r="G6" s="276"/>
      <c r="H6" s="276"/>
      <c r="I6" s="276"/>
      <c r="J6" s="276"/>
      <c r="K6" s="276"/>
      <c r="L6" s="276"/>
      <c r="M6" s="276"/>
      <c r="N6" s="276"/>
      <c r="O6" s="276"/>
      <c r="P6" s="577" t="str">
        <f>IFERROR(VLOOKUP(C3,Table_KhachHang[],Sheet_KhachHang!$C$1,0),"")</f>
        <v/>
      </c>
      <c r="Q6" s="575"/>
      <c r="R6" s="276"/>
      <c r="S6" s="248"/>
      <c r="T6" s="242"/>
      <c r="U6" s="242"/>
      <c r="V6" s="242"/>
      <c r="W6" s="242"/>
      <c r="X6" s="242"/>
      <c r="Y6" s="248"/>
      <c r="Z6" s="242"/>
      <c r="AA6" s="242"/>
      <c r="AB6" s="242"/>
      <c r="AC6" s="242"/>
      <c r="AD6" s="248"/>
      <c r="AE6" s="248"/>
      <c r="AF6" s="248"/>
      <c r="AG6" s="248"/>
      <c r="AH6" s="242"/>
      <c r="AI6" s="242"/>
      <c r="AJ6" s="242"/>
      <c r="AK6" s="242"/>
      <c r="AL6" s="242"/>
      <c r="AM6" s="242"/>
      <c r="AN6" s="242"/>
      <c r="AO6" s="242"/>
      <c r="AP6" s="242"/>
      <c r="AQ6" s="242"/>
      <c r="AR6" s="242"/>
      <c r="AS6" s="242"/>
      <c r="AT6" s="242"/>
      <c r="AU6" s="242"/>
      <c r="AV6" s="242"/>
      <c r="AW6" s="242"/>
      <c r="AX6" s="242"/>
    </row>
    <row r="7" spans="1:50" ht="18" hidden="1" customHeight="1" outlineLevel="1" x14ac:dyDescent="0.3">
      <c r="A7" s="242"/>
      <c r="B7" s="185" t="str">
        <f>EULA!$B17</f>
        <v>[Website - Page]</v>
      </c>
      <c r="C7" s="289"/>
      <c r="D7" s="289"/>
      <c r="E7" s="242"/>
      <c r="F7" s="1" t="s">
        <v>726</v>
      </c>
      <c r="G7" s="276"/>
      <c r="H7" s="276"/>
      <c r="I7" s="276"/>
      <c r="J7" s="276"/>
      <c r="K7" s="276"/>
      <c r="L7" s="276"/>
      <c r="M7" s="276"/>
      <c r="N7" s="276"/>
      <c r="O7" s="276"/>
      <c r="P7" s="576"/>
      <c r="Q7" s="575"/>
      <c r="R7" s="276"/>
      <c r="S7" s="248"/>
      <c r="T7" s="242"/>
      <c r="U7" s="242"/>
      <c r="V7" s="242"/>
      <c r="W7" s="242"/>
      <c r="X7" s="242"/>
      <c r="Y7" s="248"/>
      <c r="Z7" s="242"/>
      <c r="AA7" s="242"/>
      <c r="AB7" s="242"/>
      <c r="AC7" s="242"/>
      <c r="AD7" s="248"/>
      <c r="AE7" s="248"/>
      <c r="AF7" s="248"/>
      <c r="AG7" s="248"/>
      <c r="AH7" s="242"/>
      <c r="AI7" s="242"/>
      <c r="AJ7" s="242"/>
      <c r="AK7" s="242"/>
      <c r="AL7" s="242"/>
      <c r="AM7" s="242"/>
      <c r="AN7" s="242"/>
      <c r="AO7" s="242"/>
      <c r="AP7" s="242"/>
      <c r="AQ7" s="242"/>
      <c r="AR7" s="242"/>
      <c r="AS7" s="242"/>
      <c r="AT7" s="242"/>
      <c r="AU7" s="242"/>
      <c r="AV7" s="242"/>
      <c r="AW7" s="242"/>
      <c r="AX7" s="242"/>
    </row>
    <row r="8" spans="1:50" ht="18" hidden="1" customHeight="1" outlineLevel="1" x14ac:dyDescent="0.3">
      <c r="A8" s="242"/>
      <c r="B8" s="89" t="str">
        <f>EULA!$B18</f>
        <v>[STK - Ngân hàng]</v>
      </c>
      <c r="C8" s="289"/>
      <c r="D8" s="289"/>
      <c r="E8" s="242"/>
      <c r="F8" s="1" t="s">
        <v>37</v>
      </c>
      <c r="G8" s="276"/>
      <c r="H8" s="276"/>
      <c r="I8" s="276"/>
      <c r="J8" s="276"/>
      <c r="K8" s="276"/>
      <c r="L8" s="276"/>
      <c r="M8" s="276"/>
      <c r="N8" s="276"/>
      <c r="O8" s="276"/>
      <c r="P8" s="576"/>
      <c r="Q8" s="575"/>
      <c r="R8" s="276"/>
      <c r="S8" s="248"/>
      <c r="T8" s="242"/>
      <c r="U8" s="242"/>
      <c r="V8" s="242"/>
      <c r="W8" s="242"/>
      <c r="X8" s="242"/>
      <c r="Y8" s="248"/>
      <c r="Z8" s="242"/>
      <c r="AA8" s="242"/>
      <c r="AB8" s="242"/>
      <c r="AC8" s="242"/>
      <c r="AD8" s="248"/>
      <c r="AE8" s="248"/>
      <c r="AF8" s="248"/>
      <c r="AG8" s="248"/>
      <c r="AH8" s="242"/>
      <c r="AI8" s="242"/>
      <c r="AJ8" s="242"/>
      <c r="AK8" s="242"/>
      <c r="AL8" s="242"/>
      <c r="AM8" s="242"/>
      <c r="AN8" s="242"/>
      <c r="AO8" s="242"/>
      <c r="AP8" s="242"/>
      <c r="AQ8" s="242"/>
      <c r="AR8" s="242"/>
      <c r="AS8" s="242"/>
      <c r="AT8" s="242"/>
      <c r="AU8" s="242"/>
      <c r="AV8" s="242"/>
      <c r="AW8" s="243"/>
      <c r="AX8" s="242"/>
    </row>
    <row r="9" spans="1:50" ht="42" hidden="1" customHeight="1" outlineLevel="1" x14ac:dyDescent="0.3">
      <c r="A9" s="242"/>
      <c r="B9" s="276"/>
      <c r="C9" s="276"/>
      <c r="D9" s="276"/>
      <c r="E9" s="276"/>
      <c r="G9" s="276"/>
      <c r="H9" s="276"/>
      <c r="I9" s="276"/>
      <c r="J9" s="276"/>
      <c r="K9" s="276"/>
      <c r="L9" s="276"/>
      <c r="M9" s="276"/>
      <c r="N9" s="276"/>
      <c r="O9" s="276"/>
      <c r="P9" s="297"/>
      <c r="Q9" s="433" t="str" cm="1">
        <f t="array" ref="Q9">Code128(P4)</f>
        <v>ÌBAN--1ÇÂÈ-1ÊÎ</v>
      </c>
      <c r="R9" s="276"/>
      <c r="S9" s="248"/>
      <c r="T9" s="242"/>
      <c r="U9" s="242"/>
      <c r="V9" s="242"/>
      <c r="W9" s="242"/>
      <c r="X9" s="242"/>
      <c r="Y9" s="248"/>
      <c r="Z9" s="242"/>
      <c r="AA9" s="242"/>
      <c r="AB9" s="242"/>
      <c r="AC9" s="242"/>
      <c r="AD9" s="248"/>
      <c r="AE9" s="248"/>
      <c r="AF9" s="248"/>
      <c r="AG9" s="248"/>
      <c r="AH9" s="242"/>
      <c r="AI9" s="242"/>
      <c r="AJ9" s="242"/>
      <c r="AK9" s="242"/>
      <c r="AL9" s="242"/>
      <c r="AM9" s="242"/>
      <c r="AN9" s="242"/>
      <c r="AO9" s="242"/>
      <c r="AP9" s="242"/>
      <c r="AQ9" s="242"/>
      <c r="AR9" s="242"/>
      <c r="AS9" s="242"/>
      <c r="AT9" s="242"/>
      <c r="AU9" s="242"/>
      <c r="AV9" s="242"/>
      <c r="AW9" s="243"/>
      <c r="AX9" s="242"/>
    </row>
    <row r="10" spans="1:50" ht="18" hidden="1" customHeight="1" outlineLevel="1" x14ac:dyDescent="0.3">
      <c r="A10" s="242"/>
      <c r="B10" s="58" t="s">
        <v>727</v>
      </c>
      <c r="C10" s="285"/>
      <c r="D10" s="285"/>
      <c r="E10" s="276"/>
      <c r="F10" s="276"/>
      <c r="G10" s="276"/>
      <c r="H10" s="276"/>
      <c r="I10" s="276"/>
      <c r="J10" s="276"/>
      <c r="K10" s="276"/>
      <c r="L10" s="276"/>
      <c r="M10" s="276"/>
      <c r="N10" s="276"/>
      <c r="O10" s="276"/>
      <c r="P10" s="297"/>
      <c r="Q10" s="276"/>
      <c r="R10" s="276"/>
      <c r="S10" s="248"/>
      <c r="T10" s="242"/>
      <c r="U10" s="242"/>
      <c r="V10" s="242"/>
      <c r="W10" s="242"/>
      <c r="X10" s="242"/>
      <c r="Y10" s="248"/>
      <c r="Z10" s="242"/>
      <c r="AA10" s="242"/>
      <c r="AB10" s="242"/>
      <c r="AC10" s="242"/>
      <c r="AD10" s="248"/>
      <c r="AE10" s="248"/>
      <c r="AF10" s="248"/>
      <c r="AG10" s="248"/>
      <c r="AH10" s="242"/>
      <c r="AI10" s="242"/>
      <c r="AJ10" s="242"/>
      <c r="AK10" s="242"/>
      <c r="AL10" s="242"/>
      <c r="AM10" s="242"/>
      <c r="AN10" s="242"/>
      <c r="AO10" s="242"/>
      <c r="AP10" s="242"/>
      <c r="AQ10" s="242"/>
      <c r="AR10" s="242"/>
      <c r="AS10" s="242"/>
      <c r="AT10" s="242"/>
      <c r="AU10" s="242"/>
      <c r="AV10" s="242"/>
      <c r="AW10" s="243"/>
      <c r="AX10" s="242"/>
    </row>
    <row r="11" spans="1:50" ht="18" hidden="1" customHeight="1" outlineLevel="2" x14ac:dyDescent="0.3">
      <c r="A11" s="242"/>
      <c r="B11" s="1" t="s">
        <v>540</v>
      </c>
      <c r="C11" s="276"/>
      <c r="D11" s="242"/>
      <c r="E11" s="568" t="str">
        <f>IFERROR(VLOOKUP(C3,Table_KhachHang[#All],Sheet_KhachHang!$C$1,0),"")</f>
        <v/>
      </c>
      <c r="F11" s="569"/>
      <c r="G11" s="569"/>
      <c r="H11" s="569"/>
      <c r="I11" s="569"/>
      <c r="J11" s="569"/>
      <c r="K11" s="569"/>
      <c r="L11" s="569"/>
      <c r="M11" s="569"/>
      <c r="N11" s="569"/>
      <c r="O11" s="569"/>
      <c r="P11" s="569"/>
      <c r="Q11" s="569"/>
      <c r="R11" s="276"/>
      <c r="S11" s="248"/>
      <c r="T11" s="242"/>
      <c r="U11" s="242"/>
      <c r="V11" s="242"/>
      <c r="W11" s="242"/>
      <c r="X11" s="242"/>
      <c r="Y11" s="248"/>
      <c r="Z11" s="242"/>
      <c r="AA11" s="242"/>
      <c r="AB11" s="242"/>
      <c r="AC11" s="242"/>
      <c r="AD11" s="248"/>
      <c r="AE11" s="248"/>
      <c r="AF11" s="248"/>
      <c r="AG11" s="248"/>
      <c r="AH11" s="242"/>
      <c r="AI11" s="242"/>
      <c r="AJ11" s="242"/>
      <c r="AK11" s="242"/>
      <c r="AL11" s="242"/>
      <c r="AM11" s="242"/>
      <c r="AN11" s="242"/>
      <c r="AO11" s="242"/>
      <c r="AP11" s="242"/>
      <c r="AQ11" s="242"/>
      <c r="AR11" s="242"/>
      <c r="AS11" s="242"/>
      <c r="AT11" s="242"/>
      <c r="AU11" s="242"/>
      <c r="AV11" s="242"/>
      <c r="AW11" s="243"/>
      <c r="AX11" s="242"/>
    </row>
    <row r="12" spans="1:50" ht="18" hidden="1" customHeight="1" outlineLevel="2" x14ac:dyDescent="0.3">
      <c r="A12" s="242"/>
      <c r="B12" s="1" t="s">
        <v>705</v>
      </c>
      <c r="C12" s="276"/>
      <c r="D12" s="242"/>
      <c r="E12" s="568" t="str">
        <f>CONCATENATE(IFERROR(VLOOKUP(C3,Table_KhachHang[#All],Sheet_KhachHang!$G$1,0),""), " - ",IFERROR(VLOOKUP(C3,Table_KhachHang[#All],Sheet_KhachHang!$H$1,0),""), " - ",IFERROR(VLOOKUP(C3,Table_KhachHang[#All],Sheet_KhachHang!$I$1,0),"")  )</f>
        <v xml:space="preserve"> -  - </v>
      </c>
      <c r="F12" s="569"/>
      <c r="G12" s="569"/>
      <c r="H12" s="569"/>
      <c r="I12" s="569"/>
      <c r="J12" s="569"/>
      <c r="K12" s="569"/>
      <c r="L12" s="569"/>
      <c r="M12" s="569"/>
      <c r="N12" s="569"/>
      <c r="O12" s="569"/>
      <c r="P12" s="569"/>
      <c r="Q12" s="569"/>
      <c r="R12" s="276"/>
      <c r="S12" s="248"/>
      <c r="T12" s="242"/>
      <c r="U12" s="242"/>
      <c r="V12" s="242"/>
      <c r="W12" s="242"/>
      <c r="X12" s="242"/>
      <c r="Y12" s="248"/>
      <c r="Z12" s="242"/>
      <c r="AA12" s="242"/>
      <c r="AB12" s="242"/>
      <c r="AC12" s="242"/>
      <c r="AD12" s="248"/>
      <c r="AE12" s="248"/>
      <c r="AF12" s="248"/>
      <c r="AG12" s="248"/>
      <c r="AH12" s="242"/>
      <c r="AI12" s="242"/>
      <c r="AJ12" s="242"/>
      <c r="AK12" s="242"/>
      <c r="AL12" s="242"/>
      <c r="AM12" s="242"/>
      <c r="AN12" s="242"/>
      <c r="AO12" s="242"/>
      <c r="AP12" s="242"/>
      <c r="AQ12" s="242"/>
      <c r="AR12" s="242"/>
      <c r="AS12" s="242"/>
      <c r="AT12" s="242"/>
      <c r="AU12" s="242"/>
      <c r="AV12" s="242"/>
      <c r="AW12" s="243"/>
      <c r="AX12" s="242"/>
    </row>
    <row r="13" spans="1:50" ht="18" hidden="1" customHeight="1" outlineLevel="2" x14ac:dyDescent="0.3">
      <c r="A13" s="242"/>
      <c r="B13" s="1" t="s">
        <v>542</v>
      </c>
      <c r="C13" s="276"/>
      <c r="D13" s="242"/>
      <c r="E13" s="568" t="str">
        <f>IFERROR(VLOOKUP(C3,Table_KhachHang[#All],Sheet_KhachHang!$F$1,0),"")</f>
        <v/>
      </c>
      <c r="F13" s="569"/>
      <c r="G13" s="569"/>
      <c r="H13" s="569"/>
      <c r="I13" s="569"/>
      <c r="J13" s="569"/>
      <c r="K13" s="569"/>
      <c r="L13" s="569"/>
      <c r="M13" s="569"/>
      <c r="N13" s="569"/>
      <c r="O13" s="569"/>
      <c r="P13" s="569"/>
      <c r="Q13" s="569"/>
      <c r="R13" s="276"/>
      <c r="S13" s="248"/>
      <c r="T13" s="242"/>
      <c r="U13" s="242"/>
      <c r="V13" s="242"/>
      <c r="W13" s="242"/>
      <c r="X13" s="242"/>
      <c r="Y13" s="248"/>
      <c r="Z13" s="242"/>
      <c r="AA13" s="242"/>
      <c r="AB13" s="242"/>
      <c r="AC13" s="242"/>
      <c r="AD13" s="248"/>
      <c r="AE13" s="248"/>
      <c r="AF13" s="248"/>
      <c r="AG13" s="248"/>
      <c r="AH13" s="242"/>
      <c r="AI13" s="242"/>
      <c r="AJ13" s="242"/>
      <c r="AK13" s="242"/>
      <c r="AL13" s="242"/>
      <c r="AM13" s="242"/>
      <c r="AN13" s="242"/>
      <c r="AO13" s="242"/>
      <c r="AP13" s="242"/>
      <c r="AQ13" s="242"/>
      <c r="AR13" s="242"/>
      <c r="AS13" s="242"/>
      <c r="AT13" s="242"/>
      <c r="AU13" s="242"/>
      <c r="AV13" s="242"/>
      <c r="AW13" s="243"/>
      <c r="AX13" s="242"/>
    </row>
    <row r="14" spans="1:50" ht="18" hidden="1" customHeight="1" outlineLevel="2" x14ac:dyDescent="0.3">
      <c r="A14" s="242"/>
      <c r="B14" s="276"/>
      <c r="C14" s="276"/>
      <c r="D14" s="276"/>
      <c r="E14" s="276"/>
      <c r="F14" s="276"/>
      <c r="G14" s="276"/>
      <c r="H14" s="276"/>
      <c r="I14" s="276"/>
      <c r="J14" s="276"/>
      <c r="K14" s="276"/>
      <c r="L14" s="276"/>
      <c r="M14" s="276"/>
      <c r="N14" s="276"/>
      <c r="O14" s="276"/>
      <c r="P14" s="297"/>
      <c r="Q14" s="276"/>
      <c r="R14" s="276"/>
      <c r="S14" s="248"/>
      <c r="T14" s="242"/>
      <c r="U14" s="242"/>
      <c r="V14" s="242"/>
      <c r="W14" s="242"/>
      <c r="X14" s="242"/>
      <c r="Y14" s="248"/>
      <c r="Z14" s="242"/>
      <c r="AA14" s="242"/>
      <c r="AB14" s="242"/>
      <c r="AC14" s="242"/>
      <c r="AD14" s="248"/>
      <c r="AE14" s="248"/>
      <c r="AF14" s="248"/>
      <c r="AG14" s="248"/>
      <c r="AH14" s="242"/>
      <c r="AI14" s="242"/>
      <c r="AJ14" s="242"/>
      <c r="AK14" s="242"/>
      <c r="AL14" s="242"/>
      <c r="AM14" s="242"/>
      <c r="AN14" s="242"/>
      <c r="AO14" s="242"/>
      <c r="AP14" s="242"/>
      <c r="AQ14" s="242"/>
      <c r="AR14" s="242"/>
      <c r="AS14" s="242"/>
      <c r="AT14" s="242"/>
      <c r="AU14" s="242"/>
      <c r="AV14" s="242"/>
      <c r="AW14" s="243"/>
      <c r="AX14" s="242"/>
    </row>
    <row r="15" spans="1:50" ht="18" hidden="1" customHeight="1" outlineLevel="2" x14ac:dyDescent="0.3">
      <c r="A15" s="242"/>
      <c r="B15" s="276"/>
      <c r="C15" s="276"/>
      <c r="D15" s="276"/>
      <c r="E15" s="276"/>
      <c r="F15" s="242"/>
      <c r="G15" s="242"/>
      <c r="H15" s="242"/>
      <c r="I15" s="276"/>
      <c r="J15" s="276"/>
      <c r="K15" s="276"/>
      <c r="L15" s="276"/>
      <c r="M15" s="276"/>
      <c r="N15" s="276"/>
      <c r="O15" s="276"/>
      <c r="P15" s="92" t="s">
        <v>322</v>
      </c>
      <c r="Q15" s="93" t="s">
        <v>329</v>
      </c>
      <c r="R15" s="242"/>
      <c r="S15" s="248"/>
      <c r="T15" s="242"/>
      <c r="U15" s="242"/>
      <c r="V15" s="242"/>
      <c r="W15" s="242"/>
      <c r="X15" s="242"/>
      <c r="Y15" s="248"/>
      <c r="Z15" s="242"/>
      <c r="AA15" s="242"/>
      <c r="AB15" s="242"/>
      <c r="AC15" s="242"/>
      <c r="AD15" s="248"/>
      <c r="AE15" s="248"/>
      <c r="AF15" s="248"/>
      <c r="AG15" s="248"/>
      <c r="AH15" s="242"/>
      <c r="AI15" s="242"/>
      <c r="AJ15" s="242"/>
      <c r="AK15" s="242"/>
      <c r="AL15" s="242"/>
      <c r="AM15" s="242"/>
      <c r="AN15" s="242"/>
      <c r="AO15" s="242"/>
      <c r="AP15" s="242"/>
      <c r="AQ15" s="242"/>
      <c r="AR15" s="242"/>
      <c r="AS15" s="242"/>
      <c r="AT15" s="242"/>
      <c r="AU15" s="242"/>
      <c r="AV15" s="242"/>
      <c r="AW15" s="243"/>
      <c r="AX15" s="242"/>
    </row>
    <row r="16" spans="1:50" ht="18" hidden="1" customHeight="1" outlineLevel="1" x14ac:dyDescent="0.3">
      <c r="A16" s="242"/>
      <c r="B16" s="59" t="s">
        <v>643</v>
      </c>
      <c r="C16" s="59" t="s">
        <v>47</v>
      </c>
      <c r="D16" s="59" t="s">
        <v>707</v>
      </c>
      <c r="E16" s="60" t="s">
        <v>30</v>
      </c>
      <c r="F16" s="59" t="s">
        <v>728</v>
      </c>
      <c r="G16" s="59" t="s">
        <v>237</v>
      </c>
      <c r="H16" s="59" t="s">
        <v>729</v>
      </c>
      <c r="I16" s="59" t="s">
        <v>730</v>
      </c>
      <c r="J16" s="59" t="s">
        <v>731</v>
      </c>
      <c r="K16" s="59" t="s">
        <v>732</v>
      </c>
      <c r="L16" s="59" t="s">
        <v>733</v>
      </c>
      <c r="M16" s="59" t="s">
        <v>930</v>
      </c>
      <c r="N16" s="59" t="s">
        <v>931</v>
      </c>
      <c r="O16" s="60" t="s">
        <v>721</v>
      </c>
      <c r="P16" s="60" t="s">
        <v>709</v>
      </c>
      <c r="Q16" s="60" t="s">
        <v>710</v>
      </c>
      <c r="R16" s="60" t="s">
        <v>693</v>
      </c>
      <c r="S16" s="248"/>
      <c r="T16" s="242"/>
      <c r="U16" s="242"/>
      <c r="V16" s="242"/>
      <c r="W16" s="242"/>
      <c r="X16" s="242"/>
      <c r="Y16" s="248"/>
      <c r="Z16" s="242"/>
      <c r="AA16" s="242"/>
      <c r="AB16" s="242"/>
      <c r="AC16" s="242"/>
      <c r="AD16" s="248"/>
      <c r="AE16" s="248"/>
      <c r="AF16" s="248"/>
      <c r="AG16" s="248"/>
      <c r="AH16" s="242"/>
      <c r="AI16" s="242"/>
      <c r="AJ16" s="242"/>
      <c r="AK16" s="242"/>
      <c r="AL16" s="242"/>
      <c r="AM16" s="242"/>
      <c r="AN16" s="242"/>
      <c r="AO16" s="242"/>
      <c r="AP16" s="242"/>
      <c r="AQ16" s="242"/>
      <c r="AR16" s="242"/>
      <c r="AS16" s="242"/>
      <c r="AT16" s="242"/>
      <c r="AU16" s="242"/>
      <c r="AV16" s="242"/>
      <c r="AW16" s="243"/>
      <c r="AX16" s="242"/>
    </row>
    <row r="17" spans="1:50" ht="18" hidden="1" customHeight="1" outlineLevel="2" x14ac:dyDescent="0.3">
      <c r="A17" s="242"/>
      <c r="B17" s="7" t="str">
        <f>IF(Table_FormDonBan[[#This Row],[SKU]]&lt;&gt;"",COUNTIF(C$17:C17,"&lt;&gt;"""),"")</f>
        <v/>
      </c>
      <c r="C17" s="242"/>
      <c r="D17" s="7" t="str">
        <f xml:space="preserve">
IFERROR(VLOOKUP(Table_FormDonBan[[#This Row],[SKU]],Table_SKU[[Mã SKU]:[Mô tả]],Sheet_SKU!$H$1,0),"")</f>
        <v/>
      </c>
      <c r="E17" s="15"/>
      <c r="F17" s="15" t="str">
        <f>IFERROR(VLOOKUP(Table_FormDonBan[[#This Row],[SKU]],Table_SKU[[Mã SKU]:[Giá bán]],Sheet_SKU!$J$1,0),"")</f>
        <v/>
      </c>
      <c r="G17" s="244"/>
      <c r="H17" s="244">
        <f>Table_FormDonBan[[#This Row],[ĐK - Phân loại]]*Table_FormDonBan[[#This Row],[ĐK - Thời gian]]*Table_FormDonBan[[#This Row],[ĐK - Giá trị]]*Table_FormDonBan[[#This Row],[ĐK - Số lượng]]*Table_FormDonBan[[#This Row],[ĐK - Sinh nhật]]*Table_FormDonBan[[#This Row],[ĐK - Ngày mua cuối]]</f>
        <v>1</v>
      </c>
      <c r="I17" s="244">
        <f xml:space="preserve">
IF(ISBLANK(Table_FormDonBan[[#This Row],[Chương trình]]),1,
IF(VLOOKUP(Table_FormDonBan[[#This Row],[Chương trình]],Table_ChuongTrinh[[Mã Chương trình]:[Đối tượng CK]],Sheet_ChuongTrinh!$C$1,0) = "Sản phẩm",1,0))</f>
        <v>1</v>
      </c>
      <c r="J1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7" s="244" cm="1">
        <f t="array" ref="N1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7" s="15" t="str">
        <f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f>
        <v/>
      </c>
      <c r="P17" s="15" t="str">
        <f>IF(ISBLANK(Table_FormDonBan[[#This Row],[SKU]]),"",
(Table_FormDonBan[[#This Row],[Số lượng]]*Table_FormDonBan[[#This Row],[Giá trước VAT]]-Table_FormDonBan[[#This Row],[Khuyến mãi]]))</f>
        <v/>
      </c>
      <c r="Q17" s="45" t="str">
        <f>IFERROR(
VLOOKUP(Table_FormDonBan[[#This Row],[SKU]],Table_SKU[[Mã SKU]:[Tỷ suất VAT]],Sheet_SKU!$K$1,0),"")</f>
        <v/>
      </c>
      <c r="R17" s="15" t="str">
        <f>IF(
ISBLANK(Table_FormDonBan[[#This Row],[SKU]]),"",Table_FormDonBan[[#This Row],[Thành tiền]]*Table_FormDonBan[[#This Row],[Tỷ suất VAT]])</f>
        <v/>
      </c>
      <c r="S17" s="248"/>
      <c r="T17" s="242"/>
      <c r="U17" s="242"/>
      <c r="V17" s="242"/>
      <c r="W17" s="242"/>
      <c r="X17" s="242"/>
      <c r="Y17" s="248"/>
      <c r="Z17" s="242"/>
      <c r="AA17" s="242"/>
      <c r="AB17" s="242"/>
      <c r="AC17" s="242"/>
      <c r="AD17" s="248"/>
      <c r="AE17" s="248"/>
      <c r="AF17" s="248"/>
      <c r="AG17" s="248"/>
      <c r="AH17" s="242"/>
      <c r="AI17" s="242"/>
      <c r="AJ17" s="242"/>
      <c r="AK17" s="242"/>
      <c r="AL17" s="242"/>
      <c r="AM17" s="242"/>
      <c r="AN17" s="242"/>
      <c r="AO17" s="242"/>
      <c r="AP17" s="242"/>
      <c r="AQ17" s="242"/>
      <c r="AR17" s="242"/>
      <c r="AS17" s="242"/>
      <c r="AT17" s="242"/>
      <c r="AU17" s="242"/>
      <c r="AV17" s="242"/>
      <c r="AW17" s="243"/>
      <c r="AX17" s="242"/>
    </row>
    <row r="18" spans="1:50" ht="18" hidden="1" customHeight="1" outlineLevel="2" x14ac:dyDescent="0.3">
      <c r="A18" s="242"/>
      <c r="B18" s="7" t="str">
        <f>IF(Table_FormDonBan[[#This Row],[SKU]]&lt;&gt;"",COUNTIF(C$17:C18,"&lt;&gt;"""),"")</f>
        <v/>
      </c>
      <c r="C18" s="242"/>
      <c r="D18" s="7" t="str">
        <f xml:space="preserve">
IFERROR(VLOOKUP(Table_FormDonBan[[#This Row],[SKU]],Table_SKU[[Mã SKU]:[Mô tả]],Sheet_SKU!$H$1,0),"")</f>
        <v/>
      </c>
      <c r="E18" s="15"/>
      <c r="F18" s="15" t="str">
        <f>IFERROR(VLOOKUP(Table_FormDonBan[[#This Row],[SKU]],Table_SKU[[Mã SKU]:[Giá bán]],Sheet_SKU!$J$1,0),"")</f>
        <v/>
      </c>
      <c r="G18" s="244"/>
      <c r="H18" s="244">
        <f>Table_FormDonBan[[#This Row],[ĐK - Phân loại]]*Table_FormDonBan[[#This Row],[ĐK - Thời gian]]*Table_FormDonBan[[#This Row],[ĐK - Giá trị]]*Table_FormDonBan[[#This Row],[ĐK - Số lượng]]*Table_FormDonBan[[#This Row],[ĐK - Sinh nhật]]*Table_FormDonBan[[#This Row],[ĐK - Ngày mua cuối]]</f>
        <v>1</v>
      </c>
      <c r="I18" s="244">
        <f xml:space="preserve">
IF(ISBLANK(Table_FormDonBan[[#This Row],[Chương trình]]),1,
IF(VLOOKUP(Table_FormDonBan[[#This Row],[Chương trình]],Table_ChuongTrinh[[Mã Chương trình]:[Đối tượng CK]],Sheet_ChuongTrinh!$C$1,0) = "Sản phẩm",1,0))</f>
        <v>1</v>
      </c>
      <c r="J1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8" s="244" cm="1">
        <f t="array" ref="N1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8" s="15" t="str">
        <f xml:space="preserve">
IF(ISBLANK(Table_FormDonBan[[#This Row],[SKU]]),"",
IF(ISBLANK(Table_FormDonBan[[#This Row],[Chương trình]]),0,
IFERROR(
IF(
ISBLANK(
VLOOKUP(G18,Table_ChuongTrinh[[Mã Chương trình]:[Tỷ lệ CK]],Sheet_ChuongTrinh!$G$1,0)),
VLOOKUP(G18,Table_ChuongTrinh[[Mã Chương trình]:[Giá trị CK]],Sheet_ChuongTrinh!$H$1,0),
VLOOKUP(G18,Table_ChuongTrinh[[Mã Chương trình]:[Tỷ lệ CK]],Sheet_ChuongTrinh!$G$1,0)
*Table_FormDonBan[[#This Row],[Số lượng]]*Table_FormDonBan[[#This Row],[Giá trước VAT]]),0)))</f>
        <v/>
      </c>
      <c r="P18" s="15" t="str">
        <f>IF(ISBLANK(Table_FormDonBan[[#This Row],[SKU]]),"",
(Table_FormDonBan[[#This Row],[Số lượng]]*Table_FormDonBan[[#This Row],[Giá trước VAT]]-Table_FormDonBan[[#This Row],[Khuyến mãi]]))</f>
        <v/>
      </c>
      <c r="Q18" s="45" t="str">
        <f>IFERROR(
VLOOKUP(Table_FormDonBan[[#This Row],[SKU]],Table_SKU[[Mã SKU]:[Tỷ suất VAT]],Sheet_SKU!$K$1,0),"")</f>
        <v/>
      </c>
      <c r="R18" s="15" t="str">
        <f>IF(
ISBLANK(Table_FormDonBan[[#This Row],[SKU]]),"",Table_FormDonBan[[#This Row],[Thành tiền]]*Table_FormDonBan[[#This Row],[Tỷ suất VAT]])</f>
        <v/>
      </c>
      <c r="S18" s="248"/>
      <c r="T18" s="242"/>
      <c r="U18" s="242"/>
      <c r="V18" s="242"/>
      <c r="W18" s="242"/>
      <c r="X18" s="242"/>
      <c r="Y18" s="248"/>
      <c r="Z18" s="242"/>
      <c r="AA18" s="242"/>
      <c r="AB18" s="242"/>
      <c r="AC18" s="242"/>
      <c r="AD18" s="248"/>
      <c r="AE18" s="248"/>
      <c r="AF18" s="248"/>
      <c r="AG18" s="248"/>
      <c r="AH18" s="242"/>
      <c r="AI18" s="242"/>
      <c r="AJ18" s="242"/>
      <c r="AK18" s="242"/>
      <c r="AL18" s="242"/>
      <c r="AM18" s="242"/>
      <c r="AN18" s="242"/>
      <c r="AO18" s="242"/>
      <c r="AP18" s="242"/>
      <c r="AQ18" s="242"/>
      <c r="AR18" s="242"/>
      <c r="AS18" s="242"/>
      <c r="AT18" s="242"/>
      <c r="AU18" s="242"/>
      <c r="AV18" s="242"/>
      <c r="AW18" s="243"/>
      <c r="AX18" s="242"/>
    </row>
    <row r="19" spans="1:50" ht="18" hidden="1" customHeight="1" outlineLevel="2" x14ac:dyDescent="0.3">
      <c r="A19" s="242"/>
      <c r="B19" s="7" t="str">
        <f>IF(Table_FormDonBan[[#This Row],[SKU]]&lt;&gt;"",COUNTIF(C$17:C19,"&lt;&gt;"""),"")</f>
        <v/>
      </c>
      <c r="C19" s="242"/>
      <c r="D19" s="7" t="str">
        <f xml:space="preserve">
IFERROR(VLOOKUP(Table_FormDonBan[[#This Row],[SKU]],Table_SKU[[Mã SKU]:[Mô tả]],Sheet_SKU!$H$1,0),"")</f>
        <v/>
      </c>
      <c r="E19" s="15"/>
      <c r="F19" s="15" t="str">
        <f>IFERROR(VLOOKUP(Table_FormDonBan[[#This Row],[SKU]],Table_SKU[[Mã SKU]:[Giá bán]],Sheet_SKU!$J$1,0),"")</f>
        <v/>
      </c>
      <c r="G19" s="244"/>
      <c r="H19" s="244">
        <f>Table_FormDonBan[[#This Row],[ĐK - Phân loại]]*Table_FormDonBan[[#This Row],[ĐK - Thời gian]]*Table_FormDonBan[[#This Row],[ĐK - Giá trị]]*Table_FormDonBan[[#This Row],[ĐK - Số lượng]]*Table_FormDonBan[[#This Row],[ĐK - Sinh nhật]]*Table_FormDonBan[[#This Row],[ĐK - Ngày mua cuối]]</f>
        <v>1</v>
      </c>
      <c r="I19" s="244">
        <f xml:space="preserve">
IF(ISBLANK(Table_FormDonBan[[#This Row],[Chương trình]]),1,
IF(VLOOKUP(Table_FormDonBan[[#This Row],[Chương trình]],Table_ChuongTrinh[[Mã Chương trình]:[Đối tượng CK]],Sheet_ChuongTrinh!$C$1,0) = "Sản phẩm",1,0))</f>
        <v>1</v>
      </c>
      <c r="J19"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9"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9"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9"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9" s="244" cm="1">
        <f t="array" ref="N19">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9" s="15" t="str">
        <f xml:space="preserve">
IF(ISBLANK(Table_FormDonBan[[#This Row],[SKU]]),"",
IF(ISBLANK(Table_FormDonBan[[#This Row],[Chương trình]]),0,
IFERROR(
IF(
ISBLANK(
VLOOKUP(G19,Table_ChuongTrinh[[Mã Chương trình]:[Tỷ lệ CK]],Sheet_ChuongTrinh!$G$1,0)),
VLOOKUP(G19,Table_ChuongTrinh[[Mã Chương trình]:[Giá trị CK]],Sheet_ChuongTrinh!$H$1,0),
VLOOKUP(G19,Table_ChuongTrinh[[Mã Chương trình]:[Tỷ lệ CK]],Sheet_ChuongTrinh!$G$1,0)
*Table_FormDonBan[[#This Row],[Số lượng]]*Table_FormDonBan[[#This Row],[Giá trước VAT]]),0)))</f>
        <v/>
      </c>
      <c r="P19" s="15" t="str">
        <f>IF(ISBLANK(Table_FormDonBan[[#This Row],[SKU]]),"",
(Table_FormDonBan[[#This Row],[Số lượng]]*Table_FormDonBan[[#This Row],[Giá trước VAT]]-Table_FormDonBan[[#This Row],[Khuyến mãi]]))</f>
        <v/>
      </c>
      <c r="Q19" s="45" t="str">
        <f>IFERROR(
VLOOKUP(Table_FormDonBan[[#This Row],[SKU]],Table_SKU[[Mã SKU]:[Tỷ suất VAT]],Sheet_SKU!$K$1,0),"")</f>
        <v/>
      </c>
      <c r="R19" s="15" t="str">
        <f>IF(
ISBLANK(Table_FormDonBan[[#This Row],[SKU]]),"",Table_FormDonBan[[#This Row],[Thành tiền]]*Table_FormDonBan[[#This Row],[Tỷ suất VAT]])</f>
        <v/>
      </c>
      <c r="S19" s="248"/>
      <c r="T19" s="242"/>
      <c r="U19" s="242"/>
      <c r="V19" s="242"/>
      <c r="W19" s="242"/>
      <c r="X19" s="242"/>
      <c r="Y19" s="248"/>
      <c r="Z19" s="242"/>
      <c r="AA19" s="242"/>
      <c r="AB19" s="242"/>
      <c r="AC19" s="242"/>
      <c r="AD19" s="248"/>
      <c r="AE19" s="248"/>
      <c r="AF19" s="248"/>
      <c r="AG19" s="248"/>
      <c r="AH19" s="242"/>
      <c r="AI19" s="242"/>
      <c r="AJ19" s="242"/>
      <c r="AK19" s="242"/>
      <c r="AL19" s="242"/>
      <c r="AM19" s="242"/>
      <c r="AN19" s="242"/>
      <c r="AO19" s="242"/>
      <c r="AP19" s="242"/>
      <c r="AQ19" s="242"/>
      <c r="AR19" s="242"/>
      <c r="AS19" s="242"/>
      <c r="AT19" s="242"/>
      <c r="AU19" s="242"/>
      <c r="AV19" s="242"/>
      <c r="AW19" s="243"/>
      <c r="AX19" s="242"/>
    </row>
    <row r="20" spans="1:50" ht="18" hidden="1" customHeight="1" outlineLevel="2" x14ac:dyDescent="0.3">
      <c r="A20" s="242"/>
      <c r="B20" s="7" t="str">
        <f>IF(Table_FormDonBan[[#This Row],[SKU]]&lt;&gt;"",COUNTIF(C$17:C20,"&lt;&gt;"""),"")</f>
        <v/>
      </c>
      <c r="C20" s="242"/>
      <c r="D20" s="7" t="str">
        <f xml:space="preserve">
IFERROR(VLOOKUP(Table_FormDonBan[[#This Row],[SKU]],Table_SKU[[Mã SKU]:[Mô tả]],Sheet_SKU!$H$1,0),"")</f>
        <v/>
      </c>
      <c r="E20" s="15"/>
      <c r="F20" s="15" t="str">
        <f>IFERROR(VLOOKUP(Table_FormDonBan[[#This Row],[SKU]],Table_SKU[[Mã SKU]:[Giá bán]],Sheet_SKU!$J$1,0),"")</f>
        <v/>
      </c>
      <c r="G20" s="244"/>
      <c r="H20" s="244">
        <f>Table_FormDonBan[[#This Row],[ĐK - Phân loại]]*Table_FormDonBan[[#This Row],[ĐK - Thời gian]]*Table_FormDonBan[[#This Row],[ĐK - Giá trị]]*Table_FormDonBan[[#This Row],[ĐK - Số lượng]]*Table_FormDonBan[[#This Row],[ĐK - Sinh nhật]]*Table_FormDonBan[[#This Row],[ĐK - Ngày mua cuối]]</f>
        <v>1</v>
      </c>
      <c r="I20" s="244">
        <f xml:space="preserve">
IF(ISBLANK(Table_FormDonBan[[#This Row],[Chương trình]]),1,
IF(VLOOKUP(Table_FormDonBan[[#This Row],[Chương trình]],Table_ChuongTrinh[[Mã Chương trình]:[Đối tượng CK]],Sheet_ChuongTrinh!$C$1,0) = "Sản phẩm",1,0))</f>
        <v>1</v>
      </c>
      <c r="J20"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0"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0"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0"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0" s="244" cm="1">
        <f t="array" ref="N20">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0" s="15" t="str">
        <f xml:space="preserve">
IF(ISBLANK(Table_FormDonBan[[#This Row],[SKU]]),"",
IF(ISBLANK(Table_FormDonBan[[#This Row],[Chương trình]]),0,
IFERROR(
IF(
ISBLANK(
VLOOKUP(G20,Table_ChuongTrinh[[Mã Chương trình]:[Tỷ lệ CK]],Sheet_ChuongTrinh!$G$1,0)),
VLOOKUP(G20,Table_ChuongTrinh[[Mã Chương trình]:[Giá trị CK]],Sheet_ChuongTrinh!$H$1,0),
VLOOKUP(G20,Table_ChuongTrinh[[Mã Chương trình]:[Tỷ lệ CK]],Sheet_ChuongTrinh!$G$1,0)
*Table_FormDonBan[[#This Row],[Số lượng]]*Table_FormDonBan[[#This Row],[Giá trước VAT]]),0)))</f>
        <v/>
      </c>
      <c r="P20" s="15" t="str">
        <f>IF(ISBLANK(Table_FormDonBan[[#This Row],[SKU]]),"",
(Table_FormDonBan[[#This Row],[Số lượng]]*Table_FormDonBan[[#This Row],[Giá trước VAT]]-Table_FormDonBan[[#This Row],[Khuyến mãi]]))</f>
        <v/>
      </c>
      <c r="Q20" s="45" t="str">
        <f>IFERROR(
VLOOKUP(Table_FormDonBan[[#This Row],[SKU]],Table_SKU[[Mã SKU]:[Tỷ suất VAT]],Sheet_SKU!$K$1,0),"")</f>
        <v/>
      </c>
      <c r="R20" s="15" t="str">
        <f>IF(
ISBLANK(Table_FormDonBan[[#This Row],[SKU]]),"",Table_FormDonBan[[#This Row],[Thành tiền]]*Table_FormDonBan[[#This Row],[Tỷ suất VAT]])</f>
        <v/>
      </c>
      <c r="S20" s="248"/>
      <c r="T20" s="242"/>
      <c r="U20" s="242"/>
      <c r="V20" s="242"/>
      <c r="W20" s="242"/>
      <c r="X20" s="242"/>
      <c r="Y20" s="248"/>
      <c r="Z20" s="242"/>
      <c r="AA20" s="242"/>
      <c r="AB20" s="242"/>
      <c r="AC20" s="242"/>
      <c r="AD20" s="248"/>
      <c r="AE20" s="248"/>
      <c r="AF20" s="248"/>
      <c r="AG20" s="248"/>
      <c r="AH20" s="242"/>
      <c r="AI20" s="242"/>
      <c r="AJ20" s="242"/>
      <c r="AK20" s="242"/>
      <c r="AL20" s="242"/>
      <c r="AM20" s="242"/>
      <c r="AN20" s="242"/>
      <c r="AO20" s="242"/>
      <c r="AP20" s="242"/>
      <c r="AQ20" s="242"/>
      <c r="AR20" s="242"/>
      <c r="AS20" s="242"/>
      <c r="AT20" s="242"/>
      <c r="AU20" s="242"/>
      <c r="AV20" s="242"/>
      <c r="AW20" s="243"/>
      <c r="AX20" s="242"/>
    </row>
    <row r="21" spans="1:50" ht="18" hidden="1" customHeight="1" outlineLevel="2" x14ac:dyDescent="0.3">
      <c r="A21" s="242"/>
      <c r="B21" s="7" t="str">
        <f>IF(Table_FormDonBan[[#This Row],[SKU]]&lt;&gt;"",COUNTIF(C$17:C21,"&lt;&gt;"""),"")</f>
        <v/>
      </c>
      <c r="C21" s="242"/>
      <c r="D21" s="7" t="str">
        <f xml:space="preserve">
IFERROR(VLOOKUP(Table_FormDonBan[[#This Row],[SKU]],Table_SKU[[Mã SKU]:[Mô tả]],Sheet_SKU!$H$1,0),"")</f>
        <v/>
      </c>
      <c r="E21" s="15"/>
      <c r="F21" s="15" t="str">
        <f>IFERROR(VLOOKUP(Table_FormDonBan[[#This Row],[SKU]],Table_SKU[[Mã SKU]:[Giá bán]],Sheet_SKU!$J$1,0),"")</f>
        <v/>
      </c>
      <c r="G21" s="244"/>
      <c r="H21" s="244">
        <f>Table_FormDonBan[[#This Row],[ĐK - Phân loại]]*Table_FormDonBan[[#This Row],[ĐK - Thời gian]]*Table_FormDonBan[[#This Row],[ĐK - Giá trị]]*Table_FormDonBan[[#This Row],[ĐK - Số lượng]]*Table_FormDonBan[[#This Row],[ĐK - Sinh nhật]]*Table_FormDonBan[[#This Row],[ĐK - Ngày mua cuối]]</f>
        <v>1</v>
      </c>
      <c r="I21" s="244">
        <f xml:space="preserve">
IF(ISBLANK(Table_FormDonBan[[#This Row],[Chương trình]]),1,
IF(VLOOKUP(Table_FormDonBan[[#This Row],[Chương trình]],Table_ChuongTrinh[[Mã Chương trình]:[Đối tượng CK]],Sheet_ChuongTrinh!$C$1,0) = "Sản phẩm",1,0))</f>
        <v>1</v>
      </c>
      <c r="J21"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1"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1"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1"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1" s="244" cm="1">
        <f t="array" ref="N2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1" s="15" t="str">
        <f xml:space="preserve">
IF(ISBLANK(Table_FormDonBan[[#This Row],[SKU]]),"",
IF(ISBLANK(Table_FormDonBan[[#This Row],[Chương trình]]),0,
IFERROR(
IF(
ISBLANK(
VLOOKUP(G21,Table_ChuongTrinh[[Mã Chương trình]:[Tỷ lệ CK]],Sheet_ChuongTrinh!$G$1,0)),
VLOOKUP(G21,Table_ChuongTrinh[[Mã Chương trình]:[Giá trị CK]],Sheet_ChuongTrinh!$H$1,0),
VLOOKUP(G21,Table_ChuongTrinh[[Mã Chương trình]:[Tỷ lệ CK]],Sheet_ChuongTrinh!$G$1,0)
*Table_FormDonBan[[#This Row],[Số lượng]]*Table_FormDonBan[[#This Row],[Giá trước VAT]]),0)))</f>
        <v/>
      </c>
      <c r="P21" s="15" t="str">
        <f>IF(ISBLANK(Table_FormDonBan[[#This Row],[SKU]]),"",
(Table_FormDonBan[[#This Row],[Số lượng]]*Table_FormDonBan[[#This Row],[Giá trước VAT]]-Table_FormDonBan[[#This Row],[Khuyến mãi]]))</f>
        <v/>
      </c>
      <c r="Q21" s="45" t="str">
        <f>IFERROR(
VLOOKUP(Table_FormDonBan[[#This Row],[SKU]],Table_SKU[[Mã SKU]:[Tỷ suất VAT]],Sheet_SKU!$K$1,0),"")</f>
        <v/>
      </c>
      <c r="R21" s="15" t="str">
        <f>IF(
ISBLANK(Table_FormDonBan[[#This Row],[SKU]]),"",Table_FormDonBan[[#This Row],[Thành tiền]]*Table_FormDonBan[[#This Row],[Tỷ suất VAT]])</f>
        <v/>
      </c>
      <c r="S21" s="248"/>
      <c r="T21" s="242"/>
      <c r="U21" s="242"/>
      <c r="V21" s="242"/>
      <c r="W21" s="242"/>
      <c r="X21" s="242"/>
      <c r="Y21" s="248"/>
      <c r="Z21" s="242"/>
      <c r="AA21" s="242"/>
      <c r="AB21" s="242"/>
      <c r="AC21" s="242"/>
      <c r="AD21" s="248"/>
      <c r="AE21" s="248"/>
      <c r="AF21" s="248"/>
      <c r="AG21" s="248"/>
      <c r="AH21" s="242"/>
      <c r="AI21" s="242"/>
      <c r="AJ21" s="242"/>
      <c r="AK21" s="242"/>
      <c r="AL21" s="242"/>
      <c r="AM21" s="242"/>
      <c r="AN21" s="242"/>
      <c r="AO21" s="242"/>
      <c r="AP21" s="242"/>
      <c r="AQ21" s="242"/>
      <c r="AR21" s="242"/>
      <c r="AS21" s="242"/>
      <c r="AT21" s="242"/>
      <c r="AU21" s="242"/>
      <c r="AV21" s="242"/>
      <c r="AW21" s="243"/>
      <c r="AX21" s="242"/>
    </row>
    <row r="22" spans="1:50" ht="18" hidden="1" customHeight="1" outlineLevel="2" x14ac:dyDescent="0.3">
      <c r="A22" s="242"/>
      <c r="B22" s="7" t="str">
        <f>IF(Table_FormDonBan[[#This Row],[SKU]]&lt;&gt;"",COUNTIF(C$17:C22,"&lt;&gt;"""),"")</f>
        <v/>
      </c>
      <c r="C22" s="242"/>
      <c r="D22" s="7" t="str">
        <f xml:space="preserve">
IFERROR(VLOOKUP(Table_FormDonBan[[#This Row],[SKU]],Table_SKU[[Mã SKU]:[Mô tả]],Sheet_SKU!$H$1,0),"")</f>
        <v/>
      </c>
      <c r="E22" s="15"/>
      <c r="F22" s="15" t="str">
        <f>IFERROR(VLOOKUP(Table_FormDonBan[[#This Row],[SKU]],Table_SKU[[Mã SKU]:[Giá bán]],Sheet_SKU!$J$1,0),"")</f>
        <v/>
      </c>
      <c r="G22" s="244"/>
      <c r="H22" s="244">
        <f>Table_FormDonBan[[#This Row],[ĐK - Phân loại]]*Table_FormDonBan[[#This Row],[ĐK - Thời gian]]*Table_FormDonBan[[#This Row],[ĐK - Giá trị]]*Table_FormDonBan[[#This Row],[ĐK - Số lượng]]*Table_FormDonBan[[#This Row],[ĐK - Sinh nhật]]*Table_FormDonBan[[#This Row],[ĐK - Ngày mua cuối]]</f>
        <v>1</v>
      </c>
      <c r="I22" s="244">
        <f xml:space="preserve">
IF(ISBLANK(Table_FormDonBan[[#This Row],[Chương trình]]),1,
IF(VLOOKUP(Table_FormDonBan[[#This Row],[Chương trình]],Table_ChuongTrinh[[Mã Chương trình]:[Đối tượng CK]],Sheet_ChuongTrinh!$C$1,0) = "Sản phẩm",1,0))</f>
        <v>1</v>
      </c>
      <c r="J22"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2"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2"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2"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2" s="244" cm="1">
        <f t="array" ref="N22">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2" s="15" t="str">
        <f xml:space="preserve">
IF(ISBLANK(Table_FormDonBan[[#This Row],[SKU]]),"",
IF(ISBLANK(Table_FormDonBan[[#This Row],[Chương trình]]),0,
IFERROR(
IF(
ISBLANK(
VLOOKUP(G22,Table_ChuongTrinh[[Mã Chương trình]:[Tỷ lệ CK]],Sheet_ChuongTrinh!$G$1,0)),
VLOOKUP(G22,Table_ChuongTrinh[[Mã Chương trình]:[Giá trị CK]],Sheet_ChuongTrinh!$H$1,0),
VLOOKUP(G22,Table_ChuongTrinh[[Mã Chương trình]:[Tỷ lệ CK]],Sheet_ChuongTrinh!$G$1,0)
*Table_FormDonBan[[#This Row],[Số lượng]]*Table_FormDonBan[[#This Row],[Giá trước VAT]]),0)))</f>
        <v/>
      </c>
      <c r="P22" s="15" t="str">
        <f>IF(ISBLANK(Table_FormDonBan[[#This Row],[SKU]]),"",
(Table_FormDonBan[[#This Row],[Số lượng]]*Table_FormDonBan[[#This Row],[Giá trước VAT]]-Table_FormDonBan[[#This Row],[Khuyến mãi]]))</f>
        <v/>
      </c>
      <c r="Q22" s="45" t="str">
        <f>IFERROR(
VLOOKUP(Table_FormDonBan[[#This Row],[SKU]],Table_SKU[[Mã SKU]:[Tỷ suất VAT]],Sheet_SKU!$K$1,0),"")</f>
        <v/>
      </c>
      <c r="R22" s="15" t="str">
        <f>IF(
ISBLANK(Table_FormDonBan[[#This Row],[SKU]]),"",Table_FormDonBan[[#This Row],[Thành tiền]]*Table_FormDonBan[[#This Row],[Tỷ suất VAT]])</f>
        <v/>
      </c>
      <c r="S22" s="248"/>
      <c r="T22" s="242"/>
      <c r="U22" s="242"/>
      <c r="V22" s="242"/>
      <c r="W22" s="242"/>
      <c r="X22" s="242"/>
      <c r="Y22" s="248"/>
      <c r="Z22" s="242"/>
      <c r="AA22" s="242"/>
      <c r="AB22" s="242"/>
      <c r="AC22" s="242"/>
      <c r="AD22" s="248"/>
      <c r="AE22" s="248"/>
      <c r="AF22" s="248"/>
      <c r="AG22" s="248"/>
      <c r="AH22" s="242"/>
      <c r="AI22" s="242"/>
      <c r="AJ22" s="242"/>
      <c r="AK22" s="242"/>
      <c r="AL22" s="242"/>
      <c r="AM22" s="242"/>
      <c r="AN22" s="242"/>
      <c r="AO22" s="242"/>
      <c r="AP22" s="242"/>
      <c r="AQ22" s="242"/>
      <c r="AR22" s="242"/>
      <c r="AS22" s="242"/>
      <c r="AT22" s="242"/>
      <c r="AU22" s="242"/>
      <c r="AV22" s="242"/>
      <c r="AW22" s="243"/>
      <c r="AX22" s="242"/>
    </row>
    <row r="23" spans="1:50" ht="18" hidden="1" customHeight="1" outlineLevel="2" x14ac:dyDescent="0.3">
      <c r="A23" s="242"/>
      <c r="B23" s="7" t="str">
        <f>IF(Table_FormDonBan[[#This Row],[SKU]]&lt;&gt;"",COUNTIF(C$17:C23,"&lt;&gt;"""),"")</f>
        <v/>
      </c>
      <c r="C23" s="242"/>
      <c r="D23" s="7" t="str">
        <f xml:space="preserve">
IFERROR(VLOOKUP(Table_FormDonBan[[#This Row],[SKU]],Table_SKU[[Mã SKU]:[Mô tả]],Sheet_SKU!$H$1,0),"")</f>
        <v/>
      </c>
      <c r="E23" s="15"/>
      <c r="F23" s="15" t="str">
        <f>IFERROR(VLOOKUP(Table_FormDonBan[[#This Row],[SKU]],Table_SKU[[Mã SKU]:[Giá bán]],Sheet_SKU!$J$1,0),"")</f>
        <v/>
      </c>
      <c r="G23" s="244"/>
      <c r="H23" s="244">
        <f>Table_FormDonBan[[#This Row],[ĐK - Phân loại]]*Table_FormDonBan[[#This Row],[ĐK - Thời gian]]*Table_FormDonBan[[#This Row],[ĐK - Giá trị]]*Table_FormDonBan[[#This Row],[ĐK - Số lượng]]*Table_FormDonBan[[#This Row],[ĐK - Sinh nhật]]*Table_FormDonBan[[#This Row],[ĐK - Ngày mua cuối]]</f>
        <v>1</v>
      </c>
      <c r="I23" s="244">
        <f xml:space="preserve">
IF(ISBLANK(Table_FormDonBan[[#This Row],[Chương trình]]),1,
IF(VLOOKUP(Table_FormDonBan[[#This Row],[Chương trình]],Table_ChuongTrinh[[Mã Chương trình]:[Đối tượng CK]],Sheet_ChuongTrinh!$C$1,0) = "Sản phẩm",1,0))</f>
        <v>1</v>
      </c>
      <c r="J23"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3"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3"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3"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3" s="244" cm="1">
        <f t="array" ref="N23">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3" s="15" t="str">
        <f xml:space="preserve">
IF(ISBLANK(Table_FormDonBan[[#This Row],[SKU]]),"",
IF(ISBLANK(Table_FormDonBan[[#This Row],[Chương trình]]),0,
IFERROR(
IF(
ISBLANK(
VLOOKUP(G23,Table_ChuongTrinh[[Mã Chương trình]:[Tỷ lệ CK]],Sheet_ChuongTrinh!$G$1,0)),
VLOOKUP(G23,Table_ChuongTrinh[[Mã Chương trình]:[Giá trị CK]],Sheet_ChuongTrinh!$H$1,0),
VLOOKUP(G23,Table_ChuongTrinh[[Mã Chương trình]:[Tỷ lệ CK]],Sheet_ChuongTrinh!$G$1,0)
*Table_FormDonBan[[#This Row],[Số lượng]]*Table_FormDonBan[[#This Row],[Giá trước VAT]]),0)))</f>
        <v/>
      </c>
      <c r="P23" s="15" t="str">
        <f>IF(ISBLANK(Table_FormDonBan[[#This Row],[SKU]]),"",
(Table_FormDonBan[[#This Row],[Số lượng]]*Table_FormDonBan[[#This Row],[Giá trước VAT]]-Table_FormDonBan[[#This Row],[Khuyến mãi]]))</f>
        <v/>
      </c>
      <c r="Q23" s="45" t="str">
        <f>IFERROR(
VLOOKUP(Table_FormDonBan[[#This Row],[SKU]],Table_SKU[[Mã SKU]:[Tỷ suất VAT]],Sheet_SKU!$K$1,0),"")</f>
        <v/>
      </c>
      <c r="R23" s="15" t="str">
        <f>IF(
ISBLANK(Table_FormDonBan[[#This Row],[SKU]]),"",Table_FormDonBan[[#This Row],[Thành tiền]]*Table_FormDonBan[[#This Row],[Tỷ suất VAT]])</f>
        <v/>
      </c>
      <c r="S23" s="248"/>
      <c r="T23" s="242"/>
      <c r="U23" s="242"/>
      <c r="V23" s="242"/>
      <c r="W23" s="242"/>
      <c r="X23" s="242"/>
      <c r="Y23" s="248"/>
      <c r="Z23" s="242"/>
      <c r="AA23" s="242"/>
      <c r="AB23" s="242"/>
      <c r="AC23" s="242"/>
      <c r="AD23" s="248"/>
      <c r="AE23" s="248"/>
      <c r="AF23" s="248"/>
      <c r="AG23" s="248"/>
      <c r="AH23" s="242"/>
      <c r="AI23" s="242"/>
      <c r="AJ23" s="242"/>
      <c r="AK23" s="242"/>
      <c r="AL23" s="242"/>
      <c r="AM23" s="242"/>
      <c r="AN23" s="242"/>
      <c r="AO23" s="242"/>
      <c r="AP23" s="242"/>
      <c r="AQ23" s="242"/>
      <c r="AR23" s="242"/>
      <c r="AS23" s="242"/>
      <c r="AT23" s="242"/>
      <c r="AU23" s="242"/>
      <c r="AV23" s="242"/>
      <c r="AW23" s="243"/>
      <c r="AX23" s="242"/>
    </row>
    <row r="24" spans="1:50" ht="18" hidden="1" customHeight="1" outlineLevel="2" x14ac:dyDescent="0.3">
      <c r="A24" s="242"/>
      <c r="B24" s="7" t="str">
        <f>IF(Table_FormDonBan[[#This Row],[SKU]]&lt;&gt;"",COUNTIF(C$17:C24,"&lt;&gt;"""),"")</f>
        <v/>
      </c>
      <c r="C24" s="242"/>
      <c r="D24" s="7" t="str">
        <f xml:space="preserve">
IFERROR(VLOOKUP(Table_FormDonBan[[#This Row],[SKU]],Table_SKU[[Mã SKU]:[Mô tả]],Sheet_SKU!$H$1,0),"")</f>
        <v/>
      </c>
      <c r="E24" s="15"/>
      <c r="F24" s="15" t="str">
        <f>IFERROR(VLOOKUP(Table_FormDonBan[[#This Row],[SKU]],Table_SKU[[Mã SKU]:[Giá bán]],Sheet_SKU!$J$1,0),"")</f>
        <v/>
      </c>
      <c r="G24" s="244"/>
      <c r="H24" s="244">
        <f>Table_FormDonBan[[#This Row],[ĐK - Phân loại]]*Table_FormDonBan[[#This Row],[ĐK - Thời gian]]*Table_FormDonBan[[#This Row],[ĐK - Giá trị]]*Table_FormDonBan[[#This Row],[ĐK - Số lượng]]*Table_FormDonBan[[#This Row],[ĐK - Sinh nhật]]*Table_FormDonBan[[#This Row],[ĐK - Ngày mua cuối]]</f>
        <v>1</v>
      </c>
      <c r="I24" s="244">
        <f xml:space="preserve">
IF(ISBLANK(Table_FormDonBan[[#This Row],[Chương trình]]),1,
IF(VLOOKUP(Table_FormDonBan[[#This Row],[Chương trình]],Table_ChuongTrinh[[Mã Chương trình]:[Đối tượng CK]],Sheet_ChuongTrinh!$C$1,0) = "Sản phẩm",1,0))</f>
        <v>1</v>
      </c>
      <c r="J24"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4"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4"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4"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4" s="244" cm="1">
        <f t="array" ref="N24">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4" s="15" t="str">
        <f xml:space="preserve">
IF(ISBLANK(Table_FormDonBan[[#This Row],[SKU]]),"",
IF(ISBLANK(Table_FormDonBan[[#This Row],[Chương trình]]),0,
IFERROR(
IF(
ISBLANK(
VLOOKUP(G24,Table_ChuongTrinh[[Mã Chương trình]:[Tỷ lệ CK]],Sheet_ChuongTrinh!$G$1,0)),
VLOOKUP(G24,Table_ChuongTrinh[[Mã Chương trình]:[Giá trị CK]],Sheet_ChuongTrinh!$H$1,0),
VLOOKUP(G24,Table_ChuongTrinh[[Mã Chương trình]:[Tỷ lệ CK]],Sheet_ChuongTrinh!$G$1,0)
*Table_FormDonBan[[#This Row],[Số lượng]]*Table_FormDonBan[[#This Row],[Giá trước VAT]]),0)))</f>
        <v/>
      </c>
      <c r="P24" s="15" t="str">
        <f>IF(ISBLANK(Table_FormDonBan[[#This Row],[SKU]]),"",
(Table_FormDonBan[[#This Row],[Số lượng]]*Table_FormDonBan[[#This Row],[Giá trước VAT]]-Table_FormDonBan[[#This Row],[Khuyến mãi]]))</f>
        <v/>
      </c>
      <c r="Q24" s="45" t="str">
        <f>IFERROR(
VLOOKUP(Table_FormDonBan[[#This Row],[SKU]],Table_SKU[[Mã SKU]:[Tỷ suất VAT]],Sheet_SKU!$K$1,0),"")</f>
        <v/>
      </c>
      <c r="R24" s="15" t="str">
        <f>IF(
ISBLANK(Table_FormDonBan[[#This Row],[SKU]]),"",Table_FormDonBan[[#This Row],[Thành tiền]]*Table_FormDonBan[[#This Row],[Tỷ suất VAT]])</f>
        <v/>
      </c>
      <c r="S24" s="248"/>
      <c r="T24" s="242"/>
      <c r="U24" s="242"/>
      <c r="V24" s="242"/>
      <c r="W24" s="242"/>
      <c r="X24" s="242"/>
      <c r="Y24" s="248"/>
      <c r="Z24" s="242"/>
      <c r="AA24" s="242"/>
      <c r="AB24" s="242"/>
      <c r="AC24" s="242"/>
      <c r="AD24" s="248"/>
      <c r="AE24" s="248"/>
      <c r="AF24" s="248"/>
      <c r="AG24" s="248"/>
      <c r="AH24" s="242"/>
      <c r="AI24" s="242"/>
      <c r="AJ24" s="242"/>
      <c r="AK24" s="242"/>
      <c r="AL24" s="242"/>
      <c r="AM24" s="242"/>
      <c r="AN24" s="242"/>
      <c r="AO24" s="242"/>
      <c r="AP24" s="242"/>
      <c r="AQ24" s="242"/>
      <c r="AR24" s="242"/>
      <c r="AS24" s="242"/>
      <c r="AT24" s="242"/>
      <c r="AU24" s="242"/>
      <c r="AV24" s="242"/>
      <c r="AW24" s="243"/>
      <c r="AX24" s="242"/>
    </row>
    <row r="25" spans="1:50" ht="18" hidden="1" customHeight="1" outlineLevel="2" x14ac:dyDescent="0.3">
      <c r="A25" s="242"/>
      <c r="B25" s="7" t="str">
        <f>IF(Table_FormDonBan[[#This Row],[SKU]]&lt;&gt;"",COUNTIF(C$17:C25,"&lt;&gt;"""),"")</f>
        <v/>
      </c>
      <c r="C25" s="242"/>
      <c r="D25" s="7" t="str">
        <f xml:space="preserve">
IFERROR(VLOOKUP(Table_FormDonBan[[#This Row],[SKU]],Table_SKU[[Mã SKU]:[Mô tả]],Sheet_SKU!$H$1,0),"")</f>
        <v/>
      </c>
      <c r="E25" s="15"/>
      <c r="F25" s="15" t="str">
        <f>IFERROR(VLOOKUP(Table_FormDonBan[[#This Row],[SKU]],Table_SKU[[Mã SKU]:[Giá bán]],Sheet_SKU!$J$1,0),"")</f>
        <v/>
      </c>
      <c r="G25" s="244"/>
      <c r="H25" s="244">
        <f>Table_FormDonBan[[#This Row],[ĐK - Phân loại]]*Table_FormDonBan[[#This Row],[ĐK - Thời gian]]*Table_FormDonBan[[#This Row],[ĐK - Giá trị]]*Table_FormDonBan[[#This Row],[ĐK - Số lượng]]*Table_FormDonBan[[#This Row],[ĐK - Sinh nhật]]*Table_FormDonBan[[#This Row],[ĐK - Ngày mua cuối]]</f>
        <v>1</v>
      </c>
      <c r="I25" s="244">
        <f xml:space="preserve">
IF(ISBLANK(Table_FormDonBan[[#This Row],[Chương trình]]),1,
IF(VLOOKUP(Table_FormDonBan[[#This Row],[Chương trình]],Table_ChuongTrinh[[Mã Chương trình]:[Đối tượng CK]],Sheet_ChuongTrinh!$C$1,0) = "Sản phẩm",1,0))</f>
        <v>1</v>
      </c>
      <c r="J25"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5"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5"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5"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5" s="244" cm="1">
        <f t="array" ref="N25">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5" s="15" t="str">
        <f xml:space="preserve">
IF(ISBLANK(Table_FormDonBan[[#This Row],[SKU]]),"",
IF(ISBLANK(Table_FormDonBan[[#This Row],[Chương trình]]),0,
IFERROR(
IF(
ISBLANK(
VLOOKUP(G25,Table_ChuongTrinh[[Mã Chương trình]:[Tỷ lệ CK]],Sheet_ChuongTrinh!$G$1,0)),
VLOOKUP(G25,Table_ChuongTrinh[[Mã Chương trình]:[Giá trị CK]],Sheet_ChuongTrinh!$H$1,0),
VLOOKUP(G25,Table_ChuongTrinh[[Mã Chương trình]:[Tỷ lệ CK]],Sheet_ChuongTrinh!$G$1,0)
*Table_FormDonBan[[#This Row],[Số lượng]]*Table_FormDonBan[[#This Row],[Giá trước VAT]]),0)))</f>
        <v/>
      </c>
      <c r="P25" s="15" t="str">
        <f>IF(ISBLANK(Table_FormDonBan[[#This Row],[SKU]]),"",
(Table_FormDonBan[[#This Row],[Số lượng]]*Table_FormDonBan[[#This Row],[Giá trước VAT]]-Table_FormDonBan[[#This Row],[Khuyến mãi]]))</f>
        <v/>
      </c>
      <c r="Q25" s="45" t="str">
        <f>IFERROR(
VLOOKUP(Table_FormDonBan[[#This Row],[SKU]],Table_SKU[[Mã SKU]:[Tỷ suất VAT]],Sheet_SKU!$K$1,0),"")</f>
        <v/>
      </c>
      <c r="R25" s="15" t="str">
        <f>IF(
ISBLANK(Table_FormDonBan[[#This Row],[SKU]]),"",Table_FormDonBan[[#This Row],[Thành tiền]]*Table_FormDonBan[[#This Row],[Tỷ suất VAT]])</f>
        <v/>
      </c>
      <c r="S25" s="248"/>
      <c r="T25" s="242"/>
      <c r="U25" s="242"/>
      <c r="V25" s="242"/>
      <c r="W25" s="242"/>
      <c r="X25" s="242"/>
      <c r="Y25" s="248"/>
      <c r="Z25" s="242"/>
      <c r="AA25" s="242"/>
      <c r="AB25" s="242"/>
      <c r="AC25" s="242"/>
      <c r="AD25" s="248"/>
      <c r="AE25" s="248"/>
      <c r="AF25" s="248"/>
      <c r="AG25" s="248"/>
      <c r="AH25" s="242"/>
      <c r="AI25" s="242"/>
      <c r="AJ25" s="242"/>
      <c r="AK25" s="242"/>
      <c r="AL25" s="242"/>
      <c r="AM25" s="242"/>
      <c r="AN25" s="242"/>
      <c r="AO25" s="242"/>
      <c r="AP25" s="242"/>
      <c r="AQ25" s="242"/>
      <c r="AR25" s="242"/>
      <c r="AS25" s="242"/>
      <c r="AT25" s="242"/>
      <c r="AU25" s="242"/>
      <c r="AV25" s="242"/>
      <c r="AW25" s="243"/>
      <c r="AX25" s="242"/>
    </row>
    <row r="26" spans="1:50" ht="18" hidden="1" customHeight="1" outlineLevel="2" x14ac:dyDescent="0.3">
      <c r="A26" s="242"/>
      <c r="B26" s="7" t="str">
        <f>IF(Table_FormDonBan[[#This Row],[SKU]]&lt;&gt;"",COUNTIF(C$17:C26,"&lt;&gt;"""),"")</f>
        <v/>
      </c>
      <c r="C26" s="242"/>
      <c r="D26" s="7" t="str">
        <f xml:space="preserve">
IFERROR(VLOOKUP(Table_FormDonBan[[#This Row],[SKU]],Table_SKU[[Mã SKU]:[Mô tả]],Sheet_SKU!$H$1,0),"")</f>
        <v/>
      </c>
      <c r="E26" s="15"/>
      <c r="F26" s="15" t="str">
        <f>IFERROR(VLOOKUP(Table_FormDonBan[[#This Row],[SKU]],Table_SKU[[Mã SKU]:[Giá bán]],Sheet_SKU!$J$1,0),"")</f>
        <v/>
      </c>
      <c r="G26" s="244"/>
      <c r="H26" s="244">
        <f>Table_FormDonBan[[#This Row],[ĐK - Phân loại]]*Table_FormDonBan[[#This Row],[ĐK - Thời gian]]*Table_FormDonBan[[#This Row],[ĐK - Giá trị]]*Table_FormDonBan[[#This Row],[ĐK - Số lượng]]*Table_FormDonBan[[#This Row],[ĐK - Sinh nhật]]*Table_FormDonBan[[#This Row],[ĐK - Ngày mua cuối]]</f>
        <v>1</v>
      </c>
      <c r="I26" s="244">
        <f xml:space="preserve">
IF(ISBLANK(Table_FormDonBan[[#This Row],[Chương trình]]),1,
IF(VLOOKUP(Table_FormDonBan[[#This Row],[Chương trình]],Table_ChuongTrinh[[Mã Chương trình]:[Đối tượng CK]],Sheet_ChuongTrinh!$C$1,0) = "Sản phẩm",1,0))</f>
        <v>1</v>
      </c>
      <c r="J26"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6"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6"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6"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6" s="244" cm="1">
        <f t="array" ref="N26">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6" s="15" t="str">
        <f xml:space="preserve">
IF(ISBLANK(Table_FormDonBan[[#This Row],[SKU]]),"",
IF(ISBLANK(Table_FormDonBan[[#This Row],[Chương trình]]),0,
IFERROR(
IF(
ISBLANK(
VLOOKUP(G26,Table_ChuongTrinh[[Mã Chương trình]:[Tỷ lệ CK]],Sheet_ChuongTrinh!$G$1,0)),
VLOOKUP(G26,Table_ChuongTrinh[[Mã Chương trình]:[Giá trị CK]],Sheet_ChuongTrinh!$H$1,0),
VLOOKUP(G26,Table_ChuongTrinh[[Mã Chương trình]:[Tỷ lệ CK]],Sheet_ChuongTrinh!$G$1,0)
*Table_FormDonBan[[#This Row],[Số lượng]]*Table_FormDonBan[[#This Row],[Giá trước VAT]]),0)))</f>
        <v/>
      </c>
      <c r="P26" s="15"/>
      <c r="Q26" s="45" t="str">
        <f>IFERROR(
VLOOKUP(Table_FormDonBan[[#This Row],[SKU]],Table_SKU[[Mã SKU]:[Tỷ suất VAT]],Sheet_SKU!$K$1,0),"")</f>
        <v/>
      </c>
      <c r="R26" s="15" t="str">
        <f>IF(
ISBLANK(Table_FormDonBan[[#This Row],[SKU]]),"",Table_FormDonBan[[#This Row],[Thành tiền]]*Table_FormDonBan[[#This Row],[Tỷ suất VAT]])</f>
        <v/>
      </c>
      <c r="S26" s="248"/>
      <c r="T26" s="242"/>
      <c r="U26" s="242"/>
      <c r="V26" s="242"/>
      <c r="W26" s="242"/>
      <c r="X26" s="242"/>
      <c r="Y26" s="248"/>
      <c r="Z26" s="242"/>
      <c r="AA26" s="242"/>
      <c r="AB26" s="242"/>
      <c r="AC26" s="242"/>
      <c r="AD26" s="248"/>
      <c r="AE26" s="248"/>
      <c r="AF26" s="248"/>
      <c r="AG26" s="248"/>
      <c r="AH26" s="242"/>
      <c r="AI26" s="242"/>
      <c r="AJ26" s="242"/>
      <c r="AK26" s="242"/>
      <c r="AL26" s="242"/>
      <c r="AM26" s="242"/>
      <c r="AN26" s="242"/>
      <c r="AO26" s="242"/>
      <c r="AP26" s="242"/>
      <c r="AQ26" s="242"/>
      <c r="AR26" s="242"/>
      <c r="AS26" s="242"/>
      <c r="AT26" s="242"/>
      <c r="AU26" s="242"/>
      <c r="AV26" s="242"/>
      <c r="AW26" s="243"/>
      <c r="AX26" s="242"/>
    </row>
    <row r="27" spans="1:50" ht="18" hidden="1" customHeight="1" outlineLevel="2" x14ac:dyDescent="0.3">
      <c r="A27" s="242"/>
      <c r="B27" s="7" t="str">
        <f>IF(Table_FormDonBan[[#This Row],[SKU]]&lt;&gt;"",COUNTIF(C$17:C27,"&lt;&gt;"""),"")</f>
        <v/>
      </c>
      <c r="C27" s="242"/>
      <c r="D27" s="7" t="str">
        <f xml:space="preserve">
IFERROR(VLOOKUP(Table_FormDonBan[[#This Row],[SKU]],Table_SKU[[Mã SKU]:[Mô tả]],Sheet_SKU!$H$1,0),"")</f>
        <v/>
      </c>
      <c r="E27" s="15"/>
      <c r="F27" s="15" t="str">
        <f>IFERROR(VLOOKUP(Table_FormDonBan[[#This Row],[SKU]],Table_SKU[[Mã SKU]:[Giá bán]],Sheet_SKU!$J$1,0),"")</f>
        <v/>
      </c>
      <c r="G27" s="244"/>
      <c r="H27" s="244">
        <f>Table_FormDonBan[[#This Row],[ĐK - Phân loại]]*Table_FormDonBan[[#This Row],[ĐK - Thời gian]]*Table_FormDonBan[[#This Row],[ĐK - Giá trị]]*Table_FormDonBan[[#This Row],[ĐK - Số lượng]]*Table_FormDonBan[[#This Row],[ĐK - Sinh nhật]]*Table_FormDonBan[[#This Row],[ĐK - Ngày mua cuối]]</f>
        <v>1</v>
      </c>
      <c r="I27" s="244">
        <f xml:space="preserve">
IF(ISBLANK(Table_FormDonBan[[#This Row],[Chương trình]]),1,
IF(VLOOKUP(Table_FormDonBan[[#This Row],[Chương trình]],Table_ChuongTrinh[[Mã Chương trình]:[Đối tượng CK]],Sheet_ChuongTrinh!$C$1,0) = "Sản phẩm",1,0))</f>
        <v>1</v>
      </c>
      <c r="J2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7" s="244" cm="1">
        <f t="array" ref="N2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7" s="15" t="str">
        <f xml:space="preserve">
IF(ISBLANK(Table_FormDonBan[[#This Row],[SKU]]),"",
IF(ISBLANK(Table_FormDonBan[[#This Row],[Chương trình]]),0,
IFERROR(
IF(
ISBLANK(
VLOOKUP(G27,Table_ChuongTrinh[[Mã Chương trình]:[Tỷ lệ CK]],Sheet_ChuongTrinh!$G$1,0)),
VLOOKUP(G27,Table_ChuongTrinh[[Mã Chương trình]:[Giá trị CK]],Sheet_ChuongTrinh!$H$1,0),
VLOOKUP(G27,Table_ChuongTrinh[[Mã Chương trình]:[Tỷ lệ CK]],Sheet_ChuongTrinh!$G$1,0)
*Table_FormDonBan[[#This Row],[Số lượng]]*Table_FormDonBan[[#This Row],[Giá trước VAT]]),0)))</f>
        <v/>
      </c>
      <c r="P27" s="15" t="str">
        <f>IF(ISBLANK(Table_FormDonBan[[#This Row],[SKU]]),"",
(Table_FormDonBan[[#This Row],[Số lượng]]*Table_FormDonBan[[#This Row],[Giá trước VAT]]-Table_FormDonBan[[#This Row],[Khuyến mãi]]))</f>
        <v/>
      </c>
      <c r="Q27" s="45" t="str">
        <f>IFERROR(
VLOOKUP(Table_FormDonBan[[#This Row],[SKU]],Table_SKU[[Mã SKU]:[Tỷ suất VAT]],Sheet_SKU!$K$1,0),"")</f>
        <v/>
      </c>
      <c r="R27" s="15" t="str">
        <f>IF(
ISBLANK(Table_FormDonBan[[#This Row],[SKU]]),"",Table_FormDonBan[[#This Row],[Thành tiền]]*Table_FormDonBan[[#This Row],[Tỷ suất VAT]])</f>
        <v/>
      </c>
      <c r="S27" s="248"/>
      <c r="T27" s="242"/>
      <c r="U27" s="242"/>
      <c r="V27" s="242"/>
      <c r="W27" s="242"/>
      <c r="X27" s="242"/>
      <c r="Y27" s="248"/>
      <c r="Z27" s="242"/>
      <c r="AA27" s="242"/>
      <c r="AB27" s="242"/>
      <c r="AC27" s="242"/>
      <c r="AD27" s="248"/>
      <c r="AE27" s="248"/>
      <c r="AF27" s="248"/>
      <c r="AG27" s="248"/>
      <c r="AH27" s="242"/>
      <c r="AI27" s="242"/>
      <c r="AJ27" s="242"/>
      <c r="AK27" s="242"/>
      <c r="AL27" s="242"/>
      <c r="AM27" s="242"/>
      <c r="AN27" s="242"/>
      <c r="AO27" s="242"/>
      <c r="AP27" s="242"/>
      <c r="AQ27" s="242"/>
      <c r="AR27" s="242"/>
      <c r="AS27" s="242"/>
      <c r="AT27" s="242"/>
      <c r="AU27" s="242"/>
      <c r="AV27" s="242"/>
      <c r="AW27" s="243"/>
      <c r="AX27" s="242"/>
    </row>
    <row r="28" spans="1:50" ht="18" hidden="1" customHeight="1" outlineLevel="2" x14ac:dyDescent="0.3">
      <c r="A28" s="242"/>
      <c r="B28" s="7" t="str">
        <f>IF(Table_FormDonBan[[#This Row],[SKU]]&lt;&gt;"",COUNTIF(C$17:C28,"&lt;&gt;"""),"")</f>
        <v/>
      </c>
      <c r="C28" s="242"/>
      <c r="D28" s="7" t="str">
        <f xml:space="preserve">
IFERROR(VLOOKUP(Table_FormDonBan[[#This Row],[SKU]],Table_SKU[[Mã SKU]:[Mô tả]],Sheet_SKU!$H$1,0),"")</f>
        <v/>
      </c>
      <c r="E28" s="15"/>
      <c r="F28" s="15" t="str">
        <f>IFERROR(VLOOKUP(Table_FormDonBan[[#This Row],[SKU]],Table_SKU[[Mã SKU]:[Giá bán]],Sheet_SKU!$J$1,0),"")</f>
        <v/>
      </c>
      <c r="G28" s="244"/>
      <c r="H28" s="244">
        <f>Table_FormDonBan[[#This Row],[ĐK - Phân loại]]*Table_FormDonBan[[#This Row],[ĐK - Thời gian]]*Table_FormDonBan[[#This Row],[ĐK - Giá trị]]*Table_FormDonBan[[#This Row],[ĐK - Số lượng]]*Table_FormDonBan[[#This Row],[ĐK - Sinh nhật]]*Table_FormDonBan[[#This Row],[ĐK - Ngày mua cuối]]</f>
        <v>1</v>
      </c>
      <c r="I28" s="244">
        <f xml:space="preserve">
IF(ISBLANK(Table_FormDonBan[[#This Row],[Chương trình]]),1,
IF(VLOOKUP(Table_FormDonBan[[#This Row],[Chương trình]],Table_ChuongTrinh[[Mã Chương trình]:[Đối tượng CK]],Sheet_ChuongTrinh!$C$1,0) = "Sản phẩm",1,0))</f>
        <v>1</v>
      </c>
      <c r="J2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8" s="244" cm="1">
        <f t="array" ref="N2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8" s="15" t="str">
        <f xml:space="preserve">
IF(ISBLANK(Table_FormDonBan[[#This Row],[SKU]]),"",
IF(ISBLANK(Table_FormDonBan[[#This Row],[Chương trình]]),0,
IFERROR(
IF(
ISBLANK(
VLOOKUP(G28,Table_ChuongTrinh[[Mã Chương trình]:[Tỷ lệ CK]],Sheet_ChuongTrinh!$G$1,0)),
VLOOKUP(G28,Table_ChuongTrinh[[Mã Chương trình]:[Giá trị CK]],Sheet_ChuongTrinh!$H$1,0),
VLOOKUP(G28,Table_ChuongTrinh[[Mã Chương trình]:[Tỷ lệ CK]],Sheet_ChuongTrinh!$G$1,0)
*Table_FormDonBan[[#This Row],[Số lượng]]*Table_FormDonBan[[#This Row],[Giá trước VAT]]),0)))</f>
        <v/>
      </c>
      <c r="P28" s="15" t="str">
        <f>IF(ISBLANK(Table_FormDonBan[[#This Row],[SKU]]),"",
(Table_FormDonBan[[#This Row],[Số lượng]]*Table_FormDonBan[[#This Row],[Giá trước VAT]]-Table_FormDonBan[[#This Row],[Khuyến mãi]]))</f>
        <v/>
      </c>
      <c r="Q28" s="45" t="str">
        <f>IFERROR(
VLOOKUP(Table_FormDonBan[[#This Row],[SKU]],Table_SKU[[Mã SKU]:[Tỷ suất VAT]],Sheet_SKU!$K$1,0),"")</f>
        <v/>
      </c>
      <c r="R28" s="15" t="str">
        <f>IF(
ISBLANK(Table_FormDonBan[[#This Row],[SKU]]),"",Table_FormDonBan[[#This Row],[Thành tiền]]*Table_FormDonBan[[#This Row],[Tỷ suất VAT]])</f>
        <v/>
      </c>
      <c r="S28" s="248"/>
      <c r="T28" s="242"/>
      <c r="U28" s="242"/>
      <c r="V28" s="242"/>
      <c r="W28" s="242"/>
      <c r="X28" s="242"/>
      <c r="Y28" s="248"/>
      <c r="Z28" s="242"/>
      <c r="AA28" s="242"/>
      <c r="AB28" s="242"/>
      <c r="AC28" s="242"/>
      <c r="AD28" s="248"/>
      <c r="AE28" s="248"/>
      <c r="AF28" s="248"/>
      <c r="AG28" s="248"/>
      <c r="AH28" s="242"/>
      <c r="AI28" s="242"/>
      <c r="AJ28" s="242"/>
      <c r="AK28" s="242"/>
      <c r="AL28" s="242"/>
      <c r="AM28" s="242"/>
      <c r="AN28" s="242"/>
      <c r="AO28" s="242"/>
      <c r="AP28" s="242"/>
      <c r="AQ28" s="242"/>
      <c r="AR28" s="242"/>
      <c r="AS28" s="242"/>
      <c r="AT28" s="242"/>
      <c r="AU28" s="242"/>
      <c r="AV28" s="242"/>
      <c r="AW28" s="243"/>
      <c r="AX28" s="242"/>
    </row>
    <row r="29" spans="1:50" ht="18" hidden="1" customHeight="1" outlineLevel="2" x14ac:dyDescent="0.3">
      <c r="A29" s="242"/>
      <c r="B29" s="276"/>
      <c r="C29" s="276"/>
      <c r="D29" s="276"/>
      <c r="E29" s="276"/>
      <c r="F29" s="276"/>
      <c r="G29" s="276"/>
      <c r="H29" s="276"/>
      <c r="I29" s="276"/>
      <c r="J29" s="276"/>
      <c r="K29" s="276"/>
      <c r="L29" s="276"/>
      <c r="M29" s="276"/>
      <c r="N29" s="276"/>
      <c r="O29" s="276"/>
      <c r="P29" s="297"/>
      <c r="Q29" s="276"/>
      <c r="R29" s="276"/>
      <c r="S29" s="275"/>
      <c r="T29" s="248"/>
      <c r="U29" s="248"/>
      <c r="V29" s="242"/>
      <c r="W29" s="242"/>
      <c r="X29" s="242"/>
      <c r="Y29" s="242"/>
      <c r="Z29" s="248"/>
      <c r="AA29" s="242"/>
      <c r="AB29" s="242"/>
      <c r="AC29" s="242"/>
      <c r="AD29" s="242"/>
      <c r="AE29" s="248"/>
      <c r="AF29" s="248"/>
      <c r="AG29" s="248"/>
      <c r="AH29" s="248"/>
      <c r="AI29" s="248"/>
      <c r="AJ29" s="242"/>
      <c r="AK29" s="242"/>
      <c r="AL29" s="242"/>
      <c r="AM29" s="242"/>
      <c r="AN29" s="242"/>
      <c r="AO29" s="242"/>
      <c r="AP29" s="242"/>
      <c r="AQ29" s="242"/>
      <c r="AR29" s="242"/>
      <c r="AS29" s="242"/>
      <c r="AT29" s="242"/>
      <c r="AU29" s="242"/>
      <c r="AV29" s="242"/>
      <c r="AW29" s="242"/>
      <c r="AX29" s="243"/>
    </row>
    <row r="30" spans="1:50" ht="18" hidden="1" customHeight="1" outlineLevel="1" x14ac:dyDescent="0.3">
      <c r="A30" s="242"/>
      <c r="B30" s="61" t="s">
        <v>544</v>
      </c>
      <c r="C30" s="287"/>
      <c r="D30" s="287"/>
      <c r="E30" s="288"/>
      <c r="F30" s="94" t="s">
        <v>734</v>
      </c>
      <c r="G30" s="276"/>
      <c r="H30" s="276"/>
      <c r="I30" s="276"/>
      <c r="J30" s="276"/>
      <c r="K30" s="276"/>
      <c r="L30" s="276"/>
      <c r="M30" s="276"/>
      <c r="N30" s="276"/>
      <c r="O30" s="276"/>
      <c r="P30" s="581" cm="1">
        <f t="array" ref="P30">IFERROR(
SUM(_xlfn._xlws.FILTER(Table_FormDonBan[Thành tiền],
(NOT(ISBLANK(Table_FormDonBan[SKU])))
)),0)</f>
        <v>0</v>
      </c>
      <c r="Q30" s="581"/>
      <c r="R30" s="276"/>
      <c r="S30" s="275"/>
      <c r="T30" s="248"/>
      <c r="U30" s="248"/>
      <c r="V30" s="242"/>
      <c r="W30" s="242"/>
      <c r="X30" s="242"/>
      <c r="Y30" s="242"/>
      <c r="Z30" s="248"/>
      <c r="AA30" s="242"/>
      <c r="AB30" s="242"/>
      <c r="AC30" s="242"/>
      <c r="AD30" s="242"/>
      <c r="AE30" s="248"/>
      <c r="AF30" s="248"/>
      <c r="AG30" s="248"/>
      <c r="AH30" s="248"/>
      <c r="AI30" s="248"/>
      <c r="AJ30" s="242"/>
      <c r="AK30" s="242"/>
      <c r="AL30" s="242"/>
      <c r="AM30" s="242"/>
      <c r="AN30" s="242"/>
      <c r="AO30" s="242"/>
      <c r="AP30" s="242"/>
      <c r="AQ30" s="242"/>
      <c r="AR30" s="242"/>
      <c r="AS30" s="242"/>
      <c r="AT30" s="242"/>
      <c r="AU30" s="242"/>
      <c r="AV30" s="242"/>
      <c r="AW30" s="242"/>
      <c r="AX30" s="243"/>
    </row>
    <row r="31" spans="1:50" ht="18" hidden="1" customHeight="1" outlineLevel="2" x14ac:dyDescent="0.3">
      <c r="A31" s="242"/>
      <c r="B31" s="430"/>
      <c r="C31" s="276"/>
      <c r="D31" s="276"/>
      <c r="E31" s="291"/>
      <c r="F31" s="94" t="s">
        <v>925</v>
      </c>
      <c r="G31" s="276"/>
      <c r="H31" s="276"/>
      <c r="I31" s="276"/>
      <c r="J31" s="276"/>
      <c r="K31" s="276"/>
      <c r="L31" s="276"/>
      <c r="M31" s="276"/>
      <c r="N31" s="276"/>
      <c r="O31" s="276"/>
      <c r="P31" s="583" cm="1">
        <f t="array" ref="P31"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Q31" s="583"/>
      <c r="R31" s="276"/>
      <c r="S31" s="275"/>
      <c r="T31" s="248"/>
      <c r="U31" s="248"/>
      <c r="V31" s="242"/>
      <c r="W31" s="242"/>
      <c r="X31" s="242"/>
      <c r="Y31" s="242"/>
      <c r="Z31" s="248"/>
      <c r="AA31" s="242"/>
      <c r="AB31" s="242"/>
      <c r="AC31" s="242"/>
      <c r="AD31" s="242"/>
      <c r="AE31" s="248"/>
      <c r="AF31" s="248"/>
      <c r="AG31" s="248"/>
      <c r="AH31" s="248"/>
      <c r="AI31" s="248"/>
      <c r="AJ31" s="242"/>
      <c r="AK31" s="242"/>
      <c r="AL31" s="242"/>
      <c r="AM31" s="242"/>
      <c r="AN31" s="242"/>
      <c r="AO31" s="242"/>
      <c r="AP31" s="242"/>
      <c r="AQ31" s="242"/>
      <c r="AR31" s="242"/>
      <c r="AS31" s="242"/>
      <c r="AT31" s="242"/>
      <c r="AU31" s="242"/>
      <c r="AV31" s="242"/>
      <c r="AW31" s="242"/>
      <c r="AX31" s="243"/>
    </row>
    <row r="32" spans="1:50" ht="18" hidden="1" customHeight="1" outlineLevel="2" x14ac:dyDescent="0.3">
      <c r="A32" s="242"/>
      <c r="B32" s="430"/>
      <c r="C32" s="276"/>
      <c r="D32" s="276"/>
      <c r="E32" s="291"/>
      <c r="F32" s="94" t="s">
        <v>926</v>
      </c>
      <c r="G32" s="276"/>
      <c r="H32" s="276"/>
      <c r="I32" s="276"/>
      <c r="J32" s="276"/>
      <c r="K32" s="276"/>
      <c r="L32" s="276"/>
      <c r="M32" s="276"/>
      <c r="N32" s="276"/>
      <c r="O32" s="276"/>
      <c r="P32" s="584"/>
      <c r="Q32" s="584"/>
      <c r="R32" s="276"/>
      <c r="S32" s="275"/>
      <c r="T32" s="248"/>
      <c r="U32" s="248"/>
      <c r="V32" s="242"/>
      <c r="W32" s="242"/>
      <c r="X32" s="242"/>
      <c r="Y32" s="242"/>
      <c r="Z32" s="248"/>
      <c r="AA32" s="242"/>
      <c r="AB32" s="242"/>
      <c r="AC32" s="242"/>
      <c r="AD32" s="242"/>
      <c r="AE32" s="248"/>
      <c r="AF32" s="248"/>
      <c r="AG32" s="248"/>
      <c r="AH32" s="248"/>
      <c r="AI32" s="248"/>
      <c r="AJ32" s="242"/>
      <c r="AK32" s="242"/>
      <c r="AL32" s="242"/>
      <c r="AM32" s="242"/>
      <c r="AN32" s="242"/>
      <c r="AO32" s="242"/>
      <c r="AP32" s="242"/>
      <c r="AQ32" s="242"/>
      <c r="AR32" s="242"/>
      <c r="AS32" s="242"/>
      <c r="AT32" s="242"/>
      <c r="AU32" s="242"/>
      <c r="AV32" s="242"/>
      <c r="AW32" s="242"/>
      <c r="AX32" s="243"/>
    </row>
    <row r="33" spans="1:50" ht="18" hidden="1" customHeight="1" outlineLevel="2" x14ac:dyDescent="0.3">
      <c r="A33" s="242"/>
      <c r="B33" s="290"/>
      <c r="C33" s="276"/>
      <c r="D33" s="276"/>
      <c r="E33" s="291"/>
      <c r="F33" s="94" t="s">
        <v>237</v>
      </c>
      <c r="G33" s="276"/>
      <c r="H33" s="276">
        <f>I33*J33*K33*L33*M33*N33</f>
        <v>1</v>
      </c>
      <c r="I33" s="276">
        <f xml:space="preserve">
IF(ISBLANK(P33),1,
IF(VLOOKUP(P33,Table_ChuongTrinh[[Mã Chương trình]:[Đối tượng CK]],Sheet_ChuongTrinh!$C$1,0) = "Đơn hàng",1,0))</f>
        <v>1</v>
      </c>
      <c r="J33" s="276">
        <f>IF(ISBLANK(P33),
1,
IF(ISBLANK(VLOOKUP(P33,Table_ChuongTrinh[],Sheet_ChuongTrinh!$E$1,0)),
1,
IF($P$5&gt;= VLOOKUP(P33,Table_ChuongTrinh[],Sheet_ChuongTrinh!$E$1,0),1,
0)))
*IF(ISBLANK(P33),
1,
IF(ISBLANK(VLOOKUP(P33,Table_ChuongTrinh[],Sheet_ChuongTrinh!$F$1,0)),
1,
IF($P$5&lt; VLOOKUP(P33,Table_ChuongTrinh[],Sheet_ChuongTrinh!$F$1,0),
1,
0)))</f>
        <v>1</v>
      </c>
      <c r="K33" s="276">
        <f>IF(ISBLANK(P33),
1,
IF(ISBLANK(VLOOKUP(P33,Table_ChuongTrinh[],Sheet_ChuongTrinh!$J$1,0)),
1,
IF(P30&gt;= VLOOKUP(P33,Table_ChuongTrinh[],Sheet_ChuongTrinh!$J$1,0),
1,
0)))</f>
        <v>1</v>
      </c>
      <c r="L33" s="276">
        <f>IF(ISBLANK(P33),
1,
IF(ISBLANK(VLOOKUP(P33,Table_ChuongTrinh[],Sheet_ChuongTrinh!$I$1,0)),
1,
IF(COUNTIF(Table_DonBan[Chương trình],P33)+1
&lt;= VLOOKUP(P33,Table_ChuongTrinh[],Sheet_ChuongTrinh!$I$1,0),
1,
0)))</f>
        <v>1</v>
      </c>
      <c r="M33" s="276">
        <f>IF(ISBLANK( $P$33), 1,
IF(ISBLANK(VLOOKUP( $P$33,Table_ChuongTrinh[],COUNTA(Table_ChuongTrinh[[#Headers],[Mã Chương trình]:[Sinh nhật]]),0)), 1,
IF(VLOOKUP( $P$33,Table_ChuongTrinh[],COUNTA(Table_ChuongTrinh[[#Headers],[Mã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33" s="276" cm="1">
        <f t="array" ref="N33">IF(ISBLANK($P$33 ), 1,
IF(ISBLANK(VLOOKUP($P$33,Table_ChuongTrinh[],COUNTA(Table_ChuongTrinh[[#Headers],[Mã Chương trình]:[Ngày mua cuối]]),0)), 1,
IF(VLOOKUP($P$33,Table_ChuongTrinh[],COUNTA(Table_ChuongTrinh[[#Headers],[Mã Chương trình]:[Ngày mua cuối]]),0)&lt;=
IFERROR($P$5   -
MAX(_xlfn._xlws.FILTER(Table_DonBan[Ngày lập],
(Table_DonBan[Mã Khách] = $C$3)*
(Table_DonBan[Ngày lập] &lt;= $P$5)
)),0),1,0)))</f>
        <v>1</v>
      </c>
      <c r="O33" s="276"/>
      <c r="P33" s="582"/>
      <c r="Q33" s="582"/>
      <c r="R33" s="276"/>
      <c r="S33" s="275"/>
      <c r="T33" s="248"/>
      <c r="U33" s="248"/>
      <c r="V33" s="242"/>
      <c r="W33" s="242"/>
      <c r="X33" s="242"/>
      <c r="Y33" s="242"/>
      <c r="Z33" s="248"/>
      <c r="AA33" s="242"/>
      <c r="AB33" s="242"/>
      <c r="AC33" s="242"/>
      <c r="AD33" s="242"/>
      <c r="AE33" s="248"/>
      <c r="AF33" s="248"/>
      <c r="AG33" s="248"/>
      <c r="AH33" s="248"/>
      <c r="AI33" s="248"/>
      <c r="AJ33" s="242"/>
      <c r="AK33" s="242"/>
      <c r="AL33" s="242"/>
      <c r="AM33" s="242"/>
      <c r="AN33" s="242"/>
      <c r="AO33" s="242"/>
      <c r="AP33" s="242"/>
      <c r="AQ33" s="242"/>
      <c r="AR33" s="242"/>
      <c r="AS33" s="242"/>
      <c r="AT33" s="242"/>
      <c r="AU33" s="242"/>
      <c r="AV33" s="242"/>
      <c r="AW33" s="242"/>
      <c r="AX33" s="243"/>
    </row>
    <row r="34" spans="1:50" ht="18" hidden="1" customHeight="1" outlineLevel="1" x14ac:dyDescent="0.3">
      <c r="A34" s="242"/>
      <c r="B34" s="290"/>
      <c r="C34" s="276"/>
      <c r="D34" s="276"/>
      <c r="E34" s="291"/>
      <c r="F34" s="94" t="s">
        <v>735</v>
      </c>
      <c r="G34" s="276"/>
      <c r="H34" s="276"/>
      <c r="I34" s="276"/>
      <c r="J34" s="276"/>
      <c r="K34" s="276"/>
      <c r="L34" s="276"/>
      <c r="M34" s="276"/>
      <c r="N34" s="276"/>
      <c r="O34" s="276"/>
      <c r="P34" s="583">
        <f xml:space="preserve">
IF(ISBLANK(P33),0,
IFERROR(
IF(
ISBLANK(
VLOOKUP(P33,Table_ChuongTrinh[[Mã Chương trình]:[Tỷ lệ CK]],Sheet_ChuongTrinh!$G$1,0)),
VLOOKUP(P33,Table_ChuongTrinh[[Mã Chương trình]:[Giá trị CK]],Sheet_ChuongTrinh!$H$1,0),
VLOOKUP(P33,Table_ChuongTrinh[[Mã Chương trình]:[Tỷ lệ CK]],Sheet_ChuongTrinh!$G$1,0)
*P30),0))+P31</f>
        <v>0</v>
      </c>
      <c r="Q34" s="583"/>
      <c r="R34" s="276"/>
      <c r="S34" s="275"/>
      <c r="T34" s="248"/>
      <c r="U34" s="248"/>
      <c r="V34" s="242"/>
      <c r="W34" s="242"/>
      <c r="X34" s="242"/>
      <c r="Y34" s="242"/>
      <c r="Z34" s="248"/>
      <c r="AA34" s="242"/>
      <c r="AB34" s="242"/>
      <c r="AC34" s="242"/>
      <c r="AD34" s="242"/>
      <c r="AE34" s="248"/>
      <c r="AF34" s="248"/>
      <c r="AG34" s="248"/>
      <c r="AH34" s="248"/>
      <c r="AI34" s="248"/>
      <c r="AJ34" s="242"/>
      <c r="AK34" s="242"/>
      <c r="AL34" s="242"/>
      <c r="AM34" s="242"/>
      <c r="AN34" s="242"/>
      <c r="AO34" s="242"/>
      <c r="AP34" s="242"/>
      <c r="AQ34" s="242"/>
      <c r="AR34" s="242"/>
      <c r="AS34" s="242"/>
      <c r="AT34" s="242"/>
      <c r="AU34" s="242"/>
      <c r="AV34" s="242"/>
      <c r="AW34" s="242"/>
      <c r="AX34" s="243"/>
    </row>
    <row r="35" spans="1:50" ht="18" hidden="1" customHeight="1" outlineLevel="1" x14ac:dyDescent="0.3">
      <c r="A35" s="242"/>
      <c r="B35" s="290"/>
      <c r="C35" s="276"/>
      <c r="D35" s="276"/>
      <c r="E35" s="291"/>
      <c r="F35" s="94" t="s">
        <v>736</v>
      </c>
      <c r="G35" s="276"/>
      <c r="H35" s="276"/>
      <c r="I35" s="276"/>
      <c r="J35" s="276"/>
      <c r="K35" s="276"/>
      <c r="L35" s="276"/>
      <c r="M35" s="276"/>
      <c r="N35" s="276"/>
      <c r="O35" s="276"/>
      <c r="P35" s="583" cm="1">
        <f t="array" ref="P35" xml:space="preserve">
IFERROR(
IFERROR(
SUM(_xlfn._xlws.FILTER(Table_FormDonBan[VAT],
(NOT(ISBLANK(Table_FormDonBan[SKU])))
)),0)
-P34*
IFERROR(
SUM(_xlfn._xlws.FILTER(Table_FormDonBan[VAT],
(NOT(ISBLANK(Table_FormDonBan[SKU])))
)),0)/P30,0)</f>
        <v>0</v>
      </c>
      <c r="Q35" s="583"/>
      <c r="R35" s="242"/>
      <c r="S35" s="275"/>
      <c r="T35" s="248"/>
      <c r="U35" s="248"/>
      <c r="V35" s="242"/>
      <c r="W35" s="242"/>
      <c r="X35" s="242"/>
      <c r="Y35" s="242"/>
      <c r="Z35" s="248"/>
      <c r="AA35" s="242"/>
      <c r="AB35" s="242"/>
      <c r="AC35" s="242"/>
      <c r="AD35" s="242"/>
      <c r="AE35" s="248"/>
      <c r="AF35" s="248"/>
      <c r="AG35" s="248"/>
      <c r="AH35" s="248"/>
      <c r="AI35" s="248"/>
      <c r="AJ35" s="242"/>
      <c r="AK35" s="242"/>
      <c r="AL35" s="242"/>
      <c r="AM35" s="242"/>
      <c r="AN35" s="242"/>
      <c r="AO35" s="242"/>
      <c r="AP35" s="242"/>
      <c r="AQ35" s="242"/>
      <c r="AR35" s="242"/>
      <c r="AS35" s="242"/>
      <c r="AT35" s="242"/>
      <c r="AU35" s="242"/>
      <c r="AV35" s="242"/>
      <c r="AW35" s="242"/>
      <c r="AX35" s="243"/>
    </row>
    <row r="36" spans="1:50" ht="18" hidden="1" customHeight="1" outlineLevel="1" x14ac:dyDescent="0.3">
      <c r="A36" s="242"/>
      <c r="B36" s="292"/>
      <c r="C36" s="293"/>
      <c r="D36" s="293"/>
      <c r="E36" s="294"/>
      <c r="F36" s="579" t="s">
        <v>737</v>
      </c>
      <c r="G36" s="580"/>
      <c r="H36" s="580"/>
      <c r="I36" s="580"/>
      <c r="J36" s="580"/>
      <c r="K36" s="580"/>
      <c r="L36" s="580"/>
      <c r="M36" s="580"/>
      <c r="N36" s="580"/>
      <c r="O36" s="580"/>
      <c r="P36" s="578">
        <f>+P30-P34+P35</f>
        <v>0</v>
      </c>
      <c r="Q36" s="578"/>
      <c r="R36" s="295"/>
      <c r="S36" s="275"/>
      <c r="T36" s="248"/>
      <c r="U36" s="248"/>
      <c r="V36" s="242"/>
      <c r="W36" s="242"/>
      <c r="X36" s="242"/>
      <c r="Y36" s="242"/>
      <c r="Z36" s="248"/>
      <c r="AA36" s="242"/>
      <c r="AB36" s="242"/>
      <c r="AC36" s="242"/>
      <c r="AD36" s="242"/>
      <c r="AE36" s="248"/>
      <c r="AF36" s="248"/>
      <c r="AG36" s="248"/>
      <c r="AH36" s="248"/>
      <c r="AI36" s="248"/>
      <c r="AJ36" s="242"/>
      <c r="AK36" s="242"/>
      <c r="AL36" s="242"/>
      <c r="AM36" s="242"/>
      <c r="AN36" s="242"/>
      <c r="AO36" s="242"/>
      <c r="AP36" s="242"/>
      <c r="AQ36" s="242"/>
      <c r="AR36" s="242"/>
      <c r="AS36" s="242"/>
      <c r="AT36" s="242"/>
      <c r="AU36" s="242"/>
      <c r="AV36" s="242"/>
      <c r="AW36" s="242"/>
      <c r="AX36" s="243"/>
    </row>
    <row r="37" spans="1:50" ht="18" hidden="1" customHeight="1" outlineLevel="1" x14ac:dyDescent="0.3">
      <c r="A37" s="242"/>
      <c r="B37" s="276"/>
      <c r="C37" s="276"/>
      <c r="D37" s="276"/>
      <c r="E37" s="276"/>
      <c r="F37" s="276"/>
      <c r="G37" s="276"/>
      <c r="H37" s="276"/>
      <c r="I37" s="276"/>
      <c r="J37" s="276"/>
      <c r="K37" s="276"/>
      <c r="L37" s="276"/>
      <c r="M37" s="276"/>
      <c r="N37" s="276"/>
      <c r="O37" s="276"/>
      <c r="P37" s="297"/>
      <c r="Q37" s="276"/>
      <c r="R37" s="276"/>
      <c r="S37" s="275"/>
      <c r="T37" s="248"/>
      <c r="U37" s="248"/>
      <c r="V37" s="242"/>
      <c r="W37" s="242"/>
      <c r="X37" s="242"/>
      <c r="Y37" s="242"/>
      <c r="Z37" s="248"/>
      <c r="AA37" s="242"/>
      <c r="AB37" s="242"/>
      <c r="AC37" s="242"/>
      <c r="AD37" s="242"/>
      <c r="AE37" s="248"/>
      <c r="AF37" s="248"/>
      <c r="AG37" s="248"/>
      <c r="AH37" s="248"/>
      <c r="AI37" s="248"/>
      <c r="AJ37" s="242"/>
      <c r="AK37" s="242"/>
      <c r="AL37" s="242"/>
      <c r="AM37" s="242"/>
      <c r="AN37" s="242"/>
      <c r="AO37" s="242"/>
      <c r="AP37" s="242"/>
      <c r="AQ37" s="242"/>
      <c r="AR37" s="242"/>
      <c r="AS37" s="242"/>
      <c r="AT37" s="242"/>
      <c r="AU37" s="242"/>
      <c r="AV37" s="242"/>
      <c r="AW37" s="242"/>
      <c r="AX37" s="243"/>
    </row>
    <row r="38" spans="1:50" ht="18" hidden="1" customHeight="1" outlineLevel="1" x14ac:dyDescent="0.3">
      <c r="A38" s="242"/>
      <c r="B38" s="276"/>
      <c r="C38" s="276"/>
      <c r="D38" s="276"/>
      <c r="E38" s="276"/>
      <c r="F38" s="242"/>
      <c r="G38" s="311"/>
      <c r="H38" s="311"/>
      <c r="I38" s="311"/>
      <c r="J38" s="311"/>
      <c r="K38" s="311"/>
      <c r="L38" s="311"/>
      <c r="M38" s="311"/>
      <c r="N38" s="311"/>
      <c r="O38" s="566" t="str">
        <f>B1</f>
        <v>Công ty ABC XYZ</v>
      </c>
      <c r="P38" s="567"/>
      <c r="Q38" s="567"/>
      <c r="R38" s="311"/>
      <c r="S38" s="275"/>
      <c r="T38" s="248"/>
      <c r="U38" s="248"/>
      <c r="V38" s="242"/>
      <c r="W38" s="242"/>
      <c r="X38" s="242"/>
      <c r="Y38" s="242"/>
      <c r="Z38" s="248"/>
      <c r="AA38" s="242"/>
      <c r="AB38" s="242"/>
      <c r="AC38" s="242"/>
      <c r="AD38" s="242"/>
      <c r="AE38" s="248"/>
      <c r="AF38" s="248"/>
      <c r="AG38" s="248"/>
      <c r="AH38" s="248"/>
      <c r="AI38" s="248"/>
      <c r="AJ38" s="242"/>
      <c r="AK38" s="242"/>
      <c r="AL38" s="242"/>
      <c r="AM38" s="242"/>
      <c r="AN38" s="242"/>
      <c r="AO38" s="242"/>
      <c r="AP38" s="242"/>
      <c r="AQ38" s="242"/>
      <c r="AR38" s="242"/>
      <c r="AS38" s="242"/>
      <c r="AT38" s="242"/>
      <c r="AU38" s="242"/>
      <c r="AV38" s="242"/>
      <c r="AW38" s="242"/>
      <c r="AX38" s="243"/>
    </row>
    <row r="39" spans="1:50" ht="18" hidden="1" customHeight="1" outlineLevel="1" x14ac:dyDescent="0.3">
      <c r="A39" s="242"/>
      <c r="B39" s="276"/>
      <c r="C39" s="276"/>
      <c r="D39" s="276"/>
      <c r="E39" s="276"/>
      <c r="F39" s="242"/>
      <c r="G39" s="311"/>
      <c r="H39" s="311"/>
      <c r="I39" s="311"/>
      <c r="J39" s="311"/>
      <c r="K39" s="311"/>
      <c r="L39" s="311"/>
      <c r="M39" s="311"/>
      <c r="N39" s="311"/>
      <c r="O39" s="566" t="s">
        <v>738</v>
      </c>
      <c r="P39" s="567"/>
      <c r="Q39" s="567"/>
      <c r="R39" s="311"/>
      <c r="S39" s="275"/>
      <c r="T39" s="248"/>
      <c r="U39" s="248"/>
      <c r="V39" s="242"/>
      <c r="W39" s="242"/>
      <c r="X39" s="242"/>
      <c r="Y39" s="242"/>
      <c r="Z39" s="248"/>
      <c r="AA39" s="242"/>
      <c r="AB39" s="242"/>
      <c r="AC39" s="242"/>
      <c r="AD39" s="242"/>
      <c r="AE39" s="248"/>
      <c r="AF39" s="248"/>
      <c r="AG39" s="248"/>
      <c r="AH39" s="248"/>
      <c r="AI39" s="248"/>
      <c r="AJ39" s="242"/>
      <c r="AK39" s="242"/>
      <c r="AL39" s="242"/>
      <c r="AM39" s="242"/>
      <c r="AN39" s="242"/>
      <c r="AO39" s="242"/>
      <c r="AP39" s="242"/>
      <c r="AQ39" s="242"/>
      <c r="AR39" s="242"/>
      <c r="AS39" s="242"/>
      <c r="AT39" s="242"/>
      <c r="AU39" s="242"/>
      <c r="AV39" s="242"/>
      <c r="AW39" s="242"/>
      <c r="AX39" s="243"/>
    </row>
    <row r="40" spans="1:50" ht="18" hidden="1" customHeight="1" outlineLevel="1" x14ac:dyDescent="0.3">
      <c r="A40" s="242"/>
      <c r="B40" s="276"/>
      <c r="C40" s="276"/>
      <c r="D40" s="276"/>
      <c r="E40" s="276"/>
      <c r="F40" s="242"/>
      <c r="G40" s="311"/>
      <c r="H40" s="311"/>
      <c r="I40" s="311"/>
      <c r="J40" s="311"/>
      <c r="K40" s="311"/>
      <c r="L40" s="311"/>
      <c r="M40" s="311"/>
      <c r="N40" s="311"/>
      <c r="O40" s="564" t="str">
        <f>IFERROR(VLOOKUP(P8,Table_NhanVien[#All],Sheet_CauTruc!$T$1,0),"")</f>
        <v/>
      </c>
      <c r="P40" s="565"/>
      <c r="Q40" s="565"/>
      <c r="R40" s="311"/>
      <c r="S40" s="275"/>
      <c r="T40" s="248"/>
      <c r="U40" s="248"/>
      <c r="V40" s="242"/>
      <c r="W40" s="242"/>
      <c r="X40" s="242"/>
      <c r="Y40" s="242"/>
      <c r="Z40" s="248"/>
      <c r="AA40" s="242"/>
      <c r="AB40" s="242"/>
      <c r="AC40" s="242"/>
      <c r="AD40" s="242"/>
      <c r="AE40" s="248"/>
      <c r="AF40" s="248"/>
      <c r="AG40" s="248"/>
      <c r="AH40" s="248"/>
      <c r="AI40" s="248"/>
      <c r="AJ40" s="242"/>
      <c r="AK40" s="242"/>
      <c r="AL40" s="242"/>
      <c r="AM40" s="242"/>
      <c r="AN40" s="242"/>
      <c r="AO40" s="242"/>
      <c r="AP40" s="242"/>
      <c r="AQ40" s="242"/>
      <c r="AR40" s="242"/>
      <c r="AS40" s="242"/>
      <c r="AT40" s="242"/>
      <c r="AU40" s="242"/>
      <c r="AV40" s="242"/>
      <c r="AW40" s="242"/>
      <c r="AX40" s="243"/>
    </row>
    <row r="41" spans="1:50" ht="18" hidden="1" customHeight="1" outlineLevel="1" x14ac:dyDescent="0.3">
      <c r="A41" s="242"/>
      <c r="B41" s="276"/>
      <c r="C41" s="276"/>
      <c r="D41" s="276"/>
      <c r="E41" s="276"/>
      <c r="F41" s="242"/>
      <c r="G41" s="311"/>
      <c r="H41" s="311"/>
      <c r="I41" s="311"/>
      <c r="J41" s="311"/>
      <c r="K41" s="311"/>
      <c r="L41" s="311"/>
      <c r="M41" s="311"/>
      <c r="N41" s="311"/>
      <c r="O41" s="296"/>
      <c r="P41" s="296"/>
      <c r="Q41" s="296"/>
      <c r="R41" s="311"/>
      <c r="S41" s="275"/>
      <c r="T41" s="248"/>
      <c r="U41" s="248"/>
      <c r="V41" s="242"/>
      <c r="W41" s="242"/>
      <c r="X41" s="242"/>
      <c r="Y41" s="242"/>
      <c r="Z41" s="248"/>
      <c r="AA41" s="242"/>
      <c r="AB41" s="242"/>
      <c r="AC41" s="242"/>
      <c r="AD41" s="242"/>
      <c r="AE41" s="248"/>
      <c r="AF41" s="248"/>
      <c r="AG41" s="248"/>
      <c r="AH41" s="248"/>
      <c r="AI41" s="248"/>
      <c r="AJ41" s="242"/>
      <c r="AK41" s="242"/>
      <c r="AL41" s="242"/>
      <c r="AM41" s="242"/>
      <c r="AN41" s="242"/>
      <c r="AO41" s="242"/>
      <c r="AP41" s="242"/>
      <c r="AQ41" s="242"/>
      <c r="AR41" s="242"/>
      <c r="AS41" s="242"/>
      <c r="AT41" s="242"/>
      <c r="AU41" s="242"/>
      <c r="AV41" s="242"/>
      <c r="AW41" s="242"/>
      <c r="AX41" s="243"/>
    </row>
    <row r="42" spans="1:50" ht="18" hidden="1" customHeight="1" outlineLevel="1" x14ac:dyDescent="0.3">
      <c r="A42" s="242"/>
      <c r="B42" s="276"/>
      <c r="C42" s="276"/>
      <c r="D42" s="276"/>
      <c r="E42" s="276"/>
      <c r="F42" s="242"/>
      <c r="G42" s="276"/>
      <c r="H42" s="276"/>
      <c r="I42" s="276"/>
      <c r="J42" s="276"/>
      <c r="K42" s="276"/>
      <c r="L42" s="276"/>
      <c r="M42" s="276"/>
      <c r="N42" s="276"/>
      <c r="O42" s="276"/>
      <c r="P42" s="276"/>
      <c r="Q42" s="276"/>
      <c r="R42" s="276"/>
      <c r="S42" s="275"/>
      <c r="T42" s="248"/>
      <c r="U42" s="248"/>
      <c r="V42" s="242"/>
      <c r="W42" s="242"/>
      <c r="X42" s="242"/>
      <c r="Y42" s="242"/>
      <c r="Z42" s="248"/>
      <c r="AA42" s="242"/>
      <c r="AB42" s="242"/>
      <c r="AC42" s="242"/>
      <c r="AD42" s="242"/>
      <c r="AE42" s="248"/>
      <c r="AF42" s="248"/>
      <c r="AG42" s="248"/>
      <c r="AH42" s="248"/>
      <c r="AI42" s="248"/>
      <c r="AJ42" s="242"/>
      <c r="AK42" s="242"/>
      <c r="AL42" s="242"/>
      <c r="AM42" s="242"/>
      <c r="AN42" s="242"/>
      <c r="AO42" s="242"/>
      <c r="AP42" s="242"/>
      <c r="AQ42" s="242"/>
      <c r="AR42" s="242"/>
      <c r="AS42" s="242"/>
      <c r="AT42" s="242"/>
      <c r="AU42" s="242"/>
      <c r="AV42" s="242"/>
      <c r="AW42" s="242"/>
      <c r="AX42" s="243"/>
    </row>
    <row r="43" spans="1:50" ht="18" hidden="1" customHeight="1" outlineLevel="1" x14ac:dyDescent="0.3">
      <c r="A43" s="242"/>
      <c r="B43" s="276"/>
      <c r="C43" s="276"/>
      <c r="D43" s="276"/>
      <c r="E43" s="276"/>
      <c r="F43" s="242"/>
      <c r="G43" s="276"/>
      <c r="H43" s="276"/>
      <c r="I43" s="276"/>
      <c r="J43" s="276"/>
      <c r="K43" s="276"/>
      <c r="L43" s="276"/>
      <c r="M43" s="276"/>
      <c r="N43" s="276"/>
      <c r="O43" s="297"/>
      <c r="P43" s="297"/>
      <c r="Q43" s="297"/>
      <c r="R43" s="276"/>
      <c r="S43" s="275"/>
      <c r="T43" s="248"/>
      <c r="U43" s="248"/>
      <c r="V43" s="242"/>
      <c r="W43" s="242"/>
      <c r="X43" s="242"/>
      <c r="Y43" s="242"/>
      <c r="Z43" s="248"/>
      <c r="AA43" s="242"/>
      <c r="AB43" s="242"/>
      <c r="AC43" s="242"/>
      <c r="AD43" s="242"/>
      <c r="AE43" s="248"/>
      <c r="AF43" s="248"/>
      <c r="AG43" s="248"/>
      <c r="AH43" s="248"/>
      <c r="AI43" s="248"/>
      <c r="AJ43" s="242"/>
      <c r="AK43" s="242"/>
      <c r="AL43" s="242"/>
      <c r="AM43" s="242"/>
      <c r="AN43" s="242"/>
      <c r="AO43" s="242"/>
      <c r="AP43" s="242"/>
      <c r="AQ43" s="242"/>
      <c r="AR43" s="242"/>
      <c r="AS43" s="242"/>
      <c r="AT43" s="242"/>
      <c r="AU43" s="242"/>
      <c r="AV43" s="242"/>
      <c r="AW43" s="242"/>
      <c r="AX43" s="243"/>
    </row>
    <row r="44" spans="1:50" ht="18" customHeight="1" collapsed="1" x14ac:dyDescent="0.3">
      <c r="A44" s="242"/>
      <c r="B44" s="276"/>
      <c r="C44" s="276"/>
      <c r="D44" s="276"/>
      <c r="E44" s="276"/>
      <c r="F44" s="276"/>
      <c r="G44" s="276"/>
      <c r="H44" s="276"/>
      <c r="I44" s="276"/>
      <c r="J44" s="276"/>
      <c r="K44" s="276"/>
      <c r="L44" s="276"/>
      <c r="M44" s="276"/>
      <c r="N44" s="276"/>
      <c r="O44" s="276"/>
      <c r="P44" s="276"/>
      <c r="Q44" s="276"/>
      <c r="R44" s="276"/>
      <c r="S44" s="275"/>
      <c r="T44" s="301">
        <v>0</v>
      </c>
      <c r="U44" s="301">
        <f t="shared" ref="U44:Z44" si="0">+T44+1</f>
        <v>1</v>
      </c>
      <c r="V44" s="301">
        <f t="shared" si="0"/>
        <v>2</v>
      </c>
      <c r="W44" s="301">
        <f t="shared" si="0"/>
        <v>3</v>
      </c>
      <c r="X44" s="301">
        <f t="shared" si="0"/>
        <v>4</v>
      </c>
      <c r="Y44" s="301">
        <f t="shared" si="0"/>
        <v>5</v>
      </c>
      <c r="Z44" s="301">
        <f t="shared" si="0"/>
        <v>6</v>
      </c>
      <c r="AA44" s="301">
        <f t="shared" ref="AA44:AJ44" si="1">+Z44+1</f>
        <v>7</v>
      </c>
      <c r="AB44" s="301">
        <f t="shared" si="1"/>
        <v>8</v>
      </c>
      <c r="AC44" s="301">
        <f t="shared" si="1"/>
        <v>9</v>
      </c>
      <c r="AD44" s="301">
        <f t="shared" si="1"/>
        <v>10</v>
      </c>
      <c r="AE44" s="301">
        <f t="shared" si="1"/>
        <v>11</v>
      </c>
      <c r="AF44" s="301">
        <f t="shared" si="1"/>
        <v>12</v>
      </c>
      <c r="AG44" s="301">
        <f t="shared" si="1"/>
        <v>13</v>
      </c>
      <c r="AH44" s="301">
        <f t="shared" si="1"/>
        <v>14</v>
      </c>
      <c r="AI44" s="301">
        <f t="shared" si="1"/>
        <v>15</v>
      </c>
      <c r="AJ44" s="301">
        <f t="shared" si="1"/>
        <v>16</v>
      </c>
      <c r="AK44" s="301">
        <f t="shared" ref="AK44" si="2">+AJ44+1</f>
        <v>17</v>
      </c>
      <c r="AL44" s="301">
        <f t="shared" ref="AL44" si="3">+AK44+1</f>
        <v>18</v>
      </c>
      <c r="AM44" s="301">
        <f t="shared" ref="AM44" si="4">+AL44+1</f>
        <v>19</v>
      </c>
      <c r="AN44" s="301">
        <f t="shared" ref="AN44" si="5">+AM44+1</f>
        <v>20</v>
      </c>
      <c r="AO44" s="249"/>
      <c r="AP44" s="249"/>
      <c r="AQ44" s="249"/>
      <c r="AR44" s="249"/>
      <c r="AS44" s="249"/>
      <c r="AT44" s="249"/>
      <c r="AU44" s="249"/>
      <c r="AV44" s="249"/>
      <c r="AW44" s="249"/>
      <c r="AX44" s="243"/>
    </row>
    <row r="45" spans="1:50" ht="18" customHeight="1" x14ac:dyDescent="0.3">
      <c r="A45" s="242"/>
      <c r="B45" s="276"/>
      <c r="C45" s="276"/>
      <c r="D45" s="276"/>
      <c r="E45" s="276"/>
      <c r="F45" s="276"/>
      <c r="G45" s="276"/>
      <c r="H45" s="276"/>
      <c r="I45" s="276"/>
      <c r="J45" s="276"/>
      <c r="K45" s="276"/>
      <c r="L45" s="276"/>
      <c r="M45" s="276"/>
      <c r="N45" s="276"/>
      <c r="O45" s="276"/>
      <c r="P45" s="276"/>
      <c r="Q45" s="276"/>
      <c r="R45" s="276"/>
      <c r="S45" s="275"/>
      <c r="T45" s="250">
        <f>R4</f>
        <v>1</v>
      </c>
      <c r="U45" s="51" t="str">
        <f>P4</f>
        <v>BAN--100-1</v>
      </c>
      <c r="V45" s="412">
        <f>P5</f>
        <v>0</v>
      </c>
      <c r="W45" s="246">
        <f>C3</f>
        <v>0</v>
      </c>
      <c r="X45" s="246">
        <f>P8</f>
        <v>0</v>
      </c>
      <c r="Y45" s="246">
        <f>P7</f>
        <v>0</v>
      </c>
      <c r="Z45" s="48">
        <f>P30</f>
        <v>0</v>
      </c>
      <c r="AA45" s="48" cm="1">
        <f t="array" ref="AA45">IFERROR(
SUM(_xlfn._xlws.FILTER(Table_FormDonBan[VAT],
(NOT(ISBLANK(Table_FormDonBan[SKU])))
)),0)</f>
        <v>0</v>
      </c>
      <c r="AB45" s="48" cm="1">
        <f t="array" ref="AB45"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AC45" s="48">
        <f>P32</f>
        <v>0</v>
      </c>
      <c r="AD45" s="258">
        <f>P33</f>
        <v>0</v>
      </c>
      <c r="AE45" s="64">
        <f xml:space="preserve">
IFERROR(
IF(
ISBLANK(
VLOOKUP(
AD45,
Table_ChuongTrinh[],
COUNTA(Table_ChuongTrinh[[#Headers],[Mã Chương trình]:[Tỷ lệ CK]]),
0)
),
0,
VLOOKUP(
AD45,
Table_ChuongTrinh[],
COUNTA(Table_ChuongTrinh[[#Headers],[Mã Chương trình]:[Tỷ lệ CK]]),
0)
),
0)</f>
        <v>0</v>
      </c>
      <c r="AF45" s="226" t="e">
        <f>(Z45/ABS(Z45))
*IFERROR(
IF(
ISBLANK(
VLOOKUP(
AD45,
Table_ChuongTrinh[],
COUNTA(Table_ChuongTrinh[[#Headers],[Mã Chương trình]:[Tỷ lệ CK]]),
0)
),
VLOOKUP(
AD45,
Table_ChuongTrinh[],
COUNTA(Table_ChuongTrinh[[#Headers],[Mã Chương trình]:[Giá trị CK]]),
0),
VLOOKUP(
AD45,
Table_ChuongTrinh[],
COUNTA(Table_ChuongTrinh[[#Headers],[Mã Chương trình]:[Tỷ lệ CK]]),
0)*ABS(Z45)
),
0)+AC45</f>
        <v>#DIV/0!</v>
      </c>
      <c r="AG45" s="409">
        <f>P35</f>
        <v>0</v>
      </c>
      <c r="AH45" s="48" t="e">
        <f>AJ45-AG45</f>
        <v>#DIV/0!</v>
      </c>
      <c r="AI45" s="48" t="e">
        <f>AH45</f>
        <v>#DIV/0!</v>
      </c>
      <c r="AJ45" s="120" t="e">
        <f>+Z45+AG45-AF45</f>
        <v>#DIV/0!</v>
      </c>
      <c r="AK45" s="120" cm="1">
        <f t="array" ref="AK45" xml:space="preserve">
IF(ISBLANK(KHThanThiet_SoNgay),
IFERROR(
SUM(_xlfn._xlws.FILTER(Table_DonBan[Doanh thu ròng],
(Table_DonBan[Mã Khách] =W45)*
(Table_DonBan[Ngày lập]&lt;=V45)
)),0),
IFERROR(
SUM(_xlfn._xlws.FILTER(Table_DonBan[Doanh thu ròng],
(Table_DonBan[Mã Khách] = W45)*
(Table_DonBan[Ngày lập] &gt;= (V45 - KHThanThiet_SoNgay))*
(Table_DonBan[Ngày lập]&lt;=V45)
)),0))</f>
        <v>0</v>
      </c>
      <c r="AL45" s="120" cm="1">
        <f t="array" ref="AL45">+IFERROR(
MAX(_xlfn._xlws.FILTER(Table_KHThanThiet_ChinhSach[Tỷ lệ điểm thưởng],
(Table_KHThanThiet_ChinhSach[Doanh thu tối thiểu]&lt;=AK45)
)),0)</f>
        <v>0</v>
      </c>
      <c r="AM45" s="120" t="e">
        <f>AL45*AH45</f>
        <v>#DIV/0!</v>
      </c>
      <c r="AN45" s="246" cm="1">
        <f t="array" ref="AN45">COUNTA(_xlfn._xlws.FILTER(Table_DonBan[Mã Khách],
(Table_DonBan[Mã Khách]=W45)*
(Table_DonBan[Ngày lập]&lt;=V45)
))</f>
        <v>1</v>
      </c>
      <c r="AO45" s="247"/>
      <c r="AP45" s="379"/>
      <c r="AQ45" s="245"/>
      <c r="AR45" s="245"/>
      <c r="AS45" s="245"/>
      <c r="AT45" s="245"/>
      <c r="AU45" s="245"/>
      <c r="AV45" s="245"/>
      <c r="AW45" s="247"/>
      <c r="AX45" s="243"/>
    </row>
    <row r="46" spans="1:50" ht="18" customHeight="1" x14ac:dyDescent="0.3">
      <c r="A46" s="242"/>
      <c r="B46" s="276"/>
      <c r="C46" s="276"/>
      <c r="D46" s="276"/>
      <c r="E46" s="276"/>
      <c r="F46" s="276"/>
      <c r="G46" s="276"/>
      <c r="H46" s="276"/>
      <c r="I46" s="276"/>
      <c r="J46" s="276"/>
      <c r="K46" s="276"/>
      <c r="L46" s="276"/>
      <c r="M46" s="276"/>
      <c r="N46" s="276"/>
      <c r="O46" s="276"/>
      <c r="P46" s="276"/>
      <c r="Q46" s="276"/>
      <c r="R46" s="276"/>
      <c r="S46" s="275"/>
      <c r="T46" s="250">
        <v>1</v>
      </c>
      <c r="U46" s="51" t="str">
        <f>CONCATENATE("BAN-",W46,"-",MOD(YEAR(V46),100)*10000+MONTH(V46)*100+DAY(V46),"-",T46)</f>
        <v>BAN--100-1</v>
      </c>
      <c r="V46" s="412"/>
      <c r="W46" s="246"/>
      <c r="X46" s="246"/>
      <c r="Y46" s="246"/>
      <c r="Z46" s="48" cm="1">
        <f t="array" ref="Z46">IFERROR(SUM(_xlfn._xlws.FILTER(Table_Main[Giá trị bán trước VAT],
(Table_Main[Đơn bán]=U46),
)),0)</f>
        <v>0</v>
      </c>
      <c r="AA46" s="48" cm="1">
        <f t="array" ref="AA46">IFERROR(SUM(_xlfn._xlws.FILTER(Table_Main[VAT],
(Table_Main[Đơn bán]=U46),
)),0)</f>
        <v>0</v>
      </c>
      <c r="AB46" s="48" cm="1">
        <f t="array" ref="AB46" xml:space="preserve">
IF(ISBLANK(KHThanThiet_HieuLuc),
MAX(0,
IFERROR(
SUM(_xlfn._xlws.FILTER(Table_DonBan[Điểm tích lũy],
(Table_DonBan[Ngày lập]&lt;=V46)*
(Table_DonBan[Mã Khách]=W46)
)),0)
-IFERROR(
SUM(_xlfn._xlws.FILTER(Table_DonBan[Điểm sử dụng],
(Table_DonBan[Mã Khách]= W46)
)),0)),
MAX(0,
IFERROR(
SUM(_xlfn._xlws.FILTER(Table_DonBan[Điểm tích lũy],
(Table_DonBan[Ngày lập]&lt;= V46)*
(Table_DonBan[Ngày lập]&gt;= V46-KHThanThiet_HieuLuc)*
(Table_DonBan[Mã Khách]=W46 )
)),0)
-IFERROR(
SUM(_xlfn._xlws.FILTER(Table_DonBan[Điểm sử dụng],
(Table_DonBan[Ngày lập]&gt;= V46-KHThanThiet_HieuLuc)*
(Table_DonBan[Mã Khách]=W46 )
)),0)
))</f>
        <v>0</v>
      </c>
      <c r="AC46" s="409"/>
      <c r="AD46" s="258"/>
      <c r="AE46" s="64">
        <f xml:space="preserve">
IFERROR(
IF(
ISBLANK(
VLOOKUP(
AD46,
Table_ChuongTrinh[],
COUNTA(Table_ChuongTrinh[[#Headers],[Mã Chương trình]:[Tỷ lệ CK]]),
0)
),
0,
VLOOKUP(
AD46,
Table_ChuongTrinh[],
COUNTA(Table_ChuongTrinh[[#Headers],[Mã Chương trình]:[Tỷ lệ CK]]),
0)
),
0)</f>
        <v>0</v>
      </c>
      <c r="AF46" s="226" t="e">
        <f>(Z46/ABS(Z46))
*IFERROR(
IF(
ISBLANK(
VLOOKUP(
AD46,
Table_ChuongTrinh[],
COUNTA(Table_ChuongTrinh[[#Headers],[Mã Chương trình]:[Tỷ lệ CK]]),
0)
),
VLOOKUP(
AD46,
Table_ChuongTrinh[],
COUNTA(Table_ChuongTrinh[[#Headers],[Mã Chương trình]:[Giá trị CK]]),
0),
VLOOKUP(
AD46,
Table_ChuongTrinh[],
COUNTA(Table_ChuongTrinh[[#Headers],[Mã Chương trình]:[Tỷ lệ CK]]),
0)*ABS(Z46)
),
0)+AC46</f>
        <v>#DIV/0!</v>
      </c>
      <c r="AG46" s="409">
        <f>IFERROR(AA46-AA46*AF46/Z46,0)</f>
        <v>0</v>
      </c>
      <c r="AH46" s="48" t="e">
        <f>AJ46-AG46</f>
        <v>#DIV/0!</v>
      </c>
      <c r="AI46" s="48" t="e">
        <f>AH46</f>
        <v>#DIV/0!</v>
      </c>
      <c r="AJ46" s="120" t="e">
        <f>+Z46+AG46-AF46</f>
        <v>#DIV/0!</v>
      </c>
      <c r="AK46" s="120" cm="1">
        <f t="array" ref="AK46" xml:space="preserve">
IF(ISBLANK(KHThanThiet_SoNgay),
IFERROR(
SUM(_xlfn._xlws.FILTER(Table_DonBan[Doanh thu ròng],
(Table_DonBan[Mã Khách] =W46)*
(Table_DonBan[Ngày lập]&lt;=V46)
)),0),
IFERROR(
SUM(_xlfn._xlws.FILTER(Table_DonBan[Doanh thu ròng],
(Table_DonBan[Mã Khách] = W46)*
(Table_DonBan[Ngày lập] &gt;= (V46 - KHThanThiet_SoNgay))*
(Table_DonBan[Ngày lập]&lt;=V46)
)),0))</f>
        <v>0</v>
      </c>
      <c r="AL46" s="120" cm="1">
        <f t="array" ref="AL46">+IFERROR(
MAX(_xlfn._xlws.FILTER(Table_KHThanThiet_ChinhSach[Tỷ lệ điểm thưởng],
(Table_KHThanThiet_ChinhSach[Doanh thu tối thiểu]&lt;=AK46)
)),0)</f>
        <v>0</v>
      </c>
      <c r="AM46" s="120" t="e">
        <f>AL46*AH46</f>
        <v>#DIV/0!</v>
      </c>
      <c r="AN46" s="246" cm="1">
        <f t="array" ref="AN46">COUNTA(_xlfn._xlws.FILTER(Table_DonBan[Mã Khách],
(Table_DonBan[Mã Khách]=W46)*
(Table_DonBan[Ngày lập]&lt;=V46)
))</f>
        <v>1</v>
      </c>
      <c r="AO46" s="247"/>
      <c r="AP46" s="379">
        <f>AQ46*AR46*AS46*AT46*AU46*AV46</f>
        <v>1</v>
      </c>
      <c r="AQ46" s="245">
        <f xml:space="preserve">
IF(ISBLANK($AD$46 ),1,
IF(VLOOKUP($AD$46,Table_ChuongTrinh[[Mã Chương trình]:[Đối tượng CK]],Sheet_ChuongTrinh!$C$1,0) = "Đơn hàng",1,0))</f>
        <v>1</v>
      </c>
      <c r="AR46" s="245">
        <f>IF(ISBLANK( $AD$46),
1,
IF(ISBLANK(VLOOKUP( $AD$46,Table_ChuongTrinh[],Sheet_ChuongTrinh!$E$1,0)),
1,
IF( $V$46&gt;= VLOOKUP( $AD$46,Table_ChuongTrinh[],Sheet_ChuongTrinh!$E$1,0),1,
0)))
*IF(ISBLANK( $AD$46),
1,
IF(ISBLANK(VLOOKUP( $AD$46,Table_ChuongTrinh[],Sheet_ChuongTrinh!$F$1,0)),
1,
IF($V$46 &lt; VLOOKUP( $AD$46,Table_ChuongTrinh[],Sheet_ChuongTrinh!$F$1,0),
1,
0)))</f>
        <v>1</v>
      </c>
      <c r="AS46" s="245">
        <f>IF(ISBLANK( $AD$46),
1,
IF(ISBLANK(VLOOKUP($AD$46,Table_ChuongTrinh[],Sheet_ChuongTrinh!$J$1,0)),
1,
IF(Z46 &gt;= VLOOKUP($AD$46,Table_ChuongTrinh[],Sheet_ChuongTrinh!$J$1,0),
1,
0)))</f>
        <v>1</v>
      </c>
      <c r="AT46" s="245">
        <f>IF(ISBLANK( $AD$46),
1,
IF(ISBLANK(VLOOKUP($AD$46,Table_ChuongTrinh[],Sheet_ChuongTrinh!$I$1,0)),
1,
IF(COUNTIF(Table_DonBan[Chương trình],$AD$46 )+1
&lt;= VLOOKUP($AD$46,Table_ChuongTrinh[],Sheet_ChuongTrinh!$I$1,0),
1,
0)))</f>
        <v>1</v>
      </c>
      <c r="AU46" s="245">
        <f>IF(ISBLANK( $AD$46), 1,
IF(ISBLANK(VLOOKUP($AD$46,Table_ChuongTrinh[],COUNTA(Table_ChuongTrinh[[#Headers],[Mã Chương trình]:[Sinh nhật]]),0)), 1,
IF(VLOOKUP($AD$46,Table_ChuongTrinh[],COUNTA(Table_ChuongTrinh[[#Headers],[Mã Chương trình]:[Sinh nhật]]),0) = "Ngày sinh",
IF( AND(
DAY(VLOOKUP($W$46, Table_KhachHang[], COUNTA(Table_KhachHang[[#Headers],[Mã KH]:[Ngày sinh]]),0)) = DAY($V$46 ),
MONTH(VLOOKUP($W$46, Table_KhachHang[], COUNTA(Table_KhachHang[[#Headers],[Mã KH]:[Ngày sinh]]),0)) = MONTH($V$46 )
),1,0),
IF(MONTH(VLOOKUP($W$46, Table_KhachHang[], COUNTA(Table_KhachHang[[#Headers],[Mã KH]:[Ngày sinh]]),0)) = MONTH($V$46 ),1,0)
)))</f>
        <v>1</v>
      </c>
      <c r="AV46" s="245" cm="1">
        <f t="array" ref="AV46">IF(ISBLANK($AD$46 ), 1,
IF(ISBLANK(VLOOKUP($AD$46,Table_ChuongTrinh[],COUNTA(Table_ChuongTrinh[[#Headers],[Mã Chương trình]:[Ngày mua cuối]]),0)), 1,
IF(VLOOKUP($AD$46,Table_ChuongTrinh[],COUNTA(Table_ChuongTrinh[[#Headers],[Mã Chương trình]:[Ngày mua cuối]]),0)&lt;=
IFERROR($V$46  -
MAX(_xlfn._xlws.FILTER(Table_DonBan[Ngày lập],
(Table_DonBan[Mã Khách] = $W$46 )*
(Table_DonBan[Ngày lập] &lt;= $V$46 )
)),0),1,0)))</f>
        <v>1</v>
      </c>
      <c r="AW46" s="247"/>
      <c r="AX46" s="243"/>
    </row>
    <row r="47" spans="1:50" ht="18" customHeight="1" x14ac:dyDescent="0.3">
      <c r="A47" s="242"/>
      <c r="B47" s="276"/>
      <c r="C47" s="276"/>
      <c r="D47" s="276"/>
      <c r="E47" s="276"/>
      <c r="F47" s="276"/>
      <c r="G47" s="276"/>
      <c r="H47" s="276"/>
      <c r="I47" s="276"/>
      <c r="J47" s="276"/>
      <c r="K47" s="276"/>
      <c r="L47" s="276"/>
      <c r="M47" s="276"/>
      <c r="N47" s="276"/>
      <c r="O47" s="276"/>
      <c r="P47" s="276"/>
      <c r="Q47" s="276"/>
      <c r="R47" s="276"/>
      <c r="S47" s="275"/>
      <c r="T47" s="46" t="s">
        <v>60</v>
      </c>
      <c r="U47" s="46" t="s">
        <v>27</v>
      </c>
      <c r="V47" s="46" t="s">
        <v>700</v>
      </c>
      <c r="W47" s="46" t="s">
        <v>739</v>
      </c>
      <c r="X47" s="46" t="s">
        <v>35</v>
      </c>
      <c r="Y47" s="46" t="s">
        <v>38</v>
      </c>
      <c r="Z47" s="46" t="s">
        <v>719</v>
      </c>
      <c r="AA47" s="90" t="s">
        <v>720</v>
      </c>
      <c r="AB47" s="90" t="s">
        <v>925</v>
      </c>
      <c r="AC47" s="90" t="s">
        <v>926</v>
      </c>
      <c r="AD47" s="46" t="s">
        <v>237</v>
      </c>
      <c r="AE47" s="46" t="s">
        <v>690</v>
      </c>
      <c r="AF47" s="46" t="s">
        <v>691</v>
      </c>
      <c r="AG47" s="46" t="s">
        <v>736</v>
      </c>
      <c r="AH47" s="46" t="s">
        <v>898</v>
      </c>
      <c r="AI47" s="46" t="s">
        <v>899</v>
      </c>
      <c r="AJ47" s="46" t="s">
        <v>18</v>
      </c>
      <c r="AK47" s="7" t="s">
        <v>927</v>
      </c>
      <c r="AL47" s="7" t="s">
        <v>1028</v>
      </c>
      <c r="AM47" s="488" t="s">
        <v>1029</v>
      </c>
      <c r="AN47" s="46" t="s">
        <v>28</v>
      </c>
      <c r="AO47" s="7" t="s">
        <v>883</v>
      </c>
      <c r="AP47" s="7" t="s">
        <v>729</v>
      </c>
      <c r="AQ47" s="7" t="s">
        <v>730</v>
      </c>
      <c r="AR47" s="7" t="s">
        <v>731</v>
      </c>
      <c r="AS47" s="7" t="s">
        <v>732</v>
      </c>
      <c r="AT47" s="7" t="s">
        <v>733</v>
      </c>
      <c r="AU47" s="46" t="s">
        <v>930</v>
      </c>
      <c r="AV47" s="46" t="s">
        <v>931</v>
      </c>
      <c r="AW47" s="7" t="s">
        <v>1253</v>
      </c>
      <c r="AX47" s="243"/>
    </row>
    <row r="48" spans="1:50" ht="18" customHeight="1" x14ac:dyDescent="0.3">
      <c r="A48" s="242"/>
      <c r="B48" s="276"/>
      <c r="C48" s="276"/>
      <c r="D48" s="276"/>
      <c r="E48" s="276"/>
      <c r="F48" s="276"/>
      <c r="G48" s="276"/>
      <c r="H48" s="276"/>
      <c r="I48" s="276"/>
      <c r="J48" s="276"/>
      <c r="K48" s="276"/>
      <c r="L48" s="276"/>
      <c r="M48" s="276"/>
      <c r="N48" s="276"/>
      <c r="O48" s="276"/>
      <c r="P48" s="276"/>
      <c r="Q48" s="276"/>
      <c r="R48" s="276"/>
      <c r="S48" s="275"/>
      <c r="T48" s="250"/>
      <c r="U48" s="51" t="str">
        <f>CONCATENATE("BAN-",Table_DonBan[[#This Row],[Mã Khách]],"-",MOD(YEAR(Table_DonBan[[#This Row],[Ngày lập]]),100)*10000+MONTH(Table_DonBan[[#This Row],[Ngày lập]])*100+DAY(Table_DonBan[[#This Row],[Ngày lập]]),"-",Table_DonBan[[#This Row],[TT]])</f>
        <v>BAN-KH3-250531-</v>
      </c>
      <c r="V48" s="415">
        <v>45808</v>
      </c>
      <c r="W48" s="251" t="s">
        <v>1207</v>
      </c>
      <c r="X48" s="246"/>
      <c r="Y48" s="246"/>
      <c r="Z48" s="17">
        <f>IFERROR(SUM(_xlfn._xlws.FILTER(Table_Main[Giá trị bán trước VAT],
(Table_Main[Đơn bán]=Table_DonBan[[#This Row],[Mã Đơn bán]]),
)),0)</f>
        <v>5700000</v>
      </c>
      <c r="AA48" s="17">
        <f>IFERROR(SUM(_xlfn._xlws.FILTER(Table_Main[VAT],
(Table_Main[Đơn bán]=Table_DonBan[[#This Row],[Mã Đơn bán]]),
)),0)</f>
        <v>0</v>
      </c>
      <c r="AB48" s="17" cm="1">
        <f t="array" ref="AB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585000</v>
      </c>
      <c r="AC48" s="422"/>
      <c r="AD48" s="248"/>
      <c r="AE4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8" s="48">
        <f>(Z48/ABS(Z48))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f>
        <v>0</v>
      </c>
      <c r="AG48" s="17">
        <f>IFERROR(Table_DonBan[[#This Row],[VAT hàng]]-Table_DonBan[[#This Row],[VAT hàng]]*Table_DonBan[[#This Row],[Giá trị CK]]/Table_DonBan[[#This Row],[Tiền hàng]],0)</f>
        <v>0</v>
      </c>
      <c r="AH48" s="17">
        <f>+Table_DonBan[[#This Row],[Tiền hàng]]-Table_DonBan[[#This Row],[Giá trị CK]]</f>
        <v>5700000</v>
      </c>
      <c r="AI48" s="17">
        <f>Table_DonBan[[#This Row],[Doanh thu ròng]]</f>
        <v>5700000</v>
      </c>
      <c r="AJ48" s="17">
        <f>Table_DonBan[[#This Row],[Tiền hàng]]+Table_DonBan[[#This Row],[Tổng VAT]]-Table_DonBan[[#This Row],[Giá trị CK]]</f>
        <v>5700000</v>
      </c>
      <c r="AK4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39500000</v>
      </c>
      <c r="AL48" s="543">
        <f>+IFERROR(
MAX(_xlfn._xlws.FILTER(Table_KHThanThiet_ChinhSach[Tỷ lệ điểm thưởng],
(Table_KHThanThiet_ChinhSach[Doanh thu tối thiểu]&lt;=Table_DonBan[[#This Row],[Doanh thu tính điểm]])
)),0)</f>
        <v>0.05</v>
      </c>
      <c r="AM48" s="17">
        <f xml:space="preserve">
Table_DonBan[[#This Row],[Tỷ lệ tính điểm]]*Table_DonBan[[#This Row],[Doanh thu ròng]]</f>
        <v>285000</v>
      </c>
      <c r="AN48" s="248">
        <f>COUNTA(_xlfn._xlws.FILTER(Table_DonBan[Mã Khách],
(Table_DonBan[Mã Khách]=Table_DonBan[[#This Row],[Mã Khách]])*
(Table_DonBan[Ngày lập]&lt;=Table_DonBan[[#This Row],[Ngày lập]])
))</f>
        <v>6</v>
      </c>
      <c r="AO48" s="246"/>
      <c r="AP48" s="247">
        <f>Table_DonBan[[#This Row],[ĐK - Phân loại]]*Table_DonBan[[#This Row],[ĐK - Thời gian]]*Table_DonBan[[#This Row],[ĐK - Giá trị]]*Table_DonBan[[#This Row],[ĐK - Số lượng]]*Table_DonBan[[#This Row],[ĐK - Sinh nhật]]*Table_DonBan[[#This Row],[ĐK - Ngày mua cuối]]</f>
        <v>1</v>
      </c>
      <c r="AQ48" s="247">
        <f xml:space="preserve">
IF(ISBLANK(Table_DonBan[[#This Row],[Chương trình]]),1,
IF(VLOOKUP(Table_DonBan[[#This Row],[Chương trình]],Table_ChuongTrinh[[Mã Chương trình]:[Đối tượng CK]],Sheet_ChuongTrinh!$C$1,0) = "Đơn hàng",1,0))</f>
        <v>1</v>
      </c>
      <c r="AR4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8" s="247">
        <f>IF(ISBLANK(Table_DonBan[[#This Row],[Chương trình]]),
1,
IF(ISBLANK(VLOOKUP(Table_DonBan[[#This Row],[Chương trình]],Table_ChuongTrinh[],Sheet_ChuongTrinh!$J$1,0)),
1,
IF(Table_DonBan[[#This Row],[Tiền hàng]]&gt;= VLOOKUP(Table_DonBan[[#This Row],[Chương trình]],Table_ChuongTrinh[],Sheet_ChuongTrinh!$J$1,0),
1,
0)))</f>
        <v>1</v>
      </c>
      <c r="AT4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c r="AX48" s="243"/>
    </row>
    <row r="49" spans="20:49" ht="18" customHeight="1" x14ac:dyDescent="0.3">
      <c r="T49" s="250"/>
      <c r="U49" s="51" t="str">
        <f>CONCATENATE("BAN-",Table_DonBan[[#This Row],[Mã Khách]],"-",MOD(YEAR(Table_DonBan[[#This Row],[Ngày lập]]),100)*10000+MONTH(Table_DonBan[[#This Row],[Ngày lập]])*100+DAY(Table_DonBan[[#This Row],[Ngày lập]]),"-",Table_DonBan[[#This Row],[TT]])</f>
        <v>BAN-KH1-250519-</v>
      </c>
      <c r="V49" s="415">
        <v>45796</v>
      </c>
      <c r="W49" s="251" t="s">
        <v>1205</v>
      </c>
      <c r="X49" s="246"/>
      <c r="Y49" s="246"/>
      <c r="Z49" s="17">
        <f>IFERROR(SUM(_xlfn._xlws.FILTER(Table_Main[Giá trị bán trước VAT],
(Table_Main[Đơn bán]=Table_DonBan[[#This Row],[Mã Đơn bán]]),
)),0)</f>
        <v>10200000</v>
      </c>
      <c r="AA49" s="17">
        <f>IFERROR(SUM(_xlfn._xlws.FILTER(Table_Main[VAT],
(Table_Main[Đơn bán]=Table_DonBan[[#This Row],[Mã Đơn bán]]),
)),0)</f>
        <v>0</v>
      </c>
      <c r="AB49" s="17" cm="1">
        <f t="array" ref="AB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625000</v>
      </c>
      <c r="AC49" s="422"/>
      <c r="AD49" s="248"/>
      <c r="AE4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9" s="48">
        <f>(Z49/ABS(Z49))
*IFERROR(
IF(
ISBLANK(
VLOOKUP(
AD49,
Table_ChuongTrinh[],
COUNTA(Table_ChuongTrinh[[#Headers],[Mã Chương trình]:[Tỷ lệ CK]]),
0)
),
VLOOKUP(
AD49,
Table_ChuongTrinh[],
COUNTA(Table_ChuongTrinh[[#Headers],[Mã Chương trình]:[Giá trị CK]]),
0),
VLOOKUP(
AD49,
Table_ChuongTrinh[],
COUNTA(Table_ChuongTrinh[[#Headers],[Mã Chương trình]:[Tỷ lệ CK]]),
0)*ABS(Z49)
),
0)+AC49</f>
        <v>0</v>
      </c>
      <c r="AG49" s="17">
        <f>IFERROR(Table_DonBan[[#This Row],[VAT hàng]]-Table_DonBan[[#This Row],[VAT hàng]]*Table_DonBan[[#This Row],[Giá trị CK]]/Table_DonBan[[#This Row],[Tiền hàng]],0)</f>
        <v>0</v>
      </c>
      <c r="AH49" s="17">
        <f>+Table_DonBan[[#This Row],[Tiền hàng]]-Table_DonBan[[#This Row],[Giá trị CK]]</f>
        <v>10200000</v>
      </c>
      <c r="AI49" s="17">
        <f>Table_DonBan[[#This Row],[Doanh thu ròng]]</f>
        <v>10200000</v>
      </c>
      <c r="AJ49" s="17">
        <f>Table_DonBan[[#This Row],[Tiền hàng]]+Table_DonBan[[#This Row],[Tổng VAT]]-Table_DonBan[[#This Row],[Giá trị CK]]</f>
        <v>10200000</v>
      </c>
      <c r="AK4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45200000</v>
      </c>
      <c r="AL49" s="543">
        <f>+IFERROR(
MAX(_xlfn._xlws.FILTER(Table_KHThanThiet_ChinhSach[Tỷ lệ điểm thưởng],
(Table_KHThanThiet_ChinhSach[Doanh thu tối thiểu]&lt;=Table_DonBan[[#This Row],[Doanh thu tính điểm]])
)),0)</f>
        <v>0.05</v>
      </c>
      <c r="AM49" s="17">
        <f xml:space="preserve">
Table_DonBan[[#This Row],[Tỷ lệ tính điểm]]*Table_DonBan[[#This Row],[Doanh thu ròng]]</f>
        <v>510000</v>
      </c>
      <c r="AN49" s="248">
        <f>COUNTA(_xlfn._xlws.FILTER(Table_DonBan[Mã Khách],
(Table_DonBan[Mã Khách]=Table_DonBan[[#This Row],[Mã Khách]])*
(Table_DonBan[Ngày lập]&lt;=Table_DonBan[[#This Row],[Ngày lập]])
))</f>
        <v>8</v>
      </c>
      <c r="AO49" s="246"/>
      <c r="AP49" s="247">
        <f>Table_DonBan[[#This Row],[ĐK - Phân loại]]*Table_DonBan[[#This Row],[ĐK - Thời gian]]*Table_DonBan[[#This Row],[ĐK - Giá trị]]*Table_DonBan[[#This Row],[ĐK - Số lượng]]*Table_DonBan[[#This Row],[ĐK - Sinh nhật]]*Table_DonBan[[#This Row],[ĐK - Ngày mua cuối]]</f>
        <v>1</v>
      </c>
      <c r="AQ49" s="247">
        <f xml:space="preserve">
IF(ISBLANK(Table_DonBan[[#This Row],[Chương trình]]),1,
IF(VLOOKUP(Table_DonBan[[#This Row],[Chương trình]],Table_ChuongTrinh[[Mã Chương trình]:[Đối tượng CK]],Sheet_ChuongTrinh!$C$1,0) = "Đơn hàng",1,0))</f>
        <v>1</v>
      </c>
      <c r="AR4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9" s="247">
        <f>IF(ISBLANK(Table_DonBan[[#This Row],[Chương trình]]),
1,
IF(ISBLANK(VLOOKUP(Table_DonBan[[#This Row],[Chương trình]],Table_ChuongTrinh[],Sheet_ChuongTrinh!$J$1,0)),
1,
IF(Table_DonBan[[#This Row],[Tiền hàng]]&gt;= VLOOKUP(Table_DonBan[[#This Row],[Chương trình]],Table_ChuongTrinh[],Sheet_ChuongTrinh!$J$1,0),
1,
0)))</f>
        <v>1</v>
      </c>
      <c r="AT4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400000</v>
      </c>
    </row>
    <row r="50" spans="20:49" ht="18" customHeight="1" x14ac:dyDescent="0.3">
      <c r="T50" s="250"/>
      <c r="U50" s="51" t="str">
        <f>CONCATENATE("BAN-",Table_DonBan[[#This Row],[Mã Khách]],"-",MOD(YEAR(Table_DonBan[[#This Row],[Ngày lập]]),100)*10000+MONTH(Table_DonBan[[#This Row],[Ngày lập]])*100+DAY(Table_DonBan[[#This Row],[Ngày lập]]),"-",Table_DonBan[[#This Row],[TT]])</f>
        <v>BAN-KH1-250516-</v>
      </c>
      <c r="V50" s="415">
        <v>45793</v>
      </c>
      <c r="W50" s="251" t="s">
        <v>1205</v>
      </c>
      <c r="X50" s="246"/>
      <c r="Y50" s="246"/>
      <c r="Z50" s="17">
        <f>IFERROR(SUM(_xlfn._xlws.FILTER(Table_Main[Giá trị bán trước VAT],
(Table_Main[Đơn bán]=Table_DonBan[[#This Row],[Mã Đơn bán]]),
)),0)</f>
        <v>2200000</v>
      </c>
      <c r="AA50" s="17">
        <f>IFERROR(SUM(_xlfn._xlws.FILTER(Table_Main[VAT],
(Table_Main[Đơn bán]=Table_DonBan[[#This Row],[Mã Đơn bán]]),
)),0)</f>
        <v>0</v>
      </c>
      <c r="AB50" s="17" cm="1">
        <f t="array" ref="AB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515000</v>
      </c>
      <c r="AC50" s="422"/>
      <c r="AD50" s="248"/>
      <c r="AE5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0" s="48">
        <f>(Z50/ABS(Z50))
*IFERROR(
IF(
ISBLANK(
VLOOKUP(
AD50,
Table_ChuongTrinh[],
COUNTA(Table_ChuongTrinh[[#Headers],[Mã Chương trình]:[Tỷ lệ CK]]),
0)
),
VLOOKUP(
AD50,
Table_ChuongTrinh[],
COUNTA(Table_ChuongTrinh[[#Headers],[Mã Chương trình]:[Giá trị CK]]),
0),
VLOOKUP(
AD50,
Table_ChuongTrinh[],
COUNTA(Table_ChuongTrinh[[#Headers],[Mã Chương trình]:[Tỷ lệ CK]]),
0)*ABS(Z50)
),
0)+AC50</f>
        <v>0</v>
      </c>
      <c r="AG50" s="17">
        <f>IFERROR(Table_DonBan[[#This Row],[VAT hàng]]-Table_DonBan[[#This Row],[VAT hàng]]*Table_DonBan[[#This Row],[Giá trị CK]]/Table_DonBan[[#This Row],[Tiền hàng]],0)</f>
        <v>0</v>
      </c>
      <c r="AH50" s="17">
        <f>+Table_DonBan[[#This Row],[Tiền hàng]]-Table_DonBan[[#This Row],[Giá trị CK]]</f>
        <v>2200000</v>
      </c>
      <c r="AI50" s="17">
        <f>Table_DonBan[[#This Row],[Doanh thu ròng]]</f>
        <v>2200000</v>
      </c>
      <c r="AJ50" s="17">
        <f>Table_DonBan[[#This Row],[Tiền hàng]]+Table_DonBan[[#This Row],[Tổng VAT]]-Table_DonBan[[#This Row],[Giá trị CK]]</f>
        <v>2200000</v>
      </c>
      <c r="AK5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43000000</v>
      </c>
      <c r="AL50" s="543">
        <f>+IFERROR(
MAX(_xlfn._xlws.FILTER(Table_KHThanThiet_ChinhSach[Tỷ lệ điểm thưởng],
(Table_KHThanThiet_ChinhSach[Doanh thu tối thiểu]&lt;=Table_DonBan[[#This Row],[Doanh thu tính điểm]])
)),0)</f>
        <v>0.05</v>
      </c>
      <c r="AM50" s="17">
        <f xml:space="preserve">
Table_DonBan[[#This Row],[Tỷ lệ tính điểm]]*Table_DonBan[[#This Row],[Doanh thu ròng]]</f>
        <v>110000</v>
      </c>
      <c r="AN50" s="248">
        <f>COUNTA(_xlfn._xlws.FILTER(Table_DonBan[Mã Khách],
(Table_DonBan[Mã Khách]=Table_DonBan[[#This Row],[Mã Khách]])*
(Table_DonBan[Ngày lập]&lt;=Table_DonBan[[#This Row],[Ngày lập]])
))</f>
        <v>7</v>
      </c>
      <c r="AO50" s="246"/>
      <c r="AP50" s="247">
        <f>Table_DonBan[[#This Row],[ĐK - Phân loại]]*Table_DonBan[[#This Row],[ĐK - Thời gian]]*Table_DonBan[[#This Row],[ĐK - Giá trị]]*Table_DonBan[[#This Row],[ĐK - Số lượng]]*Table_DonBan[[#This Row],[ĐK - Sinh nhật]]*Table_DonBan[[#This Row],[ĐK - Ngày mua cuối]]</f>
        <v>1</v>
      </c>
      <c r="AQ50" s="247">
        <f xml:space="preserve">
IF(ISBLANK(Table_DonBan[[#This Row],[Chương trình]]),1,
IF(VLOOKUP(Table_DonBan[[#This Row],[Chương trình]],Table_ChuongTrinh[[Mã Chương trình]:[Đối tượng CK]],Sheet_ChuongTrinh!$C$1,0) = "Đơn hàng",1,0))</f>
        <v>1</v>
      </c>
      <c r="AR5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0" s="247">
        <f>IF(ISBLANK(Table_DonBan[[#This Row],[Chương trình]]),
1,
IF(ISBLANK(VLOOKUP(Table_DonBan[[#This Row],[Chương trình]],Table_ChuongTrinh[],Sheet_ChuongTrinh!$J$1,0)),
1,
IF(Table_DonBan[[#This Row],[Tiền hàng]]&gt;= VLOOKUP(Table_DonBan[[#This Row],[Chương trình]],Table_ChuongTrinh[],Sheet_ChuongTrinh!$J$1,0),
1,
0)))</f>
        <v>1</v>
      </c>
      <c r="AT5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1" spans="20:49" ht="18" customHeight="1" x14ac:dyDescent="0.3">
      <c r="T51" s="250"/>
      <c r="U51" s="51" t="str">
        <f>CONCATENATE("BAN-",Table_DonBan[[#This Row],[Mã Khách]],"-",MOD(YEAR(Table_DonBan[[#This Row],[Ngày lập]]),100)*10000+MONTH(Table_DonBan[[#This Row],[Ngày lập]])*100+DAY(Table_DonBan[[#This Row],[Ngày lập]]),"-",Table_DonBan[[#This Row],[TT]])</f>
        <v>BAN-KH2-250515-</v>
      </c>
      <c r="V51" s="415">
        <v>45792</v>
      </c>
      <c r="W51" s="251" t="s">
        <v>1206</v>
      </c>
      <c r="X51" s="246"/>
      <c r="Y51" s="246"/>
      <c r="Z51" s="17">
        <f>IFERROR(SUM(_xlfn._xlws.FILTER(Table_Main[Giá trị bán trước VAT],
(Table_Main[Đơn bán]=Table_DonBan[[#This Row],[Mã Đơn bán]]),
)),0)</f>
        <v>200000</v>
      </c>
      <c r="AA51" s="17">
        <f>IFERROR(SUM(_xlfn._xlws.FILTER(Table_Main[VAT],
(Table_Main[Đơn bán]=Table_DonBan[[#This Row],[Mã Đơn bán]]),
)),0)</f>
        <v>0</v>
      </c>
      <c r="AB51" s="17" cm="1">
        <f t="array" ref="AB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1946000</v>
      </c>
      <c r="AC51" s="422"/>
      <c r="AD51" s="248"/>
      <c r="AE5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1" s="48">
        <f>(Z51/ABS(Z51))
*IFERROR(
IF(
ISBLANK(
VLOOKUP(
AD51,
Table_ChuongTrinh[],
COUNTA(Table_ChuongTrinh[[#Headers],[Mã Chương trình]:[Tỷ lệ CK]]),
0)
),
VLOOKUP(
AD51,
Table_ChuongTrinh[],
COUNTA(Table_ChuongTrinh[[#Headers],[Mã Chương trình]:[Giá trị CK]]),
0),
VLOOKUP(
AD51,
Table_ChuongTrinh[],
COUNTA(Table_ChuongTrinh[[#Headers],[Mã Chương trình]:[Tỷ lệ CK]]),
0)*ABS(Z51)
),
0)+AC51</f>
        <v>0</v>
      </c>
      <c r="AG51" s="17">
        <f>IFERROR(Table_DonBan[[#This Row],[VAT hàng]]-Table_DonBan[[#This Row],[VAT hàng]]*Table_DonBan[[#This Row],[Giá trị CK]]/Table_DonBan[[#This Row],[Tiền hàng]],0)</f>
        <v>0</v>
      </c>
      <c r="AH51" s="17">
        <f>+Table_DonBan[[#This Row],[Tiền hàng]]-Table_DonBan[[#This Row],[Giá trị CK]]</f>
        <v>200000</v>
      </c>
      <c r="AI51" s="17">
        <f>Table_DonBan[[#This Row],[Doanh thu ròng]]</f>
        <v>200000</v>
      </c>
      <c r="AJ51" s="17">
        <f>Table_DonBan[[#This Row],[Tiền hàng]]+Table_DonBan[[#This Row],[Tổng VAT]]-Table_DonBan[[#This Row],[Giá trị CK]]</f>
        <v>200000</v>
      </c>
      <c r="AK5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71100000</v>
      </c>
      <c r="AL51" s="543">
        <f>+IFERROR(
MAX(_xlfn._xlws.FILTER(Table_KHThanThiet_ChinhSach[Tỷ lệ điểm thưởng],
(Table_KHThanThiet_ChinhSach[Doanh thu tối thiểu]&lt;=Table_DonBan[[#This Row],[Doanh thu tính điểm]])
)),0)</f>
        <v>7.0000000000000007E-2</v>
      </c>
      <c r="AM51" s="17">
        <f xml:space="preserve">
Table_DonBan[[#This Row],[Tỷ lệ tính điểm]]*Table_DonBan[[#This Row],[Doanh thu ròng]]</f>
        <v>14000.000000000002</v>
      </c>
      <c r="AN51" s="248">
        <f>COUNTA(_xlfn._xlws.FILTER(Table_DonBan[Mã Khách],
(Table_DonBan[Mã Khách]=Table_DonBan[[#This Row],[Mã Khách]])*
(Table_DonBan[Ngày lập]&lt;=Table_DonBan[[#This Row],[Ngày lập]])
))</f>
        <v>10</v>
      </c>
      <c r="AO51" s="246"/>
      <c r="AP51" s="247">
        <f>Table_DonBan[[#This Row],[ĐK - Phân loại]]*Table_DonBan[[#This Row],[ĐK - Thời gian]]*Table_DonBan[[#This Row],[ĐK - Giá trị]]*Table_DonBan[[#This Row],[ĐK - Số lượng]]*Table_DonBan[[#This Row],[ĐK - Sinh nhật]]*Table_DonBan[[#This Row],[ĐK - Ngày mua cuối]]</f>
        <v>1</v>
      </c>
      <c r="AQ51" s="247">
        <f xml:space="preserve">
IF(ISBLANK(Table_DonBan[[#This Row],[Chương trình]]),1,
IF(VLOOKUP(Table_DonBan[[#This Row],[Chương trình]],Table_ChuongTrinh[[Mã Chương trình]:[Đối tượng CK]],Sheet_ChuongTrinh!$C$1,0) = "Đơn hàng",1,0))</f>
        <v>1</v>
      </c>
      <c r="AR5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1" s="247">
        <f>IF(ISBLANK(Table_DonBan[[#This Row],[Chương trình]]),
1,
IF(ISBLANK(VLOOKUP(Table_DonBan[[#This Row],[Chương trình]],Table_ChuongTrinh[],Sheet_ChuongTrinh!$J$1,0)),
1,
IF(Table_DonBan[[#This Row],[Tiền hàng]]&gt;= VLOOKUP(Table_DonBan[[#This Row],[Chương trình]],Table_ChuongTrinh[],Sheet_ChuongTrinh!$J$1,0),
1,
0)))</f>
        <v>1</v>
      </c>
      <c r="AT5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300000</v>
      </c>
    </row>
    <row r="52" spans="20:49" ht="18" customHeight="1" x14ac:dyDescent="0.3">
      <c r="T52" s="250"/>
      <c r="U52" s="51" t="str">
        <f>CONCATENATE("BAN-",Table_DonBan[[#This Row],[Mã Khách]],"-",MOD(YEAR(Table_DonBan[[#This Row],[Ngày lập]]),100)*10000+MONTH(Table_DonBan[[#This Row],[Ngày lập]])*100+DAY(Table_DonBan[[#This Row],[Ngày lập]]),"-",Table_DonBan[[#This Row],[TT]])</f>
        <v>BAN-KH1-250509-</v>
      </c>
      <c r="V52" s="415">
        <v>45786</v>
      </c>
      <c r="W52" s="251" t="s">
        <v>1205</v>
      </c>
      <c r="X52" s="246"/>
      <c r="Y52" s="246"/>
      <c r="Z52" s="17">
        <f>IFERROR(SUM(_xlfn._xlws.FILTER(Table_Main[Giá trị bán trước VAT],
(Table_Main[Đơn bán]=Table_DonBan[[#This Row],[Mã Đơn bán]]),
)),0)</f>
        <v>10600000</v>
      </c>
      <c r="AA52" s="17">
        <f>IFERROR(SUM(_xlfn._xlws.FILTER(Table_Main[VAT],
(Table_Main[Đơn bán]=Table_DonBan[[#This Row],[Mã Đơn bán]]),
)),0)</f>
        <v>0</v>
      </c>
      <c r="AB52" s="17" cm="1">
        <f t="array" ref="AB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197000</v>
      </c>
      <c r="AC52" s="422"/>
      <c r="AD52" s="248"/>
      <c r="AE52"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2" s="48">
        <f>(Z52/ABS(Z52))
*IFERROR(
IF(
ISBLANK(
VLOOKUP(
AD52,
Table_ChuongTrinh[],
COUNTA(Table_ChuongTrinh[[#Headers],[Mã Chương trình]:[Tỷ lệ CK]]),
0)
),
VLOOKUP(
AD52,
Table_ChuongTrinh[],
COUNTA(Table_ChuongTrinh[[#Headers],[Mã Chương trình]:[Giá trị CK]]),
0),
VLOOKUP(
AD52,
Table_ChuongTrinh[],
COUNTA(Table_ChuongTrinh[[#Headers],[Mã Chương trình]:[Tỷ lệ CK]]),
0)*ABS(Z52)
),
0)+AC52</f>
        <v>0</v>
      </c>
      <c r="AG52" s="17">
        <f>IFERROR(Table_DonBan[[#This Row],[VAT hàng]]-Table_DonBan[[#This Row],[VAT hàng]]*Table_DonBan[[#This Row],[Giá trị CK]]/Table_DonBan[[#This Row],[Tiền hàng]],0)</f>
        <v>0</v>
      </c>
      <c r="AH52" s="17">
        <f>+Table_DonBan[[#This Row],[Tiền hàng]]-Table_DonBan[[#This Row],[Giá trị CK]]</f>
        <v>10600000</v>
      </c>
      <c r="AI52" s="17">
        <f>Table_DonBan[[#This Row],[Doanh thu ròng]]</f>
        <v>10600000</v>
      </c>
      <c r="AJ52" s="17">
        <f>Table_DonBan[[#This Row],[Tiền hàng]]+Table_DonBan[[#This Row],[Tổng VAT]]-Table_DonBan[[#This Row],[Giá trị CK]]</f>
        <v>10600000</v>
      </c>
      <c r="AK5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32400000</v>
      </c>
      <c r="AL52" s="543">
        <f>+IFERROR(
MAX(_xlfn._xlws.FILTER(Table_KHThanThiet_ChinhSach[Tỷ lệ điểm thưởng],
(Table_KHThanThiet_ChinhSach[Doanh thu tối thiểu]&lt;=Table_DonBan[[#This Row],[Doanh thu tính điểm]])
)),0)</f>
        <v>0.03</v>
      </c>
      <c r="AM52" s="17">
        <f xml:space="preserve">
Table_DonBan[[#This Row],[Tỷ lệ tính điểm]]*Table_DonBan[[#This Row],[Doanh thu ròng]]</f>
        <v>318000</v>
      </c>
      <c r="AN52" s="248">
        <f>COUNTA(_xlfn._xlws.FILTER(Table_DonBan[Mã Khách],
(Table_DonBan[Mã Khách]=Table_DonBan[[#This Row],[Mã Khách]])*
(Table_DonBan[Ngày lập]&lt;=Table_DonBan[[#This Row],[Ngày lập]])
))</f>
        <v>6</v>
      </c>
      <c r="AO52" s="246"/>
      <c r="AP52" s="247">
        <f>Table_DonBan[[#This Row],[ĐK - Phân loại]]*Table_DonBan[[#This Row],[ĐK - Thời gian]]*Table_DonBan[[#This Row],[ĐK - Giá trị]]*Table_DonBan[[#This Row],[ĐK - Số lượng]]*Table_DonBan[[#This Row],[ĐK - Sinh nhật]]*Table_DonBan[[#This Row],[ĐK - Ngày mua cuối]]</f>
        <v>1</v>
      </c>
      <c r="AQ52" s="247">
        <f xml:space="preserve">
IF(ISBLANK(Table_DonBan[[#This Row],[Chương trình]]),1,
IF(VLOOKUP(Table_DonBan[[#This Row],[Chương trình]],Table_ChuongTrinh[[Mã Chương trình]:[Đối tượng CK]],Sheet_ChuongTrinh!$C$1,0) = "Đơn hàng",1,0))</f>
        <v>1</v>
      </c>
      <c r="AR5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2" s="247">
        <f>IF(ISBLANK(Table_DonBan[[#This Row],[Chương trình]]),
1,
IF(ISBLANK(VLOOKUP(Table_DonBan[[#This Row],[Chương trình]],Table_ChuongTrinh[],Sheet_ChuongTrinh!$J$1,0)),
1,
IF(Table_DonBan[[#This Row],[Tiền hàng]]&gt;= VLOOKUP(Table_DonBan[[#This Row],[Chương trình]],Table_ChuongTrinh[],Sheet_ChuongTrinh!$J$1,0),
1,
0)))</f>
        <v>1</v>
      </c>
      <c r="AT5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2"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3" spans="20:49" ht="18" customHeight="1" x14ac:dyDescent="0.3">
      <c r="T53" s="250"/>
      <c r="U53" s="51" t="str">
        <f>CONCATENATE("BAN-",Table_DonBan[[#This Row],[Mã Khách]],"-",MOD(YEAR(Table_DonBan[[#This Row],[Ngày lập]]),100)*10000+MONTH(Table_DonBan[[#This Row],[Ngày lập]])*100+DAY(Table_DonBan[[#This Row],[Ngày lập]]),"-",Table_DonBan[[#This Row],[TT]])</f>
        <v>BAN-KH1-250507-</v>
      </c>
      <c r="V53" s="415">
        <v>45784</v>
      </c>
      <c r="W53" s="251" t="s">
        <v>1205</v>
      </c>
      <c r="X53" s="246"/>
      <c r="Y53" s="246"/>
      <c r="Z53" s="17">
        <f>IFERROR(SUM(_xlfn._xlws.FILTER(Table_Main[Giá trị bán trước VAT],
(Table_Main[Đơn bán]=Table_DonBan[[#This Row],[Mã Đơn bán]]),
)),0)</f>
        <v>17000000</v>
      </c>
      <c r="AA53" s="17">
        <f>IFERROR(SUM(_xlfn._xlws.FILTER(Table_Main[VAT],
(Table_Main[Đơn bán]=Table_DonBan[[#This Row],[Mã Đơn bán]]),
)),0)</f>
        <v>0</v>
      </c>
      <c r="AB53" s="17" cm="1">
        <f t="array" ref="AB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27000</v>
      </c>
      <c r="AC53" s="422"/>
      <c r="AD53" s="248"/>
      <c r="AE53"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3" s="48">
        <f>(Z53/ABS(Z53))
*IFERROR(
IF(
ISBLANK(
VLOOKUP(
AD53,
Table_ChuongTrinh[],
COUNTA(Table_ChuongTrinh[[#Headers],[Mã Chương trình]:[Tỷ lệ CK]]),
0)
),
VLOOKUP(
AD53,
Table_ChuongTrinh[],
COUNTA(Table_ChuongTrinh[[#Headers],[Mã Chương trình]:[Giá trị CK]]),
0),
VLOOKUP(
AD53,
Table_ChuongTrinh[],
COUNTA(Table_ChuongTrinh[[#Headers],[Mã Chương trình]:[Tỷ lệ CK]]),
0)*ABS(Z53)
),
0)+AC53</f>
        <v>0</v>
      </c>
      <c r="AG53" s="17">
        <f>IFERROR(Table_DonBan[[#This Row],[VAT hàng]]-Table_DonBan[[#This Row],[VAT hàng]]*Table_DonBan[[#This Row],[Giá trị CK]]/Table_DonBan[[#This Row],[Tiền hàng]],0)</f>
        <v>0</v>
      </c>
      <c r="AH53" s="17">
        <f>+Table_DonBan[[#This Row],[Tiền hàng]]-Table_DonBan[[#This Row],[Giá trị CK]]</f>
        <v>17000000</v>
      </c>
      <c r="AI53" s="17">
        <f>Table_DonBan[[#This Row],[Doanh thu ròng]]</f>
        <v>17000000</v>
      </c>
      <c r="AJ53" s="17">
        <f>Table_DonBan[[#This Row],[Tiền hàng]]+Table_DonBan[[#This Row],[Tổng VAT]]-Table_DonBan[[#This Row],[Giá trị CK]]</f>
        <v>17000000</v>
      </c>
      <c r="AK5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15400000</v>
      </c>
      <c r="AL53" s="543">
        <f>+IFERROR(
MAX(_xlfn._xlws.FILTER(Table_KHThanThiet_ChinhSach[Tỷ lệ điểm thưởng],
(Table_KHThanThiet_ChinhSach[Doanh thu tối thiểu]&lt;=Table_DonBan[[#This Row],[Doanh thu tính điểm]])
)),0)</f>
        <v>0.01</v>
      </c>
      <c r="AM53" s="17">
        <f xml:space="preserve">
Table_DonBan[[#This Row],[Tỷ lệ tính điểm]]*Table_DonBan[[#This Row],[Doanh thu ròng]]</f>
        <v>170000</v>
      </c>
      <c r="AN53" s="248">
        <f>COUNTA(_xlfn._xlws.FILTER(Table_DonBan[Mã Khách],
(Table_DonBan[Mã Khách]=Table_DonBan[[#This Row],[Mã Khách]])*
(Table_DonBan[Ngày lập]&lt;=Table_DonBan[[#This Row],[Ngày lập]])
))</f>
        <v>5</v>
      </c>
      <c r="AO53" s="246"/>
      <c r="AP53" s="247">
        <f>Table_DonBan[[#This Row],[ĐK - Phân loại]]*Table_DonBan[[#This Row],[ĐK - Thời gian]]*Table_DonBan[[#This Row],[ĐK - Giá trị]]*Table_DonBan[[#This Row],[ĐK - Số lượng]]*Table_DonBan[[#This Row],[ĐK - Sinh nhật]]*Table_DonBan[[#This Row],[ĐK - Ngày mua cuối]]</f>
        <v>1</v>
      </c>
      <c r="AQ53" s="247">
        <f xml:space="preserve">
IF(ISBLANK(Table_DonBan[[#This Row],[Chương trình]]),1,
IF(VLOOKUP(Table_DonBan[[#This Row],[Chương trình]],Table_ChuongTrinh[[Mã Chương trình]:[Đối tượng CK]],Sheet_ChuongTrinh!$C$1,0) = "Đơn hàng",1,0))</f>
        <v>1</v>
      </c>
      <c r="AR5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3" s="247">
        <f>IF(ISBLANK(Table_DonBan[[#This Row],[Chương trình]]),
1,
IF(ISBLANK(VLOOKUP(Table_DonBan[[#This Row],[Chương trình]],Table_ChuongTrinh[],Sheet_ChuongTrinh!$J$1,0)),
1,
IF(Table_DonBan[[#This Row],[Tiền hàng]]&gt;= VLOOKUP(Table_DonBan[[#This Row],[Chương trình]],Table_ChuongTrinh[],Sheet_ChuongTrinh!$J$1,0),
1,
0)))</f>
        <v>1</v>
      </c>
      <c r="AT5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3"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4" spans="20:49" ht="18" customHeight="1" x14ac:dyDescent="0.3">
      <c r="T54" s="250"/>
      <c r="U54" s="51" t="str">
        <f>CONCATENATE("BAN-",Table_DonBan[[#This Row],[Mã Khách]],"-",MOD(YEAR(Table_DonBan[[#This Row],[Ngày lập]]),100)*10000+MONTH(Table_DonBan[[#This Row],[Ngày lập]])*100+DAY(Table_DonBan[[#This Row],[Ngày lập]]),"-",Table_DonBan[[#This Row],[TT]])</f>
        <v>BAN-KH2-250502-</v>
      </c>
      <c r="V54" s="415">
        <v>45779</v>
      </c>
      <c r="W54" s="251" t="s">
        <v>1206</v>
      </c>
      <c r="X54" s="246"/>
      <c r="Y54" s="246"/>
      <c r="Z54" s="17">
        <f>IFERROR(SUM(_xlfn._xlws.FILTER(Table_Main[Giá trị bán trước VAT],
(Table_Main[Đơn bán]=Table_DonBan[[#This Row],[Mã Đơn bán]]),
)),0)</f>
        <v>4800000</v>
      </c>
      <c r="AA54" s="17">
        <f>IFERROR(SUM(_xlfn._xlws.FILTER(Table_Main[VAT],
(Table_Main[Đơn bán]=Table_DonBan[[#This Row],[Mã Đơn bán]]),
)),0)</f>
        <v>0</v>
      </c>
      <c r="AB54" s="17" cm="1">
        <f t="array" ref="AB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1610000</v>
      </c>
      <c r="AC54" s="422"/>
      <c r="AD54" s="248"/>
      <c r="AE54"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4" s="48">
        <f>(Z54/ABS(Z54))
*IFERROR(
IF(
ISBLANK(
VLOOKUP(
AD54,
Table_ChuongTrinh[],
COUNTA(Table_ChuongTrinh[[#Headers],[Mã Chương trình]:[Tỷ lệ CK]]),
0)
),
VLOOKUP(
AD54,
Table_ChuongTrinh[],
COUNTA(Table_ChuongTrinh[[#Headers],[Mã Chương trình]:[Giá trị CK]]),
0),
VLOOKUP(
AD54,
Table_ChuongTrinh[],
COUNTA(Table_ChuongTrinh[[#Headers],[Mã Chương trình]:[Tỷ lệ CK]]),
0)*ABS(Z54)
),
0)+AC54</f>
        <v>0</v>
      </c>
      <c r="AG54" s="17">
        <f>IFERROR(Table_DonBan[[#This Row],[VAT hàng]]-Table_DonBan[[#This Row],[VAT hàng]]*Table_DonBan[[#This Row],[Giá trị CK]]/Table_DonBan[[#This Row],[Tiền hàng]],0)</f>
        <v>0</v>
      </c>
      <c r="AH54" s="17">
        <f>+Table_DonBan[[#This Row],[Tiền hàng]]-Table_DonBan[[#This Row],[Giá trị CK]]</f>
        <v>4800000</v>
      </c>
      <c r="AI54" s="17">
        <f>Table_DonBan[[#This Row],[Doanh thu ròng]]</f>
        <v>4800000</v>
      </c>
      <c r="AJ54" s="17">
        <f>Table_DonBan[[#This Row],[Tiền hàng]]+Table_DonBan[[#This Row],[Tổng VAT]]-Table_DonBan[[#This Row],[Giá trị CK]]</f>
        <v>4800000</v>
      </c>
      <c r="AK5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66300000</v>
      </c>
      <c r="AL54" s="543">
        <f>+IFERROR(
MAX(_xlfn._xlws.FILTER(Table_KHThanThiet_ChinhSach[Tỷ lệ điểm thưởng],
(Table_KHThanThiet_ChinhSach[Doanh thu tối thiểu]&lt;=Table_DonBan[[#This Row],[Doanh thu tính điểm]])
)),0)</f>
        <v>7.0000000000000007E-2</v>
      </c>
      <c r="AM54" s="17">
        <f xml:space="preserve">
Table_DonBan[[#This Row],[Tỷ lệ tính điểm]]*Table_DonBan[[#This Row],[Doanh thu ròng]]</f>
        <v>336000.00000000006</v>
      </c>
      <c r="AN54" s="248">
        <f>COUNTA(_xlfn._xlws.FILTER(Table_DonBan[Mã Khách],
(Table_DonBan[Mã Khách]=Table_DonBan[[#This Row],[Mã Khách]])*
(Table_DonBan[Ngày lập]&lt;=Table_DonBan[[#This Row],[Ngày lập]])
))</f>
        <v>9</v>
      </c>
      <c r="AO54" s="246"/>
      <c r="AP54" s="247">
        <f>Table_DonBan[[#This Row],[ĐK - Phân loại]]*Table_DonBan[[#This Row],[ĐK - Thời gian]]*Table_DonBan[[#This Row],[ĐK - Giá trị]]*Table_DonBan[[#This Row],[ĐK - Số lượng]]*Table_DonBan[[#This Row],[ĐK - Sinh nhật]]*Table_DonBan[[#This Row],[ĐK - Ngày mua cuối]]</f>
        <v>1</v>
      </c>
      <c r="AQ54" s="247">
        <f xml:space="preserve">
IF(ISBLANK(Table_DonBan[[#This Row],[Chương trình]]),1,
IF(VLOOKUP(Table_DonBan[[#This Row],[Chương trình]],Table_ChuongTrinh[[Mã Chương trình]:[Đối tượng CK]],Sheet_ChuongTrinh!$C$1,0) = "Đơn hàng",1,0))</f>
        <v>1</v>
      </c>
      <c r="AR5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4" s="247">
        <f>IF(ISBLANK(Table_DonBan[[#This Row],[Chương trình]]),
1,
IF(ISBLANK(VLOOKUP(Table_DonBan[[#This Row],[Chương trình]],Table_ChuongTrinh[],Sheet_ChuongTrinh!$J$1,0)),
1,
IF(Table_DonBan[[#This Row],[Tiền hàng]]&gt;= VLOOKUP(Table_DonBan[[#This Row],[Chương trình]],Table_ChuongTrinh[],Sheet_ChuongTrinh!$J$1,0),
1,
0)))</f>
        <v>1</v>
      </c>
      <c r="AT5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4"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100000</v>
      </c>
    </row>
    <row r="55" spans="20:49" ht="18" customHeight="1" x14ac:dyDescent="0.3">
      <c r="T55" s="250"/>
      <c r="U55" s="51" t="str">
        <f>CONCATENATE("BAN-",Table_DonBan[[#This Row],[Mã Khách]],"-",MOD(YEAR(Table_DonBan[[#This Row],[Ngày lập]]),100)*10000+MONTH(Table_DonBan[[#This Row],[Ngày lập]])*100+DAY(Table_DonBan[[#This Row],[Ngày lập]]),"-",Table_DonBan[[#This Row],[TT]])</f>
        <v>BAN-KH3-250430-</v>
      </c>
      <c r="V55" s="415">
        <v>45777</v>
      </c>
      <c r="W55" s="251" t="s">
        <v>1207</v>
      </c>
      <c r="X55" s="246"/>
      <c r="Y55" s="246"/>
      <c r="Z55" s="17">
        <f>IFERROR(SUM(_xlfn._xlws.FILTER(Table_Main[Giá trị bán trước VAT],
(Table_Main[Đơn bán]=Table_DonBan[[#This Row],[Mã Đơn bán]]),
)),0)</f>
        <v>19500000</v>
      </c>
      <c r="AA55" s="17">
        <f>IFERROR(SUM(_xlfn._xlws.FILTER(Table_Main[VAT],
(Table_Main[Đơn bán]=Table_DonBan[[#This Row],[Mã Đơn bán]]),
)),0)</f>
        <v>0</v>
      </c>
      <c r="AB55" s="17" cm="1">
        <f t="array" ref="AB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5" s="422"/>
      <c r="AD55" s="248"/>
      <c r="AE55"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5" s="48">
        <f>(Z55/ABS(Z55))
*IFERROR(
IF(
ISBLANK(
VLOOKUP(
AD55,
Table_ChuongTrinh[],
COUNTA(Table_ChuongTrinh[[#Headers],[Mã Chương trình]:[Tỷ lệ CK]]),
0)
),
VLOOKUP(
AD55,
Table_ChuongTrinh[],
COUNTA(Table_ChuongTrinh[[#Headers],[Mã Chương trình]:[Giá trị CK]]),
0),
VLOOKUP(
AD55,
Table_ChuongTrinh[],
COUNTA(Table_ChuongTrinh[[#Headers],[Mã Chương trình]:[Tỷ lệ CK]]),
0)*ABS(Z55)
),
0)+AC55</f>
        <v>0</v>
      </c>
      <c r="AG55" s="17">
        <f>IFERROR(Table_DonBan[[#This Row],[VAT hàng]]-Table_DonBan[[#This Row],[VAT hàng]]*Table_DonBan[[#This Row],[Giá trị CK]]/Table_DonBan[[#This Row],[Tiền hàng]],0)</f>
        <v>0</v>
      </c>
      <c r="AH55" s="17">
        <f>+Table_DonBan[[#This Row],[Tiền hàng]]-Table_DonBan[[#This Row],[Giá trị CK]]</f>
        <v>19500000</v>
      </c>
      <c r="AI55" s="17">
        <f>Table_DonBan[[#This Row],[Doanh thu ròng]]</f>
        <v>19500000</v>
      </c>
      <c r="AJ55" s="17">
        <f>Table_DonBan[[#This Row],[Tiền hàng]]+Table_DonBan[[#This Row],[Tổng VAT]]-Table_DonBan[[#This Row],[Giá trị CK]]</f>
        <v>19500000</v>
      </c>
      <c r="AK5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20000000</v>
      </c>
      <c r="AL55" s="543">
        <f>+IFERROR(
MAX(_xlfn._xlws.FILTER(Table_KHThanThiet_ChinhSach[Tỷ lệ điểm thưởng],
(Table_KHThanThiet_ChinhSach[Doanh thu tối thiểu]&lt;=Table_DonBan[[#This Row],[Doanh thu tính điểm]])
)),0)</f>
        <v>0.03</v>
      </c>
      <c r="AM55" s="17">
        <f xml:space="preserve">
Table_DonBan[[#This Row],[Tỷ lệ tính điểm]]*Table_DonBan[[#This Row],[Doanh thu ròng]]</f>
        <v>585000</v>
      </c>
      <c r="AN55" s="248">
        <f>COUNTA(_xlfn._xlws.FILTER(Table_DonBan[Mã Khách],
(Table_DonBan[Mã Khách]=Table_DonBan[[#This Row],[Mã Khách]])*
(Table_DonBan[Ngày lập]&lt;=Table_DonBan[[#This Row],[Ngày lập]])
))</f>
        <v>5</v>
      </c>
      <c r="AO55" s="246"/>
      <c r="AP55" s="247">
        <f>Table_DonBan[[#This Row],[ĐK - Phân loại]]*Table_DonBan[[#This Row],[ĐK - Thời gian]]*Table_DonBan[[#This Row],[ĐK - Giá trị]]*Table_DonBan[[#This Row],[ĐK - Số lượng]]*Table_DonBan[[#This Row],[ĐK - Sinh nhật]]*Table_DonBan[[#This Row],[ĐK - Ngày mua cuối]]</f>
        <v>1</v>
      </c>
      <c r="AQ55" s="247">
        <f xml:space="preserve">
IF(ISBLANK(Table_DonBan[[#This Row],[Chương trình]]),1,
IF(VLOOKUP(Table_DonBan[[#This Row],[Chương trình]],Table_ChuongTrinh[[Mã Chương trình]:[Đối tượng CK]],Sheet_ChuongTrinh!$C$1,0) = "Đơn hàng",1,0))</f>
        <v>1</v>
      </c>
      <c r="AR5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5" s="247">
        <f>IF(ISBLANK(Table_DonBan[[#This Row],[Chương trình]]),
1,
IF(ISBLANK(VLOOKUP(Table_DonBan[[#This Row],[Chương trình]],Table_ChuongTrinh[],Sheet_ChuongTrinh!$J$1,0)),
1,
IF(Table_DonBan[[#This Row],[Tiền hàng]]&gt;= VLOOKUP(Table_DonBan[[#This Row],[Chương trình]],Table_ChuongTrinh[],Sheet_ChuongTrinh!$J$1,0),
1,
0)))</f>
        <v>1</v>
      </c>
      <c r="AT5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5"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6" spans="20:49" ht="18" customHeight="1" x14ac:dyDescent="0.3">
      <c r="T56" s="250"/>
      <c r="U56" s="51" t="str">
        <f>CONCATENATE("BAN-",Table_DonBan[[#This Row],[Mã Khách]],"-",MOD(YEAR(Table_DonBan[[#This Row],[Ngày lập]]),100)*10000+MONTH(Table_DonBan[[#This Row],[Ngày lập]])*100+DAY(Table_DonBan[[#This Row],[Ngày lập]]),"-",Table_DonBan[[#This Row],[TT]])</f>
        <v>BAN-KH3-250429-</v>
      </c>
      <c r="V56" s="415">
        <v>45776</v>
      </c>
      <c r="W56" s="251" t="s">
        <v>1207</v>
      </c>
      <c r="X56" s="246"/>
      <c r="Y56" s="246"/>
      <c r="Z56" s="17">
        <f>IFERROR(SUM(_xlfn._xlws.FILTER(Table_Main[Giá trị bán trước VAT],
(Table_Main[Đơn bán]=Table_DonBan[[#This Row],[Mã Đơn bán]]),
)),0)</f>
        <v>10500000</v>
      </c>
      <c r="AA56" s="17">
        <f>IFERROR(SUM(_xlfn._xlws.FILTER(Table_Main[VAT],
(Table_Main[Đơn bán]=Table_DonBan[[#This Row],[Mã Đơn bán]]),
)),0)</f>
        <v>0</v>
      </c>
      <c r="AB56" s="17" cm="1">
        <f t="array" ref="AB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6" s="422"/>
      <c r="AD56" s="248"/>
      <c r="AE56"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6" s="48">
        <f>(Z56/ABS(Z56))
*IFERROR(
IF(
ISBLANK(
VLOOKUP(
AD56,
Table_ChuongTrinh[],
COUNTA(Table_ChuongTrinh[[#Headers],[Mã Chương trình]:[Tỷ lệ CK]]),
0)
),
VLOOKUP(
AD56,
Table_ChuongTrinh[],
COUNTA(Table_ChuongTrinh[[#Headers],[Mã Chương trình]:[Giá trị CK]]),
0),
VLOOKUP(
AD56,
Table_ChuongTrinh[],
COUNTA(Table_ChuongTrinh[[#Headers],[Mã Chương trình]:[Tỷ lệ CK]]),
0)*ABS(Z56)
),
0)+AC56</f>
        <v>0</v>
      </c>
      <c r="AG56" s="17">
        <f>IFERROR(Table_DonBan[[#This Row],[VAT hàng]]-Table_DonBan[[#This Row],[VAT hàng]]*Table_DonBan[[#This Row],[Giá trị CK]]/Table_DonBan[[#This Row],[Tiền hàng]],0)</f>
        <v>0</v>
      </c>
      <c r="AH56" s="17">
        <f>+Table_DonBan[[#This Row],[Tiền hàng]]-Table_DonBan[[#This Row],[Giá trị CK]]</f>
        <v>10500000</v>
      </c>
      <c r="AI56" s="17">
        <f>Table_DonBan[[#This Row],[Doanh thu ròng]]</f>
        <v>10500000</v>
      </c>
      <c r="AJ56" s="17">
        <f>Table_DonBan[[#This Row],[Tiền hàng]]+Table_DonBan[[#This Row],[Tổng VAT]]-Table_DonBan[[#This Row],[Giá trị CK]]</f>
        <v>10500000</v>
      </c>
      <c r="AK5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9500000</v>
      </c>
      <c r="AL56" s="543">
        <f>+IFERROR(
MAX(_xlfn._xlws.FILTER(Table_KHThanThiet_ChinhSach[Tỷ lệ điểm thưởng],
(Table_KHThanThiet_ChinhSach[Doanh thu tối thiểu]&lt;=Table_DonBan[[#This Row],[Doanh thu tính điểm]])
)),0)</f>
        <v>0</v>
      </c>
      <c r="AM56" s="17">
        <f xml:space="preserve">
Table_DonBan[[#This Row],[Tỷ lệ tính điểm]]*Table_DonBan[[#This Row],[Doanh thu ròng]]</f>
        <v>0</v>
      </c>
      <c r="AN56" s="248">
        <f>COUNTA(_xlfn._xlws.FILTER(Table_DonBan[Mã Khách],
(Table_DonBan[Mã Khách]=Table_DonBan[[#This Row],[Mã Khách]])*
(Table_DonBan[Ngày lập]&lt;=Table_DonBan[[#This Row],[Ngày lập]])
))</f>
        <v>4</v>
      </c>
      <c r="AO56" s="246"/>
      <c r="AP56" s="247">
        <f>Table_DonBan[[#This Row],[ĐK - Phân loại]]*Table_DonBan[[#This Row],[ĐK - Thời gian]]*Table_DonBan[[#This Row],[ĐK - Giá trị]]*Table_DonBan[[#This Row],[ĐK - Số lượng]]*Table_DonBan[[#This Row],[ĐK - Sinh nhật]]*Table_DonBan[[#This Row],[ĐK - Ngày mua cuối]]</f>
        <v>1</v>
      </c>
      <c r="AQ56" s="247">
        <f xml:space="preserve">
IF(ISBLANK(Table_DonBan[[#This Row],[Chương trình]]),1,
IF(VLOOKUP(Table_DonBan[[#This Row],[Chương trình]],Table_ChuongTrinh[[Mã Chương trình]:[Đối tượng CK]],Sheet_ChuongTrinh!$C$1,0) = "Đơn hàng",1,0))</f>
        <v>1</v>
      </c>
      <c r="AR5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6" s="247">
        <f>IF(ISBLANK(Table_DonBan[[#This Row],[Chương trình]]),
1,
IF(ISBLANK(VLOOKUP(Table_DonBan[[#This Row],[Chương trình]],Table_ChuongTrinh[],Sheet_ChuongTrinh!$J$1,0)),
1,
IF(Table_DonBan[[#This Row],[Tiền hàng]]&gt;= VLOOKUP(Table_DonBan[[#This Row],[Chương trình]],Table_ChuongTrinh[],Sheet_ChuongTrinh!$J$1,0),
1,
0)))</f>
        <v>1</v>
      </c>
      <c r="AT5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6"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7" spans="20:49" ht="18" customHeight="1" x14ac:dyDescent="0.3">
      <c r="T57" s="250"/>
      <c r="U57" s="51" t="str">
        <f>CONCATENATE("BAN-",Table_DonBan[[#This Row],[Mã Khách]],"-",MOD(YEAR(Table_DonBan[[#This Row],[Ngày lập]]),100)*10000+MONTH(Table_DonBan[[#This Row],[Ngày lập]])*100+DAY(Table_DonBan[[#This Row],[Ngày lập]]),"-",Table_DonBan[[#This Row],[TT]])</f>
        <v>BAN-KH2-250427-</v>
      </c>
      <c r="V57" s="415">
        <v>45774</v>
      </c>
      <c r="W57" s="251" t="s">
        <v>1206</v>
      </c>
      <c r="X57" s="246"/>
      <c r="Y57" s="246"/>
      <c r="Z57" s="17">
        <f>IFERROR(SUM(_xlfn._xlws.FILTER(Table_Main[Giá trị bán trước VAT],
(Table_Main[Đơn bán]=Table_DonBan[[#This Row],[Mã Đơn bán]]),
)),0)</f>
        <v>8400000</v>
      </c>
      <c r="AA57" s="17">
        <f>IFERROR(SUM(_xlfn._xlws.FILTER(Table_Main[VAT],
(Table_Main[Đơn bán]=Table_DonBan[[#This Row],[Mã Đơn bán]]),
)),0)</f>
        <v>0</v>
      </c>
      <c r="AB57" s="17" cm="1">
        <f t="array" ref="AB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1190000</v>
      </c>
      <c r="AC57" s="422"/>
      <c r="AD57" s="248"/>
      <c r="AE57"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7" s="48">
        <f>(Z57/ABS(Z57))
*IFERROR(
IF(
ISBLANK(
VLOOKUP(
AD57,
Table_ChuongTrinh[],
COUNTA(Table_ChuongTrinh[[#Headers],[Mã Chương trình]:[Tỷ lệ CK]]),
0)
),
VLOOKUP(
AD57,
Table_ChuongTrinh[],
COUNTA(Table_ChuongTrinh[[#Headers],[Mã Chương trình]:[Giá trị CK]]),
0),
VLOOKUP(
AD57,
Table_ChuongTrinh[],
COUNTA(Table_ChuongTrinh[[#Headers],[Mã Chương trình]:[Tỷ lệ CK]]),
0)*ABS(Z57)
),
0)+AC57</f>
        <v>0</v>
      </c>
      <c r="AG57" s="17">
        <f>IFERROR(Table_DonBan[[#This Row],[VAT hàng]]-Table_DonBan[[#This Row],[VAT hàng]]*Table_DonBan[[#This Row],[Giá trị CK]]/Table_DonBan[[#This Row],[Tiền hàng]],0)</f>
        <v>0</v>
      </c>
      <c r="AH57" s="17">
        <f>+Table_DonBan[[#This Row],[Tiền hàng]]-Table_DonBan[[#This Row],[Giá trị CK]]</f>
        <v>8400000</v>
      </c>
      <c r="AI57" s="17">
        <f>Table_DonBan[[#This Row],[Doanh thu ròng]]</f>
        <v>8400000</v>
      </c>
      <c r="AJ57" s="17">
        <f>Table_DonBan[[#This Row],[Tiền hàng]]+Table_DonBan[[#This Row],[Tổng VAT]]-Table_DonBan[[#This Row],[Giá trị CK]]</f>
        <v>8400000</v>
      </c>
      <c r="AK5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57900000</v>
      </c>
      <c r="AL57" s="543">
        <f>+IFERROR(
MAX(_xlfn._xlws.FILTER(Table_KHThanThiet_ChinhSach[Tỷ lệ điểm thưởng],
(Table_KHThanThiet_ChinhSach[Doanh thu tối thiểu]&lt;=Table_DonBan[[#This Row],[Doanh thu tính điểm]])
)),0)</f>
        <v>0.05</v>
      </c>
      <c r="AM57" s="17">
        <f xml:space="preserve">
Table_DonBan[[#This Row],[Tỷ lệ tính điểm]]*Table_DonBan[[#This Row],[Doanh thu ròng]]</f>
        <v>420000</v>
      </c>
      <c r="AN57" s="248">
        <f>COUNTA(_xlfn._xlws.FILTER(Table_DonBan[Mã Khách],
(Table_DonBan[Mã Khách]=Table_DonBan[[#This Row],[Mã Khách]])*
(Table_DonBan[Ngày lập]&lt;=Table_DonBan[[#This Row],[Ngày lập]])
))</f>
        <v>8</v>
      </c>
      <c r="AO57" s="246"/>
      <c r="AP57" s="247">
        <f>Table_DonBan[[#This Row],[ĐK - Phân loại]]*Table_DonBan[[#This Row],[ĐK - Thời gian]]*Table_DonBan[[#This Row],[ĐK - Giá trị]]*Table_DonBan[[#This Row],[ĐK - Số lượng]]*Table_DonBan[[#This Row],[ĐK - Sinh nhật]]*Table_DonBan[[#This Row],[ĐK - Ngày mua cuối]]</f>
        <v>1</v>
      </c>
      <c r="AQ57" s="247">
        <f xml:space="preserve">
IF(ISBLANK(Table_DonBan[[#This Row],[Chương trình]]),1,
IF(VLOOKUP(Table_DonBan[[#This Row],[Chương trình]],Table_ChuongTrinh[[Mã Chương trình]:[Đối tượng CK]],Sheet_ChuongTrinh!$C$1,0) = "Đơn hàng",1,0))</f>
        <v>1</v>
      </c>
      <c r="AR5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7" s="247">
        <f>IF(ISBLANK(Table_DonBan[[#This Row],[Chương trình]]),
1,
IF(ISBLANK(VLOOKUP(Table_DonBan[[#This Row],[Chương trình]],Table_ChuongTrinh[],Sheet_ChuongTrinh!$J$1,0)),
1,
IF(Table_DonBan[[#This Row],[Tiền hàng]]&gt;= VLOOKUP(Table_DonBan[[#This Row],[Chương trình]],Table_ChuongTrinh[],Sheet_ChuongTrinh!$J$1,0),
1,
0)))</f>
        <v>1</v>
      </c>
      <c r="AT5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7"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8" spans="20:49" ht="18" customHeight="1" x14ac:dyDescent="0.3">
      <c r="T58" s="250"/>
      <c r="U58" s="51" t="str">
        <f>CONCATENATE("BAN-",Table_DonBan[[#This Row],[Mã Khách]],"-",MOD(YEAR(Table_DonBan[[#This Row],[Ngày lập]]),100)*10000+MONTH(Table_DonBan[[#This Row],[Ngày lập]])*100+DAY(Table_DonBan[[#This Row],[Ngày lập]]),"-",Table_DonBan[[#This Row],[TT]])</f>
        <v>BAN-KH2-250424-</v>
      </c>
      <c r="V58" s="415">
        <v>45771</v>
      </c>
      <c r="W58" s="251" t="s">
        <v>1206</v>
      </c>
      <c r="X58" s="246"/>
      <c r="Y58" s="246"/>
      <c r="Z58" s="17">
        <f>IFERROR(SUM(_xlfn._xlws.FILTER(Table_Main[Giá trị bán trước VAT],
(Table_Main[Đơn bán]=Table_DonBan[[#This Row],[Mã Đơn bán]]),
)),0)</f>
        <v>5400000</v>
      </c>
      <c r="AA58" s="17">
        <f>IFERROR(SUM(_xlfn._xlws.FILTER(Table_Main[VAT],
(Table_Main[Đơn bán]=Table_DonBan[[#This Row],[Mã Đơn bán]]),
)),0)</f>
        <v>0</v>
      </c>
      <c r="AB58" s="17" cm="1">
        <f t="array" ref="AB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920000</v>
      </c>
      <c r="AC58" s="422"/>
      <c r="AD58" s="248"/>
      <c r="AE5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8" s="48">
        <f>(Z58/ABS(Z58))
*IFERROR(
IF(
ISBLANK(
VLOOKUP(
AD58,
Table_ChuongTrinh[],
COUNTA(Table_ChuongTrinh[[#Headers],[Mã Chương trình]:[Tỷ lệ CK]]),
0)
),
VLOOKUP(
AD58,
Table_ChuongTrinh[],
COUNTA(Table_ChuongTrinh[[#Headers],[Mã Chương trình]:[Giá trị CK]]),
0),
VLOOKUP(
AD58,
Table_ChuongTrinh[],
COUNTA(Table_ChuongTrinh[[#Headers],[Mã Chương trình]:[Tỷ lệ CK]]),
0)*ABS(Z58)
),
0)+AC58</f>
        <v>0</v>
      </c>
      <c r="AG58" s="17">
        <f>IFERROR(Table_DonBan[[#This Row],[VAT hàng]]-Table_DonBan[[#This Row],[VAT hàng]]*Table_DonBan[[#This Row],[Giá trị CK]]/Table_DonBan[[#This Row],[Tiền hàng]],0)</f>
        <v>0</v>
      </c>
      <c r="AH58" s="17">
        <f>+Table_DonBan[[#This Row],[Tiền hàng]]-Table_DonBan[[#This Row],[Giá trị CK]]</f>
        <v>5400000</v>
      </c>
      <c r="AI58" s="17">
        <f>Table_DonBan[[#This Row],[Doanh thu ròng]]</f>
        <v>5400000</v>
      </c>
      <c r="AJ58" s="17">
        <f>Table_DonBan[[#This Row],[Tiền hàng]]+Table_DonBan[[#This Row],[Tổng VAT]]-Table_DonBan[[#This Row],[Giá trị CK]]</f>
        <v>5400000</v>
      </c>
      <c r="AK5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52500000</v>
      </c>
      <c r="AL58" s="543">
        <f>+IFERROR(
MAX(_xlfn._xlws.FILTER(Table_KHThanThiet_ChinhSach[Tỷ lệ điểm thưởng],
(Table_KHThanThiet_ChinhSach[Doanh thu tối thiểu]&lt;=Table_DonBan[[#This Row],[Doanh thu tính điểm]])
)),0)</f>
        <v>0.05</v>
      </c>
      <c r="AM58" s="17">
        <f xml:space="preserve">
Table_DonBan[[#This Row],[Tỷ lệ tính điểm]]*Table_DonBan[[#This Row],[Doanh thu ròng]]</f>
        <v>270000</v>
      </c>
      <c r="AN58" s="248">
        <f>COUNTA(_xlfn._xlws.FILTER(Table_DonBan[Mã Khách],
(Table_DonBan[Mã Khách]=Table_DonBan[[#This Row],[Mã Khách]])*
(Table_DonBan[Ngày lập]&lt;=Table_DonBan[[#This Row],[Ngày lập]])
))</f>
        <v>7</v>
      </c>
      <c r="AO58" s="246"/>
      <c r="AP58" s="247">
        <f>Table_DonBan[[#This Row],[ĐK - Phân loại]]*Table_DonBan[[#This Row],[ĐK - Thời gian]]*Table_DonBan[[#This Row],[ĐK - Giá trị]]*Table_DonBan[[#This Row],[ĐK - Số lượng]]*Table_DonBan[[#This Row],[ĐK - Sinh nhật]]*Table_DonBan[[#This Row],[ĐK - Ngày mua cuối]]</f>
        <v>1</v>
      </c>
      <c r="AQ58" s="247">
        <f xml:space="preserve">
IF(ISBLANK(Table_DonBan[[#This Row],[Chương trình]]),1,
IF(VLOOKUP(Table_DonBan[[#This Row],[Chương trình]],Table_ChuongTrinh[[Mã Chương trình]:[Đối tượng CK]],Sheet_ChuongTrinh!$C$1,0) = "Đơn hàng",1,0))</f>
        <v>1</v>
      </c>
      <c r="AR5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8" s="247">
        <f>IF(ISBLANK(Table_DonBan[[#This Row],[Chương trình]]),
1,
IF(ISBLANK(VLOOKUP(Table_DonBan[[#This Row],[Chương trình]],Table_ChuongTrinh[],Sheet_ChuongTrinh!$J$1,0)),
1,
IF(Table_DonBan[[#This Row],[Tiền hàng]]&gt;= VLOOKUP(Table_DonBan[[#This Row],[Chương trình]],Table_ChuongTrinh[],Sheet_ChuongTrinh!$J$1,0),
1,
0)))</f>
        <v>1</v>
      </c>
      <c r="AT5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9" spans="20:49" ht="18" customHeight="1" x14ac:dyDescent="0.3">
      <c r="T59" s="250"/>
      <c r="U59" s="51" t="str">
        <f>CONCATENATE("BAN-",Table_DonBan[[#This Row],[Mã Khách]],"-",MOD(YEAR(Table_DonBan[[#This Row],[Ngày lập]]),100)*10000+MONTH(Table_DonBan[[#This Row],[Ngày lập]])*100+DAY(Table_DonBan[[#This Row],[Ngày lập]]),"-",Table_DonBan[[#This Row],[TT]])</f>
        <v>BAN-KH3-250417-</v>
      </c>
      <c r="V59" s="415">
        <v>45764</v>
      </c>
      <c r="W59" s="251" t="s">
        <v>1207</v>
      </c>
      <c r="X59" s="246"/>
      <c r="Y59" s="246"/>
      <c r="Z59" s="17">
        <f>IFERROR(SUM(_xlfn._xlws.FILTER(Table_Main[Giá trị bán trước VAT],
(Table_Main[Đơn bán]=Table_DonBan[[#This Row],[Mã Đơn bán]]),
)),0)</f>
        <v>2300000</v>
      </c>
      <c r="AA59" s="17">
        <f>IFERROR(SUM(_xlfn._xlws.FILTER(Table_Main[VAT],
(Table_Main[Đơn bán]=Table_DonBan[[#This Row],[Mã Đơn bán]]),
)),0)</f>
        <v>0</v>
      </c>
      <c r="AB59" s="17" cm="1">
        <f t="array" ref="AB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9" s="422"/>
      <c r="AD59" s="248"/>
      <c r="AE5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9" s="48">
        <f>(Z59/ABS(Z59))
*IFERROR(
IF(
ISBLANK(
VLOOKUP(
AD59,
Table_ChuongTrinh[],
COUNTA(Table_ChuongTrinh[[#Headers],[Mã Chương trình]:[Tỷ lệ CK]]),
0)
),
VLOOKUP(
AD59,
Table_ChuongTrinh[],
COUNTA(Table_ChuongTrinh[[#Headers],[Mã Chương trình]:[Giá trị CK]]),
0),
VLOOKUP(
AD59,
Table_ChuongTrinh[],
COUNTA(Table_ChuongTrinh[[#Headers],[Mã Chương trình]:[Tỷ lệ CK]]),
0)*ABS(Z59)
),
0)+AC59</f>
        <v>0</v>
      </c>
      <c r="AG59" s="17">
        <f>IFERROR(Table_DonBan[[#This Row],[VAT hàng]]-Table_DonBan[[#This Row],[VAT hàng]]*Table_DonBan[[#This Row],[Giá trị CK]]/Table_DonBan[[#This Row],[Tiền hàng]],0)</f>
        <v>0</v>
      </c>
      <c r="AH59" s="17">
        <f>+Table_DonBan[[#This Row],[Tiền hàng]]-Table_DonBan[[#This Row],[Giá trị CK]]</f>
        <v>2300000</v>
      </c>
      <c r="AI59" s="17">
        <f>Table_DonBan[[#This Row],[Doanh thu ròng]]</f>
        <v>2300000</v>
      </c>
      <c r="AJ59" s="17">
        <f>Table_DonBan[[#This Row],[Tiền hàng]]+Table_DonBan[[#This Row],[Tổng VAT]]-Table_DonBan[[#This Row],[Giá trị CK]]</f>
        <v>2300000</v>
      </c>
      <c r="AK5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7200000</v>
      </c>
      <c r="AL59" s="543">
        <f>+IFERROR(
MAX(_xlfn._xlws.FILTER(Table_KHThanThiet_ChinhSach[Tỷ lệ điểm thưởng],
(Table_KHThanThiet_ChinhSach[Doanh thu tối thiểu]&lt;=Table_DonBan[[#This Row],[Doanh thu tính điểm]])
)),0)</f>
        <v>0</v>
      </c>
      <c r="AM59" s="17">
        <f xml:space="preserve">
Table_DonBan[[#This Row],[Tỷ lệ tính điểm]]*Table_DonBan[[#This Row],[Doanh thu ròng]]</f>
        <v>0</v>
      </c>
      <c r="AN59" s="248">
        <f>COUNTA(_xlfn._xlws.FILTER(Table_DonBan[Mã Khách],
(Table_DonBan[Mã Khách]=Table_DonBan[[#This Row],[Mã Khách]])*
(Table_DonBan[Ngày lập]&lt;=Table_DonBan[[#This Row],[Ngày lập]])
))</f>
        <v>3</v>
      </c>
      <c r="AO59" s="246"/>
      <c r="AP59" s="247">
        <f>Table_DonBan[[#This Row],[ĐK - Phân loại]]*Table_DonBan[[#This Row],[ĐK - Thời gian]]*Table_DonBan[[#This Row],[ĐK - Giá trị]]*Table_DonBan[[#This Row],[ĐK - Số lượng]]*Table_DonBan[[#This Row],[ĐK - Sinh nhật]]*Table_DonBan[[#This Row],[ĐK - Ngày mua cuối]]</f>
        <v>1</v>
      </c>
      <c r="AQ59" s="247">
        <f xml:space="preserve">
IF(ISBLANK(Table_DonBan[[#This Row],[Chương trình]]),1,
IF(VLOOKUP(Table_DonBan[[#This Row],[Chương trình]],Table_ChuongTrinh[[Mã Chương trình]:[Đối tượng CK]],Sheet_ChuongTrinh!$C$1,0) = "Đơn hàng",1,0))</f>
        <v>1</v>
      </c>
      <c r="AR5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9" s="247">
        <f>IF(ISBLANK(Table_DonBan[[#This Row],[Chương trình]]),
1,
IF(ISBLANK(VLOOKUP(Table_DonBan[[#This Row],[Chương trình]],Table_ChuongTrinh[],Sheet_ChuongTrinh!$J$1,0)),
1,
IF(Table_DonBan[[#This Row],[Tiền hàng]]&gt;= VLOOKUP(Table_DonBan[[#This Row],[Chương trình]],Table_ChuongTrinh[],Sheet_ChuongTrinh!$J$1,0),
1,
0)))</f>
        <v>1</v>
      </c>
      <c r="AT5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0" spans="20:49" ht="18" customHeight="1" x14ac:dyDescent="0.3">
      <c r="T60" s="250"/>
      <c r="U60" s="51" t="str">
        <f>CONCATENATE("BAN-",Table_DonBan[[#This Row],[Mã Khách]],"-",MOD(YEAR(Table_DonBan[[#This Row],[Ngày lập]]),100)*10000+MONTH(Table_DonBan[[#This Row],[Ngày lập]])*100+DAY(Table_DonBan[[#This Row],[Ngày lập]]),"-",Table_DonBan[[#This Row],[TT]])</f>
        <v>BAN-KH2-250415-</v>
      </c>
      <c r="V60" s="415">
        <v>45762</v>
      </c>
      <c r="W60" s="251" t="s">
        <v>1206</v>
      </c>
      <c r="X60" s="246"/>
      <c r="Y60" s="246"/>
      <c r="Z60" s="17">
        <f>IFERROR(SUM(_xlfn._xlws.FILTER(Table_Main[Giá trị bán trước VAT],
(Table_Main[Đơn bán]=Table_DonBan[[#This Row],[Mã Đơn bán]]),
)),0)</f>
        <v>3300000</v>
      </c>
      <c r="AA60" s="17">
        <f>IFERROR(SUM(_xlfn._xlws.FILTER(Table_Main[VAT],
(Table_Main[Đơn bán]=Table_DonBan[[#This Row],[Mã Đơn bán]]),
)),0)</f>
        <v>0</v>
      </c>
      <c r="AB60" s="17" cm="1">
        <f t="array" ref="AB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755000</v>
      </c>
      <c r="AC60" s="422"/>
      <c r="AD60" s="248"/>
      <c r="AE6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0" s="48">
        <f>(Z60/ABS(Z60))
*IFERROR(
IF(
ISBLANK(
VLOOKUP(
AD60,
Table_ChuongTrinh[],
COUNTA(Table_ChuongTrinh[[#Headers],[Mã Chương trình]:[Tỷ lệ CK]]),
0)
),
VLOOKUP(
AD60,
Table_ChuongTrinh[],
COUNTA(Table_ChuongTrinh[[#Headers],[Mã Chương trình]:[Giá trị CK]]),
0),
VLOOKUP(
AD60,
Table_ChuongTrinh[],
COUNTA(Table_ChuongTrinh[[#Headers],[Mã Chương trình]:[Tỷ lệ CK]]),
0)*ABS(Z60)
),
0)+AC60</f>
        <v>0</v>
      </c>
      <c r="AG60" s="17">
        <f>IFERROR(Table_DonBan[[#This Row],[VAT hàng]]-Table_DonBan[[#This Row],[VAT hàng]]*Table_DonBan[[#This Row],[Giá trị CK]]/Table_DonBan[[#This Row],[Tiền hàng]],0)</f>
        <v>0</v>
      </c>
      <c r="AH60" s="17">
        <f>+Table_DonBan[[#This Row],[Tiền hàng]]-Table_DonBan[[#This Row],[Giá trị CK]]</f>
        <v>3300000</v>
      </c>
      <c r="AI60" s="17">
        <f>Table_DonBan[[#This Row],[Doanh thu ròng]]</f>
        <v>3300000</v>
      </c>
      <c r="AJ60" s="17">
        <f>Table_DonBan[[#This Row],[Tiền hàng]]+Table_DonBan[[#This Row],[Tổng VAT]]-Table_DonBan[[#This Row],[Giá trị CK]]</f>
        <v>3300000</v>
      </c>
      <c r="AK6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49200000</v>
      </c>
      <c r="AL60" s="543">
        <f>+IFERROR(
MAX(_xlfn._xlws.FILTER(Table_KHThanThiet_ChinhSach[Tỷ lệ điểm thưởng],
(Table_KHThanThiet_ChinhSach[Doanh thu tối thiểu]&lt;=Table_DonBan[[#This Row],[Doanh thu tính điểm]])
)),0)</f>
        <v>0.05</v>
      </c>
      <c r="AM60" s="17">
        <f xml:space="preserve">
Table_DonBan[[#This Row],[Tỷ lệ tính điểm]]*Table_DonBan[[#This Row],[Doanh thu ròng]]</f>
        <v>165000</v>
      </c>
      <c r="AN60" s="248">
        <f>COUNTA(_xlfn._xlws.FILTER(Table_DonBan[Mã Khách],
(Table_DonBan[Mã Khách]=Table_DonBan[[#This Row],[Mã Khách]])*
(Table_DonBan[Ngày lập]&lt;=Table_DonBan[[#This Row],[Ngày lập]])
))</f>
        <v>6</v>
      </c>
      <c r="AO60" s="246"/>
      <c r="AP60" s="247">
        <f>Table_DonBan[[#This Row],[ĐK - Phân loại]]*Table_DonBan[[#This Row],[ĐK - Thời gian]]*Table_DonBan[[#This Row],[ĐK - Giá trị]]*Table_DonBan[[#This Row],[ĐK - Số lượng]]*Table_DonBan[[#This Row],[ĐK - Sinh nhật]]*Table_DonBan[[#This Row],[ĐK - Ngày mua cuối]]</f>
        <v>1</v>
      </c>
      <c r="AQ60" s="247">
        <f xml:space="preserve">
IF(ISBLANK(Table_DonBan[[#This Row],[Chương trình]]),1,
IF(VLOOKUP(Table_DonBan[[#This Row],[Chương trình]],Table_ChuongTrinh[[Mã Chương trình]:[Đối tượng CK]],Sheet_ChuongTrinh!$C$1,0) = "Đơn hàng",1,0))</f>
        <v>1</v>
      </c>
      <c r="AR6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0" s="247">
        <f>IF(ISBLANK(Table_DonBan[[#This Row],[Chương trình]]),
1,
IF(ISBLANK(VLOOKUP(Table_DonBan[[#This Row],[Chương trình]],Table_ChuongTrinh[],Sheet_ChuongTrinh!$J$1,0)),
1,
IF(Table_DonBan[[#This Row],[Tiền hàng]]&gt;= VLOOKUP(Table_DonBan[[#This Row],[Chương trình]],Table_ChuongTrinh[],Sheet_ChuongTrinh!$J$1,0),
1,
0)))</f>
        <v>1</v>
      </c>
      <c r="AT6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1" spans="20:49" ht="18" customHeight="1" x14ac:dyDescent="0.3">
      <c r="T61" s="250"/>
      <c r="U61" s="51" t="str">
        <f>CONCATENATE("BAN-",Table_DonBan[[#This Row],[Mã Khách]],"-",MOD(YEAR(Table_DonBan[[#This Row],[Ngày lập]]),100)*10000+MONTH(Table_DonBan[[#This Row],[Ngày lập]])*100+DAY(Table_DonBan[[#This Row],[Ngày lập]]),"-",Table_DonBan[[#This Row],[TT]])</f>
        <v>BAN-KH2-250414-</v>
      </c>
      <c r="V61" s="415">
        <v>45761</v>
      </c>
      <c r="W61" s="251" t="s">
        <v>1206</v>
      </c>
      <c r="X61" s="246"/>
      <c r="Y61" s="246"/>
      <c r="Z61" s="17">
        <f>IFERROR(SUM(_xlfn._xlws.FILTER(Table_Main[Giá trị bán trước VAT],
(Table_Main[Đơn bán]=Table_DonBan[[#This Row],[Mã Đơn bán]]),
)),0)</f>
        <v>3900000</v>
      </c>
      <c r="AA61" s="17">
        <f>IFERROR(SUM(_xlfn._xlws.FILTER(Table_Main[VAT],
(Table_Main[Đơn bán]=Table_DonBan[[#This Row],[Mã Đơn bán]]),
)),0)</f>
        <v>0</v>
      </c>
      <c r="AB61" s="17" cm="1">
        <f t="array" ref="AB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560000</v>
      </c>
      <c r="AC61" s="422"/>
      <c r="AD61" s="248"/>
      <c r="AE6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1" s="48">
        <f>(Z61/ABS(Z61))
*IFERROR(
IF(
ISBLANK(
VLOOKUP(
AD61,
Table_ChuongTrinh[],
COUNTA(Table_ChuongTrinh[[#Headers],[Mã Chương trình]:[Tỷ lệ CK]]),
0)
),
VLOOKUP(
AD61,
Table_ChuongTrinh[],
COUNTA(Table_ChuongTrinh[[#Headers],[Mã Chương trình]:[Giá trị CK]]),
0),
VLOOKUP(
AD61,
Table_ChuongTrinh[],
COUNTA(Table_ChuongTrinh[[#Headers],[Mã Chương trình]:[Tỷ lệ CK]]),
0)*ABS(Z61)
),
0)+AC61</f>
        <v>0</v>
      </c>
      <c r="AG61" s="17">
        <f>IFERROR(Table_DonBan[[#This Row],[VAT hàng]]-Table_DonBan[[#This Row],[VAT hàng]]*Table_DonBan[[#This Row],[Giá trị CK]]/Table_DonBan[[#This Row],[Tiền hàng]],0)</f>
        <v>0</v>
      </c>
      <c r="AH61" s="17">
        <f>+Table_DonBan[[#This Row],[Tiền hàng]]-Table_DonBan[[#This Row],[Giá trị CK]]</f>
        <v>3900000</v>
      </c>
      <c r="AI61" s="17">
        <f>Table_DonBan[[#This Row],[Doanh thu ròng]]</f>
        <v>3900000</v>
      </c>
      <c r="AJ61" s="17">
        <f>Table_DonBan[[#This Row],[Tiền hàng]]+Table_DonBan[[#This Row],[Tổng VAT]]-Table_DonBan[[#This Row],[Giá trị CK]]</f>
        <v>3900000</v>
      </c>
      <c r="AK6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45300000</v>
      </c>
      <c r="AL61" s="543">
        <f>+IFERROR(
MAX(_xlfn._xlws.FILTER(Table_KHThanThiet_ChinhSach[Tỷ lệ điểm thưởng],
(Table_KHThanThiet_ChinhSach[Doanh thu tối thiểu]&lt;=Table_DonBan[[#This Row],[Doanh thu tính điểm]])
)),0)</f>
        <v>0.05</v>
      </c>
      <c r="AM61" s="17">
        <f xml:space="preserve">
Table_DonBan[[#This Row],[Tỷ lệ tính điểm]]*Table_DonBan[[#This Row],[Doanh thu ròng]]</f>
        <v>195000</v>
      </c>
      <c r="AN61" s="248">
        <f>COUNTA(_xlfn._xlws.FILTER(Table_DonBan[Mã Khách],
(Table_DonBan[Mã Khách]=Table_DonBan[[#This Row],[Mã Khách]])*
(Table_DonBan[Ngày lập]&lt;=Table_DonBan[[#This Row],[Ngày lập]])
))</f>
        <v>5</v>
      </c>
      <c r="AO61" s="246"/>
      <c r="AP61" s="247">
        <f>Table_DonBan[[#This Row],[ĐK - Phân loại]]*Table_DonBan[[#This Row],[ĐK - Thời gian]]*Table_DonBan[[#This Row],[ĐK - Giá trị]]*Table_DonBan[[#This Row],[ĐK - Số lượng]]*Table_DonBan[[#This Row],[ĐK - Sinh nhật]]*Table_DonBan[[#This Row],[ĐK - Ngày mua cuối]]</f>
        <v>1</v>
      </c>
      <c r="AQ61" s="247">
        <f xml:space="preserve">
IF(ISBLANK(Table_DonBan[[#This Row],[Chương trình]]),1,
IF(VLOOKUP(Table_DonBan[[#This Row],[Chương trình]],Table_ChuongTrinh[[Mã Chương trình]:[Đối tượng CK]],Sheet_ChuongTrinh!$C$1,0) = "Đơn hàng",1,0))</f>
        <v>1</v>
      </c>
      <c r="AR6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1" s="247">
        <f>IF(ISBLANK(Table_DonBan[[#This Row],[Chương trình]]),
1,
IF(ISBLANK(VLOOKUP(Table_DonBan[[#This Row],[Chương trình]],Table_ChuongTrinh[],Sheet_ChuongTrinh!$J$1,0)),
1,
IF(Table_DonBan[[#This Row],[Tiền hàng]]&gt;= VLOOKUP(Table_DonBan[[#This Row],[Chương trình]],Table_ChuongTrinh[],Sheet_ChuongTrinh!$J$1,0),
1,
0)))</f>
        <v>1</v>
      </c>
      <c r="AT6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2" spans="20:49" ht="18" customHeight="1" x14ac:dyDescent="0.3">
      <c r="T62" s="250"/>
      <c r="U62" s="51" t="str">
        <f>CONCATENATE("BAN-",Table_DonBan[[#This Row],[Mã Khách]],"-",MOD(YEAR(Table_DonBan[[#This Row],[Ngày lập]]),100)*10000+MONTH(Table_DonBan[[#This Row],[Ngày lập]])*100+DAY(Table_DonBan[[#This Row],[Ngày lập]]),"-",Table_DonBan[[#This Row],[TT]])</f>
        <v>BAN-KH1-250411-</v>
      </c>
      <c r="V62" s="415">
        <v>45758</v>
      </c>
      <c r="W62" s="251" t="s">
        <v>1205</v>
      </c>
      <c r="X62" s="246"/>
      <c r="Y62" s="246"/>
      <c r="Z62" s="17">
        <f>IFERROR(SUM(_xlfn._xlws.FILTER(Table_Main[Giá trị bán trước VAT],
(Table_Main[Đơn bán]=Table_DonBan[[#This Row],[Mã Đơn bán]]),
)),0)</f>
        <v>2700000</v>
      </c>
      <c r="AA62" s="17">
        <f>IFERROR(SUM(_xlfn._xlws.FILTER(Table_Main[VAT],
(Table_Main[Đơn bán]=Table_DonBan[[#This Row],[Mã Đơn bán]]),
)),0)</f>
        <v>0</v>
      </c>
      <c r="AB62" s="17" cm="1">
        <f t="array" ref="AB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2" s="422"/>
      <c r="AD62" s="248"/>
      <c r="AE62"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2" s="48">
        <f>(Z62/ABS(Z62))
*IFERROR(
IF(
ISBLANK(
VLOOKUP(
AD62,
Table_ChuongTrinh[],
COUNTA(Table_ChuongTrinh[[#Headers],[Mã Chương trình]:[Tỷ lệ CK]]),
0)
),
VLOOKUP(
AD62,
Table_ChuongTrinh[],
COUNTA(Table_ChuongTrinh[[#Headers],[Mã Chương trình]:[Giá trị CK]]),
0),
VLOOKUP(
AD62,
Table_ChuongTrinh[],
COUNTA(Table_ChuongTrinh[[#Headers],[Mã Chương trình]:[Tỷ lệ CK]]),
0)*ABS(Z62)
),
0)+AC62</f>
        <v>0</v>
      </c>
      <c r="AG62" s="17">
        <f>IFERROR(Table_DonBan[[#This Row],[VAT hàng]]-Table_DonBan[[#This Row],[VAT hàng]]*Table_DonBan[[#This Row],[Giá trị CK]]/Table_DonBan[[#This Row],[Tiền hàng]],0)</f>
        <v>0</v>
      </c>
      <c r="AH62" s="17">
        <f>+Table_DonBan[[#This Row],[Tiền hàng]]-Table_DonBan[[#This Row],[Giá trị CK]]</f>
        <v>2700000</v>
      </c>
      <c r="AI62" s="17">
        <f>Table_DonBan[[#This Row],[Doanh thu ròng]]</f>
        <v>2700000</v>
      </c>
      <c r="AJ62" s="17">
        <f>Table_DonBan[[#This Row],[Tiền hàng]]+Table_DonBan[[#This Row],[Tổng VAT]]-Table_DonBan[[#This Row],[Giá trị CK]]</f>
        <v>2700000</v>
      </c>
      <c r="AK6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12700000</v>
      </c>
      <c r="AL62" s="543">
        <f>+IFERROR(
MAX(_xlfn._xlws.FILTER(Table_KHThanThiet_ChinhSach[Tỷ lệ điểm thưởng],
(Table_KHThanThiet_ChinhSach[Doanh thu tối thiểu]&lt;=Table_DonBan[[#This Row],[Doanh thu tính điểm]])
)),0)</f>
        <v>0.01</v>
      </c>
      <c r="AM62" s="17">
        <f xml:space="preserve">
Table_DonBan[[#This Row],[Tỷ lệ tính điểm]]*Table_DonBan[[#This Row],[Doanh thu ròng]]</f>
        <v>27000</v>
      </c>
      <c r="AN62" s="248">
        <f>COUNTA(_xlfn._xlws.FILTER(Table_DonBan[Mã Khách],
(Table_DonBan[Mã Khách]=Table_DonBan[[#This Row],[Mã Khách]])*
(Table_DonBan[Ngày lập]&lt;=Table_DonBan[[#This Row],[Ngày lập]])
))</f>
        <v>4</v>
      </c>
      <c r="AO62" s="246"/>
      <c r="AP62" s="247">
        <f>Table_DonBan[[#This Row],[ĐK - Phân loại]]*Table_DonBan[[#This Row],[ĐK - Thời gian]]*Table_DonBan[[#This Row],[ĐK - Giá trị]]*Table_DonBan[[#This Row],[ĐK - Số lượng]]*Table_DonBan[[#This Row],[ĐK - Sinh nhật]]*Table_DonBan[[#This Row],[ĐK - Ngày mua cuối]]</f>
        <v>1</v>
      </c>
      <c r="AQ62" s="247">
        <f xml:space="preserve">
IF(ISBLANK(Table_DonBan[[#This Row],[Chương trình]]),1,
IF(VLOOKUP(Table_DonBan[[#This Row],[Chương trình]],Table_ChuongTrinh[[Mã Chương trình]:[Đối tượng CK]],Sheet_ChuongTrinh!$C$1,0) = "Đơn hàng",1,0))</f>
        <v>1</v>
      </c>
      <c r="AR6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2" s="247">
        <f>IF(ISBLANK(Table_DonBan[[#This Row],[Chương trình]]),
1,
IF(ISBLANK(VLOOKUP(Table_DonBan[[#This Row],[Chương trình]],Table_ChuongTrinh[],Sheet_ChuongTrinh!$J$1,0)),
1,
IF(Table_DonBan[[#This Row],[Tiền hàng]]&gt;= VLOOKUP(Table_DonBan[[#This Row],[Chương trình]],Table_ChuongTrinh[],Sheet_ChuongTrinh!$J$1,0),
1,
0)))</f>
        <v>1</v>
      </c>
      <c r="AT6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2"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3" spans="20:49" ht="18" customHeight="1" x14ac:dyDescent="0.3">
      <c r="T63" s="250"/>
      <c r="U63" s="51" t="str">
        <f>CONCATENATE("BAN-",Table_DonBan[[#This Row],[Mã Khách]],"-",MOD(YEAR(Table_DonBan[[#This Row],[Ngày lập]]),100)*10000+MONTH(Table_DonBan[[#This Row],[Ngày lập]])*100+DAY(Table_DonBan[[#This Row],[Ngày lập]]),"-",Table_DonBan[[#This Row],[TT]])</f>
        <v>BAN-KH3-250409-</v>
      </c>
      <c r="V63" s="415">
        <v>45756</v>
      </c>
      <c r="W63" s="251" t="s">
        <v>1207</v>
      </c>
      <c r="X63" s="246"/>
      <c r="Y63" s="246"/>
      <c r="Z63" s="17">
        <f>IFERROR(SUM(_xlfn._xlws.FILTER(Table_Main[Giá trị bán trước VAT],
(Table_Main[Đơn bán]=Table_DonBan[[#This Row],[Mã Đơn bán]]),
)),0)</f>
        <v>4200000</v>
      </c>
      <c r="AA63" s="17">
        <f>IFERROR(SUM(_xlfn._xlws.FILTER(Table_Main[VAT],
(Table_Main[Đơn bán]=Table_DonBan[[#This Row],[Mã Đơn bán]]),
)),0)</f>
        <v>0</v>
      </c>
      <c r="AB63" s="17" cm="1">
        <f t="array" ref="AB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3" s="422"/>
      <c r="AD63" s="248"/>
      <c r="AE63"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3" s="48">
        <f>(Z63/ABS(Z63))
*IFERROR(
IF(
ISBLANK(
VLOOKUP(
AD63,
Table_ChuongTrinh[],
COUNTA(Table_ChuongTrinh[[#Headers],[Mã Chương trình]:[Tỷ lệ CK]]),
0)
),
VLOOKUP(
AD63,
Table_ChuongTrinh[],
COUNTA(Table_ChuongTrinh[[#Headers],[Mã Chương trình]:[Giá trị CK]]),
0),
VLOOKUP(
AD63,
Table_ChuongTrinh[],
COUNTA(Table_ChuongTrinh[[#Headers],[Mã Chương trình]:[Tỷ lệ CK]]),
0)*ABS(Z63)
),
0)+AC63</f>
        <v>0</v>
      </c>
      <c r="AG63" s="17">
        <f>IFERROR(Table_DonBan[[#This Row],[VAT hàng]]-Table_DonBan[[#This Row],[VAT hàng]]*Table_DonBan[[#This Row],[Giá trị CK]]/Table_DonBan[[#This Row],[Tiền hàng]],0)</f>
        <v>0</v>
      </c>
      <c r="AH63" s="17">
        <f>+Table_DonBan[[#This Row],[Tiền hàng]]-Table_DonBan[[#This Row],[Giá trị CK]]</f>
        <v>4200000</v>
      </c>
      <c r="AI63" s="17">
        <f>Table_DonBan[[#This Row],[Doanh thu ròng]]</f>
        <v>4200000</v>
      </c>
      <c r="AJ63" s="17">
        <f>Table_DonBan[[#This Row],[Tiền hàng]]+Table_DonBan[[#This Row],[Tổng VAT]]-Table_DonBan[[#This Row],[Giá trị CK]]</f>
        <v>4200000</v>
      </c>
      <c r="AK6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3000000</v>
      </c>
      <c r="AL63" s="543">
        <f>+IFERROR(
MAX(_xlfn._xlws.FILTER(Table_KHThanThiet_ChinhSach[Tỷ lệ điểm thưởng],
(Table_KHThanThiet_ChinhSach[Doanh thu tối thiểu]&lt;=Table_DonBan[[#This Row],[Doanh thu tính điểm]])
)),0)</f>
        <v>0</v>
      </c>
      <c r="AM63" s="17">
        <f xml:space="preserve">
Table_DonBan[[#This Row],[Tỷ lệ tính điểm]]*Table_DonBan[[#This Row],[Doanh thu ròng]]</f>
        <v>0</v>
      </c>
      <c r="AN63" s="248">
        <f>COUNTA(_xlfn._xlws.FILTER(Table_DonBan[Mã Khách],
(Table_DonBan[Mã Khách]=Table_DonBan[[#This Row],[Mã Khách]])*
(Table_DonBan[Ngày lập]&lt;=Table_DonBan[[#This Row],[Ngày lập]])
))</f>
        <v>2</v>
      </c>
      <c r="AO63" s="246"/>
      <c r="AP63" s="247">
        <f>Table_DonBan[[#This Row],[ĐK - Phân loại]]*Table_DonBan[[#This Row],[ĐK - Thời gian]]*Table_DonBan[[#This Row],[ĐK - Giá trị]]*Table_DonBan[[#This Row],[ĐK - Số lượng]]*Table_DonBan[[#This Row],[ĐK - Sinh nhật]]*Table_DonBan[[#This Row],[ĐK - Ngày mua cuối]]</f>
        <v>1</v>
      </c>
      <c r="AQ63" s="247">
        <f xml:space="preserve">
IF(ISBLANK(Table_DonBan[[#This Row],[Chương trình]]),1,
IF(VLOOKUP(Table_DonBan[[#This Row],[Chương trình]],Table_ChuongTrinh[[Mã Chương trình]:[Đối tượng CK]],Sheet_ChuongTrinh!$C$1,0) = "Đơn hàng",1,0))</f>
        <v>1</v>
      </c>
      <c r="AR6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3" s="247">
        <f>IF(ISBLANK(Table_DonBan[[#This Row],[Chương trình]]),
1,
IF(ISBLANK(VLOOKUP(Table_DonBan[[#This Row],[Chương trình]],Table_ChuongTrinh[],Sheet_ChuongTrinh!$J$1,0)),
1,
IF(Table_DonBan[[#This Row],[Tiền hàng]]&gt;= VLOOKUP(Table_DonBan[[#This Row],[Chương trình]],Table_ChuongTrinh[],Sheet_ChuongTrinh!$J$1,0),
1,
0)))</f>
        <v>1</v>
      </c>
      <c r="AT6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3"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4" spans="20:49" ht="18" customHeight="1" x14ac:dyDescent="0.3">
      <c r="T64" s="250"/>
      <c r="U64" s="51" t="str">
        <f>CONCATENATE("BAN-",Table_DonBan[[#This Row],[Mã Khách]],"-",MOD(YEAR(Table_DonBan[[#This Row],[Ngày lập]]),100)*10000+MONTH(Table_DonBan[[#This Row],[Ngày lập]])*100+DAY(Table_DonBan[[#This Row],[Ngày lập]]),"-",Table_DonBan[[#This Row],[TT]])</f>
        <v>BAN-KH2-250408-</v>
      </c>
      <c r="V64" s="415">
        <v>45755</v>
      </c>
      <c r="W64" s="251" t="s">
        <v>1206</v>
      </c>
      <c r="X64" s="246"/>
      <c r="Y64" s="246"/>
      <c r="Z64" s="17">
        <f>IFERROR(SUM(_xlfn._xlws.FILTER(Table_Main[Giá trị bán trước VAT],
(Table_Main[Đơn bán]=Table_DonBan[[#This Row],[Mã Đơn bán]]),
)),0)</f>
        <v>1900000</v>
      </c>
      <c r="AA64" s="17">
        <f>IFERROR(SUM(_xlfn._xlws.FILTER(Table_Main[VAT],
(Table_Main[Đơn bán]=Table_DonBan[[#This Row],[Mã Đơn bán]]),
)),0)</f>
        <v>0</v>
      </c>
      <c r="AB64" s="17" cm="1">
        <f t="array" ref="AB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465000</v>
      </c>
      <c r="AC64" s="422"/>
      <c r="AD64" s="248"/>
      <c r="AE64"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4" s="48">
        <f>(Z64/ABS(Z64))
*IFERROR(
IF(
ISBLANK(
VLOOKUP(
AD64,
Table_ChuongTrinh[],
COUNTA(Table_ChuongTrinh[[#Headers],[Mã Chương trình]:[Tỷ lệ CK]]),
0)
),
VLOOKUP(
AD64,
Table_ChuongTrinh[],
COUNTA(Table_ChuongTrinh[[#Headers],[Mã Chương trình]:[Giá trị CK]]),
0),
VLOOKUP(
AD64,
Table_ChuongTrinh[],
COUNTA(Table_ChuongTrinh[[#Headers],[Mã Chương trình]:[Tỷ lệ CK]]),
0)*ABS(Z64)
),
0)+AC64</f>
        <v>0</v>
      </c>
      <c r="AG64" s="17">
        <f>IFERROR(Table_DonBan[[#This Row],[VAT hàng]]-Table_DonBan[[#This Row],[VAT hàng]]*Table_DonBan[[#This Row],[Giá trị CK]]/Table_DonBan[[#This Row],[Tiền hàng]],0)</f>
        <v>0</v>
      </c>
      <c r="AH64" s="17">
        <f>+Table_DonBan[[#This Row],[Tiền hàng]]-Table_DonBan[[#This Row],[Giá trị CK]]</f>
        <v>1900000</v>
      </c>
      <c r="AI64" s="17">
        <f>Table_DonBan[[#This Row],[Doanh thu ròng]]</f>
        <v>1900000</v>
      </c>
      <c r="AJ64" s="17">
        <f>Table_DonBan[[#This Row],[Tiền hàng]]+Table_DonBan[[#This Row],[Tổng VAT]]-Table_DonBan[[#This Row],[Giá trị CK]]</f>
        <v>1900000</v>
      </c>
      <c r="AK6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43400000</v>
      </c>
      <c r="AL64" s="543">
        <f>+IFERROR(
MAX(_xlfn._xlws.FILTER(Table_KHThanThiet_ChinhSach[Tỷ lệ điểm thưởng],
(Table_KHThanThiet_ChinhSach[Doanh thu tối thiểu]&lt;=Table_DonBan[[#This Row],[Doanh thu tính điểm]])
)),0)</f>
        <v>0.05</v>
      </c>
      <c r="AM64" s="17">
        <f xml:space="preserve">
Table_DonBan[[#This Row],[Tỷ lệ tính điểm]]*Table_DonBan[[#This Row],[Doanh thu ròng]]</f>
        <v>95000</v>
      </c>
      <c r="AN64" s="248">
        <f>COUNTA(_xlfn._xlws.FILTER(Table_DonBan[Mã Khách],
(Table_DonBan[Mã Khách]=Table_DonBan[[#This Row],[Mã Khách]])*
(Table_DonBan[Ngày lập]&lt;=Table_DonBan[[#This Row],[Ngày lập]])
))</f>
        <v>4</v>
      </c>
      <c r="AO64" s="246"/>
      <c r="AP64" s="247">
        <f>Table_DonBan[[#This Row],[ĐK - Phân loại]]*Table_DonBan[[#This Row],[ĐK - Thời gian]]*Table_DonBan[[#This Row],[ĐK - Giá trị]]*Table_DonBan[[#This Row],[ĐK - Số lượng]]*Table_DonBan[[#This Row],[ĐK - Sinh nhật]]*Table_DonBan[[#This Row],[ĐK - Ngày mua cuối]]</f>
        <v>1</v>
      </c>
      <c r="AQ64" s="247">
        <f xml:space="preserve">
IF(ISBLANK(Table_DonBan[[#This Row],[Chương trình]]),1,
IF(VLOOKUP(Table_DonBan[[#This Row],[Chương trình]],Table_ChuongTrinh[[Mã Chương trình]:[Đối tượng CK]],Sheet_ChuongTrinh!$C$1,0) = "Đơn hàng",1,0))</f>
        <v>1</v>
      </c>
      <c r="AR6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4" s="247">
        <f>IF(ISBLANK(Table_DonBan[[#This Row],[Chương trình]]),
1,
IF(ISBLANK(VLOOKUP(Table_DonBan[[#This Row],[Chương trình]],Table_ChuongTrinh[],Sheet_ChuongTrinh!$J$1,0)),
1,
IF(Table_DonBan[[#This Row],[Tiền hàng]]&gt;= VLOOKUP(Table_DonBan[[#This Row],[Chương trình]],Table_ChuongTrinh[],Sheet_ChuongTrinh!$J$1,0),
1,
0)))</f>
        <v>1</v>
      </c>
      <c r="AT6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4"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5" spans="20:49" ht="18" customHeight="1" x14ac:dyDescent="0.3">
      <c r="T65" s="250"/>
      <c r="U65" s="51" t="str">
        <f>CONCATENATE("BAN-",Table_DonBan[[#This Row],[Mã Khách]],"-",MOD(YEAR(Table_DonBan[[#This Row],[Ngày lập]]),100)*10000+MONTH(Table_DonBan[[#This Row],[Ngày lập]])*100+DAY(Table_DonBan[[#This Row],[Ngày lập]]),"-",Table_DonBan[[#This Row],[TT]])</f>
        <v>BAN-KH1-250403-</v>
      </c>
      <c r="V65" s="415">
        <v>45750</v>
      </c>
      <c r="W65" s="251" t="s">
        <v>1205</v>
      </c>
      <c r="X65" s="246"/>
      <c r="Y65" s="246"/>
      <c r="Z65" s="17">
        <f>IFERROR(SUM(_xlfn._xlws.FILTER(Table_Main[Giá trị bán trước VAT],
(Table_Main[Đơn bán]=Table_DonBan[[#This Row],[Mã Đơn bán]]),
)),0)</f>
        <v>8400000</v>
      </c>
      <c r="AA65" s="17">
        <f>IFERROR(SUM(_xlfn._xlws.FILTER(Table_Main[VAT],
(Table_Main[Đơn bán]=Table_DonBan[[#This Row],[Mã Đơn bán]]),
)),0)</f>
        <v>0</v>
      </c>
      <c r="AB65" s="17" cm="1">
        <f t="array" ref="AB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5" s="422"/>
      <c r="AD65" s="248"/>
      <c r="AE65"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5" s="48">
        <f>(Z65/ABS(Z65))
*IFERROR(
IF(
ISBLANK(
VLOOKUP(
AD65,
Table_ChuongTrinh[],
COUNTA(Table_ChuongTrinh[[#Headers],[Mã Chương trình]:[Tỷ lệ CK]]),
0)
),
VLOOKUP(
AD65,
Table_ChuongTrinh[],
COUNTA(Table_ChuongTrinh[[#Headers],[Mã Chương trình]:[Giá trị CK]]),
0),
VLOOKUP(
AD65,
Table_ChuongTrinh[],
COUNTA(Table_ChuongTrinh[[#Headers],[Mã Chương trình]:[Tỷ lệ CK]]),
0)*ABS(Z65)
),
0)+AC65</f>
        <v>0</v>
      </c>
      <c r="AG65" s="17">
        <f>IFERROR(Table_DonBan[[#This Row],[VAT hàng]]-Table_DonBan[[#This Row],[VAT hàng]]*Table_DonBan[[#This Row],[Giá trị CK]]/Table_DonBan[[#This Row],[Tiền hàng]],0)</f>
        <v>0</v>
      </c>
      <c r="AH65" s="17">
        <f>+Table_DonBan[[#This Row],[Tiền hàng]]-Table_DonBan[[#This Row],[Giá trị CK]]</f>
        <v>8400000</v>
      </c>
      <c r="AI65" s="17">
        <f>Table_DonBan[[#This Row],[Doanh thu ròng]]</f>
        <v>8400000</v>
      </c>
      <c r="AJ65" s="17">
        <f>Table_DonBan[[#This Row],[Tiền hàng]]+Table_DonBan[[#This Row],[Tổng VAT]]-Table_DonBan[[#This Row],[Giá trị CK]]</f>
        <v>8400000</v>
      </c>
      <c r="AK6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v>
      </c>
      <c r="AL65" s="543">
        <f>+IFERROR(
MAX(_xlfn._xlws.FILTER(Table_KHThanThiet_ChinhSach[Tỷ lệ điểm thưởng],
(Table_KHThanThiet_ChinhSach[Doanh thu tối thiểu]&lt;=Table_DonBan[[#This Row],[Doanh thu tính điểm]])
)),0)</f>
        <v>0</v>
      </c>
      <c r="AM65" s="17">
        <f xml:space="preserve">
Table_DonBan[[#This Row],[Tỷ lệ tính điểm]]*Table_DonBan[[#This Row],[Doanh thu ròng]]</f>
        <v>0</v>
      </c>
      <c r="AN65" s="248">
        <f>COUNTA(_xlfn._xlws.FILTER(Table_DonBan[Mã Khách],
(Table_DonBan[Mã Khách]=Table_DonBan[[#This Row],[Mã Khách]])*
(Table_DonBan[Ngày lập]&lt;=Table_DonBan[[#This Row],[Ngày lập]])
))</f>
        <v>3</v>
      </c>
      <c r="AO65" s="246"/>
      <c r="AP65" s="247">
        <f>Table_DonBan[[#This Row],[ĐK - Phân loại]]*Table_DonBan[[#This Row],[ĐK - Thời gian]]*Table_DonBan[[#This Row],[ĐK - Giá trị]]*Table_DonBan[[#This Row],[ĐK - Số lượng]]*Table_DonBan[[#This Row],[ĐK - Sinh nhật]]*Table_DonBan[[#This Row],[ĐK - Ngày mua cuối]]</f>
        <v>1</v>
      </c>
      <c r="AQ65" s="247">
        <f xml:space="preserve">
IF(ISBLANK(Table_DonBan[[#This Row],[Chương trình]]),1,
IF(VLOOKUP(Table_DonBan[[#This Row],[Chương trình]],Table_ChuongTrinh[[Mã Chương trình]:[Đối tượng CK]],Sheet_ChuongTrinh!$C$1,0) = "Đơn hàng",1,0))</f>
        <v>1</v>
      </c>
      <c r="AR6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5" s="247">
        <f>IF(ISBLANK(Table_DonBan[[#This Row],[Chương trình]]),
1,
IF(ISBLANK(VLOOKUP(Table_DonBan[[#This Row],[Chương trình]],Table_ChuongTrinh[],Sheet_ChuongTrinh!$J$1,0)),
1,
IF(Table_DonBan[[#This Row],[Tiền hàng]]&gt;= VLOOKUP(Table_DonBan[[#This Row],[Chương trình]],Table_ChuongTrinh[],Sheet_ChuongTrinh!$J$1,0),
1,
0)))</f>
        <v>1</v>
      </c>
      <c r="AT6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5"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6" spans="20:49" ht="18" customHeight="1" x14ac:dyDescent="0.3">
      <c r="T66" s="250"/>
      <c r="U66" s="51" t="str">
        <f>CONCATENATE("BAN-",Table_DonBan[[#This Row],[Mã Khách]],"-",MOD(YEAR(Table_DonBan[[#This Row],[Ngày lập]]),100)*10000+MONTH(Table_DonBan[[#This Row],[Ngày lập]])*100+DAY(Table_DonBan[[#This Row],[Ngày lập]]),"-",Table_DonBan[[#This Row],[TT]])</f>
        <v>BAN-KH2-250330-</v>
      </c>
      <c r="V66" s="415">
        <v>45746</v>
      </c>
      <c r="W66" s="251" t="s">
        <v>1206</v>
      </c>
      <c r="X66" s="246"/>
      <c r="Y66" s="246"/>
      <c r="Z66" s="17">
        <f>IFERROR(SUM(_xlfn._xlws.FILTER(Table_Main[Giá trị bán trước VAT],
(Table_Main[Đơn bán]=Table_DonBan[[#This Row],[Mã Đơn bán]]),
)),0)</f>
        <v>15500000</v>
      </c>
      <c r="AA66" s="17">
        <f>IFERROR(SUM(_xlfn._xlws.FILTER(Table_Main[VAT],
(Table_Main[Đơn bán]=Table_DonBan[[#This Row],[Mã Đơn bán]]),
)),0)</f>
        <v>0</v>
      </c>
      <c r="AB66" s="17" cm="1">
        <f t="array" ref="AB6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6" s="422"/>
      <c r="AD66" s="248"/>
      <c r="AE66"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6" s="48">
        <f>(Z66/ABS(Z66))
*IFERROR(
IF(
ISBLANK(
VLOOKUP(
AD66,
Table_ChuongTrinh[],
COUNTA(Table_ChuongTrinh[[#Headers],[Mã Chương trình]:[Tỷ lệ CK]]),
0)
),
VLOOKUP(
AD66,
Table_ChuongTrinh[],
COUNTA(Table_ChuongTrinh[[#Headers],[Mã Chương trình]:[Giá trị CK]]),
0),
VLOOKUP(
AD66,
Table_ChuongTrinh[],
COUNTA(Table_ChuongTrinh[[#Headers],[Mã Chương trình]:[Tỷ lệ CK]]),
0)*ABS(Z66)
),
0)+AC66</f>
        <v>0</v>
      </c>
      <c r="AG66" s="17">
        <f>IFERROR(Table_DonBan[[#This Row],[VAT hàng]]-Table_DonBan[[#This Row],[VAT hàng]]*Table_DonBan[[#This Row],[Giá trị CK]]/Table_DonBan[[#This Row],[Tiền hàng]],0)</f>
        <v>0</v>
      </c>
      <c r="AH66" s="17">
        <f>+Table_DonBan[[#This Row],[Tiền hàng]]-Table_DonBan[[#This Row],[Giá trị CK]]</f>
        <v>15500000</v>
      </c>
      <c r="AI66" s="17">
        <f>Table_DonBan[[#This Row],[Doanh thu ròng]]</f>
        <v>15500000</v>
      </c>
      <c r="AJ66" s="17">
        <f>Table_DonBan[[#This Row],[Tiền hàng]]+Table_DonBan[[#This Row],[Tổng VAT]]-Table_DonBan[[#This Row],[Giá trị CK]]</f>
        <v>15500000</v>
      </c>
      <c r="AK6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27900000</v>
      </c>
      <c r="AL66" s="543">
        <f>+IFERROR(
MAX(_xlfn._xlws.FILTER(Table_KHThanThiet_ChinhSach[Tỷ lệ điểm thưởng],
(Table_KHThanThiet_ChinhSach[Doanh thu tối thiểu]&lt;=Table_DonBan[[#This Row],[Doanh thu tính điểm]])
)),0)</f>
        <v>0.03</v>
      </c>
      <c r="AM66" s="17">
        <f xml:space="preserve">
Table_DonBan[[#This Row],[Tỷ lệ tính điểm]]*Table_DonBan[[#This Row],[Doanh thu ròng]]</f>
        <v>465000</v>
      </c>
      <c r="AN66" s="248">
        <f>COUNTA(_xlfn._xlws.FILTER(Table_DonBan[Mã Khách],
(Table_DonBan[Mã Khách]=Table_DonBan[[#This Row],[Mã Khách]])*
(Table_DonBan[Ngày lập]&lt;=Table_DonBan[[#This Row],[Ngày lập]])
))</f>
        <v>3</v>
      </c>
      <c r="AO66" s="246"/>
      <c r="AP66" s="247">
        <f>Table_DonBan[[#This Row],[ĐK - Phân loại]]*Table_DonBan[[#This Row],[ĐK - Thời gian]]*Table_DonBan[[#This Row],[ĐK - Giá trị]]*Table_DonBan[[#This Row],[ĐK - Số lượng]]*Table_DonBan[[#This Row],[ĐK - Sinh nhật]]*Table_DonBan[[#This Row],[ĐK - Ngày mua cuối]]</f>
        <v>1</v>
      </c>
      <c r="AQ66" s="247">
        <f xml:space="preserve">
IF(ISBLANK(Table_DonBan[[#This Row],[Chương trình]]),1,
IF(VLOOKUP(Table_DonBan[[#This Row],[Chương trình]],Table_ChuongTrinh[[Mã Chương trình]:[Đối tượng CK]],Sheet_ChuongTrinh!$C$1,0) = "Đơn hàng",1,0))</f>
        <v>1</v>
      </c>
      <c r="AR6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6" s="247">
        <f>IF(ISBLANK(Table_DonBan[[#This Row],[Chương trình]]),
1,
IF(ISBLANK(VLOOKUP(Table_DonBan[[#This Row],[Chương trình]],Table_ChuongTrinh[],Sheet_ChuongTrinh!$J$1,0)),
1,
IF(Table_DonBan[[#This Row],[Tiền hàng]]&gt;= VLOOKUP(Table_DonBan[[#This Row],[Chương trình]],Table_ChuongTrinh[],Sheet_ChuongTrinh!$J$1,0),
1,
0)))</f>
        <v>1</v>
      </c>
      <c r="AT6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6"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7" spans="20:49" ht="18" customHeight="1" x14ac:dyDescent="0.3">
      <c r="T67" s="250"/>
      <c r="U67" s="51" t="str">
        <f>CONCATENATE("BAN-",Table_DonBan[[#This Row],[Mã Khách]],"-",MOD(YEAR(Table_DonBan[[#This Row],[Ngày lập]]),100)*10000+MONTH(Table_DonBan[[#This Row],[Ngày lập]])*100+DAY(Table_DonBan[[#This Row],[Ngày lập]]),"-",Table_DonBan[[#This Row],[TT]])</f>
        <v>BAN-KH1-250327-</v>
      </c>
      <c r="V67" s="415">
        <v>45743</v>
      </c>
      <c r="W67" s="251" t="s">
        <v>1205</v>
      </c>
      <c r="X67" s="246"/>
      <c r="Y67" s="246"/>
      <c r="Z67" s="17">
        <f>IFERROR(SUM(_xlfn._xlws.FILTER(Table_Main[Giá trị bán trước VAT],
(Table_Main[Đơn bán]=Table_DonBan[[#This Row],[Mã Đơn bán]]),
)),0)</f>
        <v>4200000</v>
      </c>
      <c r="AA67" s="17">
        <f>IFERROR(SUM(_xlfn._xlws.FILTER(Table_Main[VAT],
(Table_Main[Đơn bán]=Table_DonBan[[#This Row],[Mã Đơn bán]]),
)),0)</f>
        <v>0</v>
      </c>
      <c r="AB67" s="17" cm="1">
        <f t="array" ref="AB6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7" s="422"/>
      <c r="AD67" s="248"/>
      <c r="AE67"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7" s="48">
        <f>(Z67/ABS(Z67))
*IFERROR(
IF(
ISBLANK(
VLOOKUP(
AD67,
Table_ChuongTrinh[],
COUNTA(Table_ChuongTrinh[[#Headers],[Mã Chương trình]:[Tỷ lệ CK]]),
0)
),
VLOOKUP(
AD67,
Table_ChuongTrinh[],
COUNTA(Table_ChuongTrinh[[#Headers],[Mã Chương trình]:[Giá trị CK]]),
0),
VLOOKUP(
AD67,
Table_ChuongTrinh[],
COUNTA(Table_ChuongTrinh[[#Headers],[Mã Chương trình]:[Tỷ lệ CK]]),
0)*ABS(Z67)
),
0)+AC67</f>
        <v>0</v>
      </c>
      <c r="AG67" s="17">
        <f>IFERROR(Table_DonBan[[#This Row],[VAT hàng]]-Table_DonBan[[#This Row],[VAT hàng]]*Table_DonBan[[#This Row],[Giá trị CK]]/Table_DonBan[[#This Row],[Tiền hàng]],0)</f>
        <v>0</v>
      </c>
      <c r="AH67" s="17">
        <f>+Table_DonBan[[#This Row],[Tiền hàng]]-Table_DonBan[[#This Row],[Giá trị CK]]</f>
        <v>4200000</v>
      </c>
      <c r="AI67" s="17">
        <f>Table_DonBan[[#This Row],[Doanh thu ròng]]</f>
        <v>4200000</v>
      </c>
      <c r="AJ67" s="17">
        <f>Table_DonBan[[#This Row],[Tiền hàng]]+Table_DonBan[[#This Row],[Tổng VAT]]-Table_DonBan[[#This Row],[Giá trị CK]]</f>
        <v>4200000</v>
      </c>
      <c r="AK6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100000</v>
      </c>
      <c r="AL67" s="543">
        <f>+IFERROR(
MAX(_xlfn._xlws.FILTER(Table_KHThanThiet_ChinhSach[Tỷ lệ điểm thưởng],
(Table_KHThanThiet_ChinhSach[Doanh thu tối thiểu]&lt;=Table_DonBan[[#This Row],[Doanh thu tính điểm]])
)),0)</f>
        <v>0</v>
      </c>
      <c r="AM67" s="17">
        <f xml:space="preserve">
Table_DonBan[[#This Row],[Tỷ lệ tính điểm]]*Table_DonBan[[#This Row],[Doanh thu ròng]]</f>
        <v>0</v>
      </c>
      <c r="AN67" s="248">
        <f>COUNTA(_xlfn._xlws.FILTER(Table_DonBan[Mã Khách],
(Table_DonBan[Mã Khách]=Table_DonBan[[#This Row],[Mã Khách]])*
(Table_DonBan[Ngày lập]&lt;=Table_DonBan[[#This Row],[Ngày lập]])
))</f>
        <v>2</v>
      </c>
      <c r="AO67" s="246"/>
      <c r="AP67" s="247">
        <f>Table_DonBan[[#This Row],[ĐK - Phân loại]]*Table_DonBan[[#This Row],[ĐK - Thời gian]]*Table_DonBan[[#This Row],[ĐK - Giá trị]]*Table_DonBan[[#This Row],[ĐK - Số lượng]]*Table_DonBan[[#This Row],[ĐK - Sinh nhật]]*Table_DonBan[[#This Row],[ĐK - Ngày mua cuối]]</f>
        <v>1</v>
      </c>
      <c r="AQ67" s="247">
        <f xml:space="preserve">
IF(ISBLANK(Table_DonBan[[#This Row],[Chương trình]]),1,
IF(VLOOKUP(Table_DonBan[[#This Row],[Chương trình]],Table_ChuongTrinh[[Mã Chương trình]:[Đối tượng CK]],Sheet_ChuongTrinh!$C$1,0) = "Đơn hàng",1,0))</f>
        <v>1</v>
      </c>
      <c r="AR6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7" s="247">
        <f>IF(ISBLANK(Table_DonBan[[#This Row],[Chương trình]]),
1,
IF(ISBLANK(VLOOKUP(Table_DonBan[[#This Row],[Chương trình]],Table_ChuongTrinh[],Sheet_ChuongTrinh!$J$1,0)),
1,
IF(Table_DonBan[[#This Row],[Tiền hàng]]&gt;= VLOOKUP(Table_DonBan[[#This Row],[Chương trình]],Table_ChuongTrinh[],Sheet_ChuongTrinh!$J$1,0),
1,
0)))</f>
        <v>1</v>
      </c>
      <c r="AT6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7"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8" spans="20:49" ht="18" customHeight="1" x14ac:dyDescent="0.3">
      <c r="T68" s="250"/>
      <c r="U68" s="51" t="str">
        <f>CONCATENATE("BAN-",Table_DonBan[[#This Row],[Mã Khách]],"-",MOD(YEAR(Table_DonBan[[#This Row],[Ngày lập]]),100)*10000+MONTH(Table_DonBan[[#This Row],[Ngày lập]])*100+DAY(Table_DonBan[[#This Row],[Ngày lập]]),"-",Table_DonBan[[#This Row],[TT]])</f>
        <v>BAN-KH3-250325-</v>
      </c>
      <c r="V68" s="415">
        <v>45741</v>
      </c>
      <c r="W68" s="251" t="s">
        <v>1207</v>
      </c>
      <c r="X68" s="246"/>
      <c r="Y68" s="246"/>
      <c r="Z68" s="17">
        <f>IFERROR(SUM(_xlfn._xlws.FILTER(Table_Main[Giá trị bán trước VAT],
(Table_Main[Đơn bán]=Table_DonBan[[#This Row],[Mã Đơn bán]]),
)),0)</f>
        <v>3000000</v>
      </c>
      <c r="AA68" s="17">
        <f>IFERROR(SUM(_xlfn._xlws.FILTER(Table_Main[VAT],
(Table_Main[Đơn bán]=Table_DonBan[[#This Row],[Mã Đơn bán]]),
)),0)</f>
        <v>0</v>
      </c>
      <c r="AB68" s="17" cm="1">
        <f t="array" ref="AB6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8" s="422"/>
      <c r="AD68" s="248"/>
      <c r="AE6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8" s="48">
        <f>(Z68/ABS(Z68))
*IFERROR(
IF(
ISBLANK(
VLOOKUP(
AD68,
Table_ChuongTrinh[],
COUNTA(Table_ChuongTrinh[[#Headers],[Mã Chương trình]:[Tỷ lệ CK]]),
0)
),
VLOOKUP(
AD68,
Table_ChuongTrinh[],
COUNTA(Table_ChuongTrinh[[#Headers],[Mã Chương trình]:[Giá trị CK]]),
0),
VLOOKUP(
AD68,
Table_ChuongTrinh[],
COUNTA(Table_ChuongTrinh[[#Headers],[Mã Chương trình]:[Tỷ lệ CK]]),
0)*ABS(Z68)
),
0)+AC68</f>
        <v>0</v>
      </c>
      <c r="AG68" s="17">
        <f>IFERROR(Table_DonBan[[#This Row],[VAT hàng]]-Table_DonBan[[#This Row],[VAT hàng]]*Table_DonBan[[#This Row],[Giá trị CK]]/Table_DonBan[[#This Row],[Tiền hàng]],0)</f>
        <v>0</v>
      </c>
      <c r="AH68" s="17">
        <f>+Table_DonBan[[#This Row],[Tiền hàng]]-Table_DonBan[[#This Row],[Giá trị CK]]</f>
        <v>3000000</v>
      </c>
      <c r="AI68" s="17">
        <f>Table_DonBan[[#This Row],[Doanh thu ròng]]</f>
        <v>3000000</v>
      </c>
      <c r="AJ68" s="17">
        <f>Table_DonBan[[#This Row],[Tiền hàng]]+Table_DonBan[[#This Row],[Tổng VAT]]-Table_DonBan[[#This Row],[Giá trị CK]]</f>
        <v>3000000</v>
      </c>
      <c r="AK6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8" s="543">
        <f>+IFERROR(
MAX(_xlfn._xlws.FILTER(Table_KHThanThiet_ChinhSach[Tỷ lệ điểm thưởng],
(Table_KHThanThiet_ChinhSach[Doanh thu tối thiểu]&lt;=Table_DonBan[[#This Row],[Doanh thu tính điểm]])
)),0)</f>
        <v>0</v>
      </c>
      <c r="AM68" s="17">
        <f xml:space="preserve">
Table_DonBan[[#This Row],[Tỷ lệ tính điểm]]*Table_DonBan[[#This Row],[Doanh thu ròng]]</f>
        <v>0</v>
      </c>
      <c r="AN68" s="248">
        <f>COUNTA(_xlfn._xlws.FILTER(Table_DonBan[Mã Khách],
(Table_DonBan[Mã Khách]=Table_DonBan[[#This Row],[Mã Khách]])*
(Table_DonBan[Ngày lập]&lt;=Table_DonBan[[#This Row],[Ngày lập]])
))</f>
        <v>1</v>
      </c>
      <c r="AO68" s="246"/>
      <c r="AP68" s="247">
        <f>Table_DonBan[[#This Row],[ĐK - Phân loại]]*Table_DonBan[[#This Row],[ĐK - Thời gian]]*Table_DonBan[[#This Row],[ĐK - Giá trị]]*Table_DonBan[[#This Row],[ĐK - Số lượng]]*Table_DonBan[[#This Row],[ĐK - Sinh nhật]]*Table_DonBan[[#This Row],[ĐK - Ngày mua cuối]]</f>
        <v>1</v>
      </c>
      <c r="AQ68" s="247">
        <f xml:space="preserve">
IF(ISBLANK(Table_DonBan[[#This Row],[Chương trình]]),1,
IF(VLOOKUP(Table_DonBan[[#This Row],[Chương trình]],Table_ChuongTrinh[[Mã Chương trình]:[Đối tượng CK]],Sheet_ChuongTrinh!$C$1,0) = "Đơn hàng",1,0))</f>
        <v>1</v>
      </c>
      <c r="AR6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8" s="247">
        <f>IF(ISBLANK(Table_DonBan[[#This Row],[Chương trình]]),
1,
IF(ISBLANK(VLOOKUP(Table_DonBan[[#This Row],[Chương trình]],Table_ChuongTrinh[],Sheet_ChuongTrinh!$J$1,0)),
1,
IF(Table_DonBan[[#This Row],[Tiền hàng]]&gt;= VLOOKUP(Table_DonBan[[#This Row],[Chương trình]],Table_ChuongTrinh[],Sheet_ChuongTrinh!$J$1,0),
1,
0)))</f>
        <v>1</v>
      </c>
      <c r="AT6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9" spans="20:49" ht="18" customHeight="1" x14ac:dyDescent="0.3">
      <c r="T69" s="250"/>
      <c r="U69" s="51" t="str">
        <f>CONCATENATE("BAN-",Table_DonBan[[#This Row],[Mã Khách]],"-",MOD(YEAR(Table_DonBan[[#This Row],[Ngày lập]]),100)*10000+MONTH(Table_DonBan[[#This Row],[Ngày lập]])*100+DAY(Table_DonBan[[#This Row],[Ngày lập]]),"-",Table_DonBan[[#This Row],[TT]])</f>
        <v>BAN-KH1-250320-</v>
      </c>
      <c r="V69" s="415">
        <v>45736</v>
      </c>
      <c r="W69" s="251" t="s">
        <v>1205</v>
      </c>
      <c r="X69" s="246"/>
      <c r="Y69" s="246"/>
      <c r="Z69" s="17">
        <f>IFERROR(SUM(_xlfn._xlws.FILTER(Table_Main[Giá trị bán trước VAT],
(Table_Main[Đơn bán]=Table_DonBan[[#This Row],[Mã Đơn bán]]),
)),0)</f>
        <v>100000</v>
      </c>
      <c r="AA69" s="17">
        <f>IFERROR(SUM(_xlfn._xlws.FILTER(Table_Main[VAT],
(Table_Main[Đơn bán]=Table_DonBan[[#This Row],[Mã Đơn bán]]),
)),0)</f>
        <v>0</v>
      </c>
      <c r="AB69" s="17" cm="1">
        <f t="array" ref="AB6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9" s="422"/>
      <c r="AD69" s="248"/>
      <c r="AE6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9" s="48">
        <f>(Z69/ABS(Z69))
*IFERROR(
IF(
ISBLANK(
VLOOKUP(
AD69,
Table_ChuongTrinh[],
COUNTA(Table_ChuongTrinh[[#Headers],[Mã Chương trình]:[Tỷ lệ CK]]),
0)
),
VLOOKUP(
AD69,
Table_ChuongTrinh[],
COUNTA(Table_ChuongTrinh[[#Headers],[Mã Chương trình]:[Giá trị CK]]),
0),
VLOOKUP(
AD69,
Table_ChuongTrinh[],
COUNTA(Table_ChuongTrinh[[#Headers],[Mã Chương trình]:[Tỷ lệ CK]]),
0)*ABS(Z69)
),
0)+AC69</f>
        <v>0</v>
      </c>
      <c r="AG69" s="17">
        <f>IFERROR(Table_DonBan[[#This Row],[VAT hàng]]-Table_DonBan[[#This Row],[VAT hàng]]*Table_DonBan[[#This Row],[Giá trị CK]]/Table_DonBan[[#This Row],[Tiền hàng]],0)</f>
        <v>0</v>
      </c>
      <c r="AH69" s="17">
        <f>+Table_DonBan[[#This Row],[Tiền hàng]]-Table_DonBan[[#This Row],[Giá trị CK]]</f>
        <v>100000</v>
      </c>
      <c r="AI69" s="17">
        <f>Table_DonBan[[#This Row],[Doanh thu ròng]]</f>
        <v>100000</v>
      </c>
      <c r="AJ69" s="17">
        <f>Table_DonBan[[#This Row],[Tiền hàng]]+Table_DonBan[[#This Row],[Tổng VAT]]-Table_DonBan[[#This Row],[Giá trị CK]]</f>
        <v>100000</v>
      </c>
      <c r="AK6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9" s="543">
        <f>+IFERROR(
MAX(_xlfn._xlws.FILTER(Table_KHThanThiet_ChinhSach[Tỷ lệ điểm thưởng],
(Table_KHThanThiet_ChinhSach[Doanh thu tối thiểu]&lt;=Table_DonBan[[#This Row],[Doanh thu tính điểm]])
)),0)</f>
        <v>0</v>
      </c>
      <c r="AM69" s="17">
        <f xml:space="preserve">
Table_DonBan[[#This Row],[Tỷ lệ tính điểm]]*Table_DonBan[[#This Row],[Doanh thu ròng]]</f>
        <v>0</v>
      </c>
      <c r="AN69" s="248">
        <f>COUNTA(_xlfn._xlws.FILTER(Table_DonBan[Mã Khách],
(Table_DonBan[Mã Khách]=Table_DonBan[[#This Row],[Mã Khách]])*
(Table_DonBan[Ngày lập]&lt;=Table_DonBan[[#This Row],[Ngày lập]])
))</f>
        <v>1</v>
      </c>
      <c r="AO69" s="246"/>
      <c r="AP69" s="247">
        <f>Table_DonBan[[#This Row],[ĐK - Phân loại]]*Table_DonBan[[#This Row],[ĐK - Thời gian]]*Table_DonBan[[#This Row],[ĐK - Giá trị]]*Table_DonBan[[#This Row],[ĐK - Số lượng]]*Table_DonBan[[#This Row],[ĐK - Sinh nhật]]*Table_DonBan[[#This Row],[ĐK - Ngày mua cuối]]</f>
        <v>1</v>
      </c>
      <c r="AQ69" s="247">
        <f xml:space="preserve">
IF(ISBLANK(Table_DonBan[[#This Row],[Chương trình]]),1,
IF(VLOOKUP(Table_DonBan[[#This Row],[Chương trình]],Table_ChuongTrinh[[Mã Chương trình]:[Đối tượng CK]],Sheet_ChuongTrinh!$C$1,0) = "Đơn hàng",1,0))</f>
        <v>1</v>
      </c>
      <c r="AR6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9" s="247">
        <f>IF(ISBLANK(Table_DonBan[[#This Row],[Chương trình]]),
1,
IF(ISBLANK(VLOOKUP(Table_DonBan[[#This Row],[Chương trình]],Table_ChuongTrinh[],Sheet_ChuongTrinh!$J$1,0)),
1,
IF(Table_DonBan[[#This Row],[Tiền hàng]]&gt;= VLOOKUP(Table_DonBan[[#This Row],[Chương trình]],Table_ChuongTrinh[],Sheet_ChuongTrinh!$J$1,0),
1,
0)))</f>
        <v>1</v>
      </c>
      <c r="AT6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0" spans="20:49" ht="18" customHeight="1" x14ac:dyDescent="0.3">
      <c r="T70" s="250"/>
      <c r="U70" s="51" t="str">
        <f>CONCATENATE("BAN-",Table_DonBan[[#This Row],[Mã Khách]],"-",MOD(YEAR(Table_DonBan[[#This Row],[Ngày lập]]),100)*10000+MONTH(Table_DonBan[[#This Row],[Ngày lập]])*100+DAY(Table_DonBan[[#This Row],[Ngày lập]]),"-",Table_DonBan[[#This Row],[TT]])</f>
        <v>BAN-KH2-250319-</v>
      </c>
      <c r="V70" s="415">
        <v>45735</v>
      </c>
      <c r="W70" s="251" t="s">
        <v>1206</v>
      </c>
      <c r="X70" s="246"/>
      <c r="Y70" s="246"/>
      <c r="Z70" s="17">
        <f>IFERROR(SUM(_xlfn._xlws.FILTER(Table_Main[Giá trị bán trước VAT],
(Table_Main[Đơn bán]=Table_DonBan[[#This Row],[Mã Đơn bán]]),
)),0)</f>
        <v>24000000</v>
      </c>
      <c r="AA70" s="17">
        <f>IFERROR(SUM(_xlfn._xlws.FILTER(Table_Main[VAT],
(Table_Main[Đơn bán]=Table_DonBan[[#This Row],[Mã Đơn bán]]),
)),0)</f>
        <v>0</v>
      </c>
      <c r="AB70" s="17" cm="1">
        <f t="array" ref="AB7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0" s="422"/>
      <c r="AD70" s="248"/>
      <c r="AE7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0" s="48">
        <f>(Z70/ABS(Z70))
*IFERROR(
IF(
ISBLANK(
VLOOKUP(
AD70,
Table_ChuongTrinh[],
COUNTA(Table_ChuongTrinh[[#Headers],[Mã Chương trình]:[Tỷ lệ CK]]),
0)
),
VLOOKUP(
AD70,
Table_ChuongTrinh[],
COUNTA(Table_ChuongTrinh[[#Headers],[Mã Chương trình]:[Giá trị CK]]),
0),
VLOOKUP(
AD70,
Table_ChuongTrinh[],
COUNTA(Table_ChuongTrinh[[#Headers],[Mã Chương trình]:[Tỷ lệ CK]]),
0)*ABS(Z70)
),
0)+AC70</f>
        <v>0</v>
      </c>
      <c r="AG70" s="17">
        <f>IFERROR(Table_DonBan[[#This Row],[VAT hàng]]-Table_DonBan[[#This Row],[VAT hàng]]*Table_DonBan[[#This Row],[Giá trị CK]]/Table_DonBan[[#This Row],[Tiền hàng]],0)</f>
        <v>0</v>
      </c>
      <c r="AH70" s="17">
        <f>+Table_DonBan[[#This Row],[Tiền hàng]]-Table_DonBan[[#This Row],[Giá trị CK]]</f>
        <v>24000000</v>
      </c>
      <c r="AI70" s="17">
        <f>Table_DonBan[[#This Row],[Doanh thu ròng]]</f>
        <v>24000000</v>
      </c>
      <c r="AJ70" s="17">
        <f>Table_DonBan[[#This Row],[Tiền hàng]]+Table_DonBan[[#This Row],[Tổng VAT]]-Table_DonBan[[#This Row],[Giá trị CK]]</f>
        <v>24000000</v>
      </c>
      <c r="AK7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3900000</v>
      </c>
      <c r="AL70" s="543">
        <f>+IFERROR(
MAX(_xlfn._xlws.FILTER(Table_KHThanThiet_ChinhSach[Tỷ lệ điểm thưởng],
(Table_KHThanThiet_ChinhSach[Doanh thu tối thiểu]&lt;=Table_DonBan[[#This Row],[Doanh thu tính điểm]])
)),0)</f>
        <v>0</v>
      </c>
      <c r="AM70" s="17">
        <f xml:space="preserve">
Table_DonBan[[#This Row],[Tỷ lệ tính điểm]]*Table_DonBan[[#This Row],[Doanh thu ròng]]</f>
        <v>0</v>
      </c>
      <c r="AN70" s="248">
        <f>COUNTA(_xlfn._xlws.FILTER(Table_DonBan[Mã Khách],
(Table_DonBan[Mã Khách]=Table_DonBan[[#This Row],[Mã Khách]])*
(Table_DonBan[Ngày lập]&lt;=Table_DonBan[[#This Row],[Ngày lập]])
))</f>
        <v>2</v>
      </c>
      <c r="AO70" s="246"/>
      <c r="AP70" s="247">
        <f>Table_DonBan[[#This Row],[ĐK - Phân loại]]*Table_DonBan[[#This Row],[ĐK - Thời gian]]*Table_DonBan[[#This Row],[ĐK - Giá trị]]*Table_DonBan[[#This Row],[ĐK - Số lượng]]*Table_DonBan[[#This Row],[ĐK - Sinh nhật]]*Table_DonBan[[#This Row],[ĐK - Ngày mua cuối]]</f>
        <v>1</v>
      </c>
      <c r="AQ70" s="247">
        <f xml:space="preserve">
IF(ISBLANK(Table_DonBan[[#This Row],[Chương trình]]),1,
IF(VLOOKUP(Table_DonBan[[#This Row],[Chương trình]],Table_ChuongTrinh[[Mã Chương trình]:[Đối tượng CK]],Sheet_ChuongTrinh!$C$1,0) = "Đơn hàng",1,0))</f>
        <v>1</v>
      </c>
      <c r="AR7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0" s="247">
        <f>IF(ISBLANK(Table_DonBan[[#This Row],[Chương trình]]),
1,
IF(ISBLANK(VLOOKUP(Table_DonBan[[#This Row],[Chương trình]],Table_ChuongTrinh[],Sheet_ChuongTrinh!$J$1,0)),
1,
IF(Table_DonBan[[#This Row],[Tiền hàng]]&gt;= VLOOKUP(Table_DonBan[[#This Row],[Chương trình]],Table_ChuongTrinh[],Sheet_ChuongTrinh!$J$1,0),
1,
0)))</f>
        <v>1</v>
      </c>
      <c r="AT7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1" spans="20:49" ht="18" customHeight="1" x14ac:dyDescent="0.3">
      <c r="T71" s="250"/>
      <c r="U71" s="51" t="str">
        <f>CONCATENATE("BAN-",Table_DonBan[[#This Row],[Mã Khách]],"-",MOD(YEAR(Table_DonBan[[#This Row],[Ngày lập]]),100)*10000+MONTH(Table_DonBan[[#This Row],[Ngày lập]])*100+DAY(Table_DonBan[[#This Row],[Ngày lập]]),"-",Table_DonBan[[#This Row],[TT]])</f>
        <v>BAN-KH2-250313-</v>
      </c>
      <c r="V71" s="415">
        <v>45729</v>
      </c>
      <c r="W71" s="251" t="s">
        <v>1206</v>
      </c>
      <c r="X71" s="246"/>
      <c r="Y71" s="246"/>
      <c r="Z71" s="17">
        <f>IFERROR(SUM(_xlfn._xlws.FILTER(Table_Main[Giá trị bán trước VAT],
(Table_Main[Đơn bán]=Table_DonBan[[#This Row],[Mã Đơn bán]]),
)),0)</f>
        <v>3900000</v>
      </c>
      <c r="AA71" s="17">
        <f>IFERROR(SUM(_xlfn._xlws.FILTER(Table_Main[VAT],
(Table_Main[Đơn bán]=Table_DonBan[[#This Row],[Mã Đơn bán]]),
)),0)</f>
        <v>0</v>
      </c>
      <c r="AB71" s="17" cm="1">
        <f t="array" ref="AB7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1" s="422"/>
      <c r="AD71" s="248"/>
      <c r="AE7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1" s="48">
        <f>(Z71/ABS(Z71))
*IFERROR(
IF(
ISBLANK(
VLOOKUP(
AD71,
Table_ChuongTrinh[],
COUNTA(Table_ChuongTrinh[[#Headers],[Mã Chương trình]:[Tỷ lệ CK]]),
0)
),
VLOOKUP(
AD71,
Table_ChuongTrinh[],
COUNTA(Table_ChuongTrinh[[#Headers],[Mã Chương trình]:[Giá trị CK]]),
0),
VLOOKUP(
AD71,
Table_ChuongTrinh[],
COUNTA(Table_ChuongTrinh[[#Headers],[Mã Chương trình]:[Tỷ lệ CK]]),
0)*ABS(Z71)
),
0)+AC71</f>
        <v>0</v>
      </c>
      <c r="AG71" s="17">
        <f>IFERROR(Table_DonBan[[#This Row],[VAT hàng]]-Table_DonBan[[#This Row],[VAT hàng]]*Table_DonBan[[#This Row],[Giá trị CK]]/Table_DonBan[[#This Row],[Tiền hàng]],0)</f>
        <v>0</v>
      </c>
      <c r="AH71" s="17">
        <f>+Table_DonBan[[#This Row],[Tiền hàng]]-Table_DonBan[[#This Row],[Giá trị CK]]</f>
        <v>3900000</v>
      </c>
      <c r="AI71" s="17">
        <f>Table_DonBan[[#This Row],[Doanh thu ròng]]</f>
        <v>3900000</v>
      </c>
      <c r="AJ71" s="17">
        <f>Table_DonBan[[#This Row],[Tiền hàng]]+Table_DonBan[[#This Row],[Tổng VAT]]-Table_DonBan[[#This Row],[Giá trị CK]]</f>
        <v>3900000</v>
      </c>
      <c r="AK7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71" s="543">
        <f>+IFERROR(
MAX(_xlfn._xlws.FILTER(Table_KHThanThiet_ChinhSach[Tỷ lệ điểm thưởng],
(Table_KHThanThiet_ChinhSach[Doanh thu tối thiểu]&lt;=Table_DonBan[[#This Row],[Doanh thu tính điểm]])
)),0)</f>
        <v>0</v>
      </c>
      <c r="AM71" s="17">
        <f xml:space="preserve">
Table_DonBan[[#This Row],[Tỷ lệ tính điểm]]*Table_DonBan[[#This Row],[Doanh thu ròng]]</f>
        <v>0</v>
      </c>
      <c r="AN71" s="248">
        <f>COUNTA(_xlfn._xlws.FILTER(Table_DonBan[Mã Khách],
(Table_DonBan[Mã Khách]=Table_DonBan[[#This Row],[Mã Khách]])*
(Table_DonBan[Ngày lập]&lt;=Table_DonBan[[#This Row],[Ngày lập]])
))</f>
        <v>1</v>
      </c>
      <c r="AO71" s="246"/>
      <c r="AP71" s="247">
        <f>Table_DonBan[[#This Row],[ĐK - Phân loại]]*Table_DonBan[[#This Row],[ĐK - Thời gian]]*Table_DonBan[[#This Row],[ĐK - Giá trị]]*Table_DonBan[[#This Row],[ĐK - Số lượng]]*Table_DonBan[[#This Row],[ĐK - Sinh nhật]]*Table_DonBan[[#This Row],[ĐK - Ngày mua cuối]]</f>
        <v>1</v>
      </c>
      <c r="AQ71" s="247">
        <f xml:space="preserve">
IF(ISBLANK(Table_DonBan[[#This Row],[Chương trình]]),1,
IF(VLOOKUP(Table_DonBan[[#This Row],[Chương trình]],Table_ChuongTrinh[[Mã Chương trình]:[Đối tượng CK]],Sheet_ChuongTrinh!$C$1,0) = "Đơn hàng",1,0))</f>
        <v>1</v>
      </c>
      <c r="AR7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1" s="247">
        <f>IF(ISBLANK(Table_DonBan[[#This Row],[Chương trình]]),
1,
IF(ISBLANK(VLOOKUP(Table_DonBan[[#This Row],[Chương trình]],Table_ChuongTrinh[],Sheet_ChuongTrinh!$J$1,0)),
1,
IF(Table_DonBan[[#This Row],[Tiền hàng]]&gt;= VLOOKUP(Table_DonBan[[#This Row],[Chương trình]],Table_ChuongTrinh[],Sheet_ChuongTrinh!$J$1,0),
1,
0)))</f>
        <v>1</v>
      </c>
      <c r="AT7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sheetData>
  <sheetProtection algorithmName="SHA-512" hashValue="BzsnwB0nUIW5Qtn1qlZYtnFnA/Jtly3cFhlLalTke09S2He2nmmGK0X42RK5PkgDkLp19KVFEnqUsgTTIw28rw==" saltValue="qsdGT3QSYH508nR9YTU06A==" spinCount="100000" sheet="1" scenarios="1" formatCells="0" formatColumns="0" formatRows="0" insertColumns="0" insertRows="0" deleteColumns="0" deleteRows="0" sort="0" autoFilter="0" pivotTables="0"/>
  <protectedRanges>
    <protectedRange sqref="AW1:XFD1 AW4:XFD7 AX2:XFD3 AO10:AV28 T10:T14 S10:S28 AX8:XFD28 AO29:AW46 AY29:XFD1048576 S8:AV9 S2:AV3 T72:AW1048576 U10:AN46 AN47:AT71 U47:AK71 T16:T71 AW47:AW71" name="Range1"/>
    <protectedRange sqref="P33 F4:F7 C4:D8 E11:E13 D10:F10 F37:O37 G10:H14 F16:H29 F14 P16:R32 F1:Q3 F30:F32 F34:F36 P4:Q8 I10:O29 C3 P34:R34 P10:Q15 R36:R43 P36:Q40 G38:N43 O38:O40 O43:Q43 O41:Q41 D1:D3 C1 B1:B9 R1:R14 C9:E9 G9:Q9 S29:S1048576 F44:R1048576 B10:C1048576 D14:E1048576" name="Range1_1"/>
    <protectedRange sqref="F33 Q33:R33" name="Range1_1_1"/>
    <protectedRange sqref="F8" name="Range1_1_3"/>
    <protectedRange sqref="AA47:AC71" name="Range1_2"/>
    <protectedRange sqref="AG47:AI71" name="Range1_3"/>
    <protectedRange sqref="AU47:AV71" name="Range1_6"/>
  </protectedRanges>
  <mergeCells count="22">
    <mergeCell ref="O38:Q38"/>
    <mergeCell ref="O39:Q39"/>
    <mergeCell ref="O40:Q40"/>
    <mergeCell ref="E12:Q12"/>
    <mergeCell ref="E13:Q13"/>
    <mergeCell ref="P36:Q36"/>
    <mergeCell ref="F36:O36"/>
    <mergeCell ref="P30:Q30"/>
    <mergeCell ref="P33:Q33"/>
    <mergeCell ref="P34:Q34"/>
    <mergeCell ref="P35:Q35"/>
    <mergeCell ref="P31:Q31"/>
    <mergeCell ref="P32:Q32"/>
    <mergeCell ref="E11:Q11"/>
    <mergeCell ref="P4:Q4"/>
    <mergeCell ref="P5:Q5"/>
    <mergeCell ref="B4:D4"/>
    <mergeCell ref="B6:D6"/>
    <mergeCell ref="B5:D5"/>
    <mergeCell ref="P6:Q6"/>
    <mergeCell ref="P7:Q7"/>
    <mergeCell ref="P8:Q8"/>
  </mergeCells>
  <phoneticPr fontId="14" type="noConversion"/>
  <conditionalFormatting sqref="G17:G28">
    <cfRule type="expression" dxfId="434" priority="12">
      <formula>$H17=0</formula>
    </cfRule>
  </conditionalFormatting>
  <conditionalFormatting sqref="P33">
    <cfRule type="expression" dxfId="433" priority="11">
      <formula>$H$33=0</formula>
    </cfRule>
  </conditionalFormatting>
  <conditionalFormatting sqref="AD46">
    <cfRule type="expression" dxfId="432" priority="1">
      <formula>$AP$46=0</formula>
    </cfRule>
  </conditionalFormatting>
  <conditionalFormatting sqref="AD48:AD71">
    <cfRule type="expression" dxfId="431" priority="770">
      <formula>#REF!=0</formula>
    </cfRule>
  </conditionalFormatting>
  <conditionalFormatting sqref="P4:Q4">
    <cfRule type="expression" dxfId="430" priority="782">
      <formula>MATCH($P$4,$U$48:$U$71,0)</formula>
    </cfRule>
  </conditionalFormatting>
  <dataValidations count="14">
    <dataValidation type="list" allowBlank="1" showInputMessage="1" showErrorMessage="1" sqref="AD45:AD46 G17:G28 P33" xr:uid="{1A4A1E2F-8BF1-413B-9F19-13DEBA41E839}">
      <formula1>MaChuongTrinh</formula1>
    </dataValidation>
    <dataValidation type="list" allowBlank="1" showInputMessage="1" showErrorMessage="1" sqref="W45:W46" xr:uid="{262EFF9A-29A8-4696-A139-EF8DBDD3520B}">
      <formula1>MaKhachHang</formula1>
    </dataValidation>
    <dataValidation type="list" allowBlank="1" showInputMessage="1" showErrorMessage="1" sqref="X45:X46" xr:uid="{6692479C-D38F-4902-BCCC-F1ED162D6D92}">
      <formula1>MaNhanVien</formula1>
    </dataValidation>
    <dataValidation type="list" allowBlank="1" showInputMessage="1" showErrorMessage="1" sqref="Y45:Y46" xr:uid="{B57937B9-24AF-44B7-812B-878B5AD5DC78}">
      <formula1>MaKenh</formula1>
    </dataValidation>
    <dataValidation type="list" allowBlank="1" showInputMessage="1" showErrorMessage="1" sqref="C17:C28" xr:uid="{E95B5F1B-FC6A-4363-AB64-7BECEE6F6EBB}">
      <formula1>Ma_SKU</formula1>
    </dataValidation>
    <dataValidation type="list" showInputMessage="1" showErrorMessage="1" sqref="P8:Q8" xr:uid="{5E8FAE6F-B443-465F-8963-434F890C4F60}">
      <formula1>MaNhanVien</formula1>
    </dataValidation>
    <dataValidation type="list" showInputMessage="1" showErrorMessage="1" sqref="C3" xr:uid="{A4DE921D-DF32-4320-81BC-DA2E629CCD6E}">
      <formula1>MaKhachHang</formula1>
    </dataValidation>
    <dataValidation type="list" showInputMessage="1" showErrorMessage="1" sqref="P7:Q7" xr:uid="{D7075D39-D496-4B6B-B981-79F4945E873A}">
      <formula1>MaKenh</formula1>
    </dataValidation>
    <dataValidation type="list" allowBlank="1" showInputMessage="1" sqref="W48:W71" xr:uid="{17BB0627-AD52-42A3-9704-B75907087A49}">
      <formula1>MaKhachHang</formula1>
    </dataValidation>
    <dataValidation type="list" allowBlank="1" showInputMessage="1" sqref="X48:X71" xr:uid="{6C62CF4A-0114-49D1-9D9F-3C2D8CA9D9CC}">
      <formula1>MaNhanVien</formula1>
    </dataValidation>
    <dataValidation type="list" allowBlank="1" showInputMessage="1" sqref="Y48:Y71" xr:uid="{9B440006-E58C-4244-B011-62DC0F82B99F}">
      <formula1>MaKenh</formula1>
    </dataValidation>
    <dataValidation type="list" allowBlank="1" showInputMessage="1" sqref="AD48:AD71" xr:uid="{3D679D18-75AA-4823-813C-6A4FD660991C}">
      <formula1>MaChuongTrinh</formula1>
    </dataValidation>
    <dataValidation type="custom" allowBlank="1" showInputMessage="1" showErrorMessage="1" sqref="O10:P10" xr:uid="{706A4A22-B8C1-4A6C-A618-01A1DA203B84}">
      <formula1>O10&lt;&gt;BR:BR</formula1>
    </dataValidation>
    <dataValidation type="custom" allowBlank="1" showInputMessage="1" showErrorMessage="1" sqref="Q10:R10" xr:uid="{35423751-BF6B-478A-8977-A1B156D65DC3}">
      <formula1>Q10&lt;&gt;BS:BS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Button 3">
              <controlPr defaultSize="0" print="0" autoFill="0" autoPict="0" macro="[0]!AddColumn">
                <anchor moveWithCells="1">
                  <from>
                    <xdr:col>40</xdr:col>
                    <xdr:colOff>161925</xdr:colOff>
                    <xdr:row>0</xdr:row>
                    <xdr:rowOff>85725</xdr:rowOff>
                  </from>
                  <to>
                    <xdr:col>48</xdr:col>
                    <xdr:colOff>161925</xdr:colOff>
                    <xdr:row>0</xdr:row>
                    <xdr:rowOff>342900</xdr:rowOff>
                  </to>
                </anchor>
              </controlPr>
            </control>
          </mc:Choice>
        </mc:AlternateContent>
        <mc:AlternateContent xmlns:mc="http://schemas.openxmlformats.org/markup-compatibility/2006">
          <mc:Choice Requires="x14">
            <control shapeId="69636" r:id="rId5" name="Button 4">
              <controlPr defaultSize="0" print="0" autoFill="0" autoPict="0" macro="[0]!DeleteColumn">
                <anchor moveWithCells="1">
                  <from>
                    <xdr:col>48</xdr:col>
                    <xdr:colOff>295275</xdr:colOff>
                    <xdr:row>0</xdr:row>
                    <xdr:rowOff>85725</xdr:rowOff>
                  </from>
                  <to>
                    <xdr:col>49</xdr:col>
                    <xdr:colOff>152400</xdr:colOff>
                    <xdr:row>0</xdr:row>
                    <xdr:rowOff>342900</xdr:rowOff>
                  </to>
                </anchor>
              </controlPr>
            </control>
          </mc:Choice>
        </mc:AlternateContent>
        <mc:AlternateContent xmlns:mc="http://schemas.openxmlformats.org/markup-compatibility/2006">
          <mc:Choice Requires="x14">
            <control shapeId="69640" r:id="rId6" name="Option Button 8">
              <controlPr defaultSize="0" autoFill="0" autoLine="0" autoPict="0" macro="[0]!DoiDonViHienThi">
                <anchor moveWithCells="1">
                  <from>
                    <xdr:col>23</xdr:col>
                    <xdr:colOff>514350</xdr:colOff>
                    <xdr:row>0</xdr:row>
                    <xdr:rowOff>152400</xdr:rowOff>
                  </from>
                  <to>
                    <xdr:col>24</xdr:col>
                    <xdr:colOff>419100</xdr:colOff>
                    <xdr:row>0</xdr:row>
                    <xdr:rowOff>428625</xdr:rowOff>
                  </to>
                </anchor>
              </controlPr>
            </control>
          </mc:Choice>
        </mc:AlternateContent>
        <mc:AlternateContent xmlns:mc="http://schemas.openxmlformats.org/markup-compatibility/2006">
          <mc:Choice Requires="x14">
            <control shapeId="69641" r:id="rId7" name="Option Button 9">
              <controlPr defaultSize="0" autoFill="0" autoLine="0" autoPict="0" macro="[0]!DoiDonViHienThi">
                <anchor moveWithCells="1">
                  <from>
                    <xdr:col>24</xdr:col>
                    <xdr:colOff>295275</xdr:colOff>
                    <xdr:row>0</xdr:row>
                    <xdr:rowOff>152400</xdr:rowOff>
                  </from>
                  <to>
                    <xdr:col>25</xdr:col>
                    <xdr:colOff>200025</xdr:colOff>
                    <xdr:row>0</xdr:row>
                    <xdr:rowOff>428625</xdr:rowOff>
                  </to>
                </anchor>
              </controlPr>
            </control>
          </mc:Choice>
        </mc:AlternateContent>
        <mc:AlternateContent xmlns:mc="http://schemas.openxmlformats.org/markup-compatibility/2006">
          <mc:Choice Requires="x14">
            <control shapeId="69642" r:id="rId8" name="Option Button 10">
              <controlPr defaultSize="0" autoFill="0" autoLine="0" autoPict="0" macro="[0]!DoiDonViHienThi">
                <anchor moveWithCells="1">
                  <from>
                    <xdr:col>25</xdr:col>
                    <xdr:colOff>76200</xdr:colOff>
                    <xdr:row>0</xdr:row>
                    <xdr:rowOff>152400</xdr:rowOff>
                  </from>
                  <to>
                    <xdr:col>25</xdr:col>
                    <xdr:colOff>666750</xdr:colOff>
                    <xdr:row>0</xdr:row>
                    <xdr:rowOff>428625</xdr:rowOff>
                  </to>
                </anchor>
              </controlPr>
            </control>
          </mc:Choice>
        </mc:AlternateContent>
        <mc:AlternateContent xmlns:mc="http://schemas.openxmlformats.org/markup-compatibility/2006">
          <mc:Choice Requires="x14">
            <control shapeId="69643" r:id="rId9" name="Option Button 11">
              <controlPr defaultSize="0" autoFill="0" autoLine="0" autoPict="0" macro="[0]!DoiDonViHienThi">
                <anchor moveWithCells="1">
                  <from>
                    <xdr:col>25</xdr:col>
                    <xdr:colOff>552450</xdr:colOff>
                    <xdr:row>0</xdr:row>
                    <xdr:rowOff>152400</xdr:rowOff>
                  </from>
                  <to>
                    <xdr:col>26</xdr:col>
                    <xdr:colOff>219075</xdr:colOff>
                    <xdr:row>0</xdr:row>
                    <xdr:rowOff>428625</xdr:rowOff>
                  </to>
                </anchor>
              </controlPr>
            </control>
          </mc:Choice>
        </mc:AlternateContent>
        <mc:AlternateContent xmlns:mc="http://schemas.openxmlformats.org/markup-compatibility/2006">
          <mc:Choice Requires="x14">
            <control shapeId="69644" r:id="rId10" name="Group Box 12">
              <controlPr defaultSize="0" autoFill="0" autoPict="0">
                <anchor moveWithCells="1">
                  <from>
                    <xdr:col>23</xdr:col>
                    <xdr:colOff>400050</xdr:colOff>
                    <xdr:row>0</xdr:row>
                    <xdr:rowOff>104775</xdr:rowOff>
                  </from>
                  <to>
                    <xdr:col>26</xdr:col>
                    <xdr:colOff>333375</xdr:colOff>
                    <xdr:row>0</xdr:row>
                    <xdr:rowOff>466725</xdr:rowOff>
                  </to>
                </anchor>
              </controlPr>
            </control>
          </mc:Choice>
        </mc:AlternateContent>
        <mc:AlternateContent xmlns:mc="http://schemas.openxmlformats.org/markup-compatibility/2006">
          <mc:Choice Requires="x14">
            <control shapeId="69645" r:id="rId11" name="Group Box 13">
              <controlPr defaultSize="0" autoFill="0" autoPict="0">
                <anchor moveWithCells="1">
                  <from>
                    <xdr:col>21</xdr:col>
                    <xdr:colOff>66675</xdr:colOff>
                    <xdr:row>0</xdr:row>
                    <xdr:rowOff>104775</xdr:rowOff>
                  </from>
                  <to>
                    <xdr:col>23</xdr:col>
                    <xdr:colOff>352425</xdr:colOff>
                    <xdr:row>0</xdr:row>
                    <xdr:rowOff>466725</xdr:rowOff>
                  </to>
                </anchor>
              </controlPr>
            </control>
          </mc:Choice>
        </mc:AlternateContent>
        <mc:AlternateContent xmlns:mc="http://schemas.openxmlformats.org/markup-compatibility/2006">
          <mc:Choice Requires="x14">
            <control shapeId="69646" r:id="rId12" name="Button 14">
              <controlPr defaultSize="0" autoFill="0" autoPict="0" macro="[0]!NhanNghin">
                <anchor moveWithCells="1">
                  <from>
                    <xdr:col>21</xdr:col>
                    <xdr:colOff>152400</xdr:colOff>
                    <xdr:row>0</xdr:row>
                    <xdr:rowOff>200025</xdr:rowOff>
                  </from>
                  <to>
                    <xdr:col>21</xdr:col>
                    <xdr:colOff>619125</xdr:colOff>
                    <xdr:row>0</xdr:row>
                    <xdr:rowOff>371475</xdr:rowOff>
                  </to>
                </anchor>
              </controlPr>
            </control>
          </mc:Choice>
        </mc:AlternateContent>
        <mc:AlternateContent xmlns:mc="http://schemas.openxmlformats.org/markup-compatibility/2006">
          <mc:Choice Requires="x14">
            <control shapeId="69647" r:id="rId13" name="Button 15">
              <controlPr defaultSize="0" autoFill="0" autoPict="0" macro="[0]!NhanTrieu">
                <anchor moveWithCells="1">
                  <from>
                    <xdr:col>21</xdr:col>
                    <xdr:colOff>666750</xdr:colOff>
                    <xdr:row>0</xdr:row>
                    <xdr:rowOff>200025</xdr:rowOff>
                  </from>
                  <to>
                    <xdr:col>22</xdr:col>
                    <xdr:colOff>447675</xdr:colOff>
                    <xdr:row>0</xdr:row>
                    <xdr:rowOff>371475</xdr:rowOff>
                  </to>
                </anchor>
              </controlPr>
            </control>
          </mc:Choice>
        </mc:AlternateContent>
        <mc:AlternateContent xmlns:mc="http://schemas.openxmlformats.org/markup-compatibility/2006">
          <mc:Choice Requires="x14">
            <control shapeId="69648" r:id="rId14" name="Button 16">
              <controlPr defaultSize="0" autoFill="0" autoPict="0" macro="[0]!NhanTy">
                <anchor moveWithCells="1">
                  <from>
                    <xdr:col>22</xdr:col>
                    <xdr:colOff>495300</xdr:colOff>
                    <xdr:row>0</xdr:row>
                    <xdr:rowOff>200025</xdr:rowOff>
                  </from>
                  <to>
                    <xdr:col>23</xdr:col>
                    <xdr:colOff>276225</xdr:colOff>
                    <xdr:row>0</xdr:row>
                    <xdr:rowOff>371475</xdr:rowOff>
                  </to>
                </anchor>
              </controlPr>
            </control>
          </mc:Choice>
        </mc:AlternateContent>
        <mc:AlternateContent xmlns:mc="http://schemas.openxmlformats.org/markup-compatibility/2006">
          <mc:Choice Requires="x14">
            <control shapeId="69637" r:id="rId15" name="Button 5">
              <controlPr defaultSize="0" print="0" autoFill="0" autoPict="0" macro="[0]!CopyToTable">
                <anchor moveWithCells="1">
                  <from>
                    <xdr:col>40</xdr:col>
                    <xdr:colOff>9525</xdr:colOff>
                    <xdr:row>44</xdr:row>
                    <xdr:rowOff>95250</xdr:rowOff>
                  </from>
                  <to>
                    <xdr:col>48</xdr:col>
                    <xdr:colOff>38100</xdr:colOff>
                    <xdr:row>45</xdr:row>
                    <xdr:rowOff>123825</xdr:rowOff>
                  </to>
                </anchor>
              </controlPr>
            </control>
          </mc:Choice>
        </mc:AlternateContent>
        <mc:AlternateContent xmlns:mc="http://schemas.openxmlformats.org/markup-compatibility/2006">
          <mc:Choice Requires="x14">
            <control shapeId="69649" r:id="rId16" name="Button 17">
              <controlPr defaultSize="0" print="0" autoFill="0" autoPict="0" macro="[0]!AddRow">
                <anchor moveWithCells="1">
                  <from>
                    <xdr:col>20</xdr:col>
                    <xdr:colOff>85725</xdr:colOff>
                    <xdr:row>0</xdr:row>
                    <xdr:rowOff>95250</xdr:rowOff>
                  </from>
                  <to>
                    <xdr:col>20</xdr:col>
                    <xdr:colOff>561975</xdr:colOff>
                    <xdr:row>0</xdr:row>
                    <xdr:rowOff>352425</xdr:rowOff>
                  </to>
                </anchor>
              </controlPr>
            </control>
          </mc:Choice>
        </mc:AlternateContent>
        <mc:AlternateContent xmlns:mc="http://schemas.openxmlformats.org/markup-compatibility/2006">
          <mc:Choice Requires="x14">
            <control shapeId="69650" r:id="rId17" name="Button 18">
              <controlPr defaultSize="0" print="0" autoFill="0" autoPict="0" macro="[0]!DeleteRow">
                <anchor moveWithCells="1">
                  <from>
                    <xdr:col>20</xdr:col>
                    <xdr:colOff>714375</xdr:colOff>
                    <xdr:row>0</xdr:row>
                    <xdr:rowOff>95250</xdr:rowOff>
                  </from>
                  <to>
                    <xdr:col>20</xdr:col>
                    <xdr:colOff>1190625</xdr:colOff>
                    <xdr:row>0</xdr:row>
                    <xdr:rowOff>352425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5" id="{1C28E9F8-9639-4AF1-8DAE-8C7858C0B2F9}">
            <xm:f>Security!$A$1="NO VBA"</xm:f>
            <x14:dxf>
              <font>
                <color theme="0"/>
              </font>
              <border>
                <vertical/>
                <horizontal/>
              </border>
            </x14:dxf>
          </x14:cfRule>
          <xm:sqref>A47:AJ47 A9:E9 A1:XFD8 G9:XFD9 AN47 A10:XFD46 A48:S1048576 AX47:XFD1048576 T72:AW1048576 AN48:AW71 T48:U71 W48:AJ71</xm:sqref>
        </x14:conditionalFormatting>
        <x14:conditionalFormatting xmlns:xm="http://schemas.microsoft.com/office/excel/2006/main">
          <x14:cfRule type="expression" priority="4" id="{BA35EF14-362F-445D-A117-9F372E1F5D87}">
            <xm:f>Security!$A$1="NO VBA"</xm:f>
            <x14:dxf>
              <font>
                <color theme="0"/>
              </font>
              <border>
                <vertical/>
                <horizontal/>
              </border>
            </x14:dxf>
          </x14:cfRule>
          <xm:sqref>AO47:AT47 AW47</xm:sqref>
        </x14:conditionalFormatting>
        <x14:conditionalFormatting xmlns:xm="http://schemas.microsoft.com/office/excel/2006/main">
          <x14:cfRule type="expression" priority="2" id="{CB3E9970-6E5B-442F-AFF0-F720F4EE4E78}">
            <xm:f>Security!$A$1="NO VBA"</xm:f>
            <x14:dxf>
              <font>
                <color theme="0"/>
              </font>
              <border>
                <vertical/>
                <horizontal/>
              </border>
            </x14:dxf>
          </x14:cfRule>
          <xm:sqref>AU47:AV47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AFBF-9B7D-4EBD-ACCA-532EDD3234AA}">
  <sheetPr codeName="Sheet26">
    <tabColor theme="7"/>
    <outlinePr summaryRight="0"/>
  </sheetPr>
  <dimension ref="A1:AJ46"/>
  <sheetViews>
    <sheetView showGridLines="0" topLeftCell="P1" workbookViewId="0">
      <selection activeCell="U51" sqref="U51"/>
    </sheetView>
  </sheetViews>
  <sheetFormatPr defaultRowHeight="17.25" outlineLevelRow="2" outlineLevelCol="2" x14ac:dyDescent="0.3"/>
  <cols>
    <col min="1" max="1" width="1.25" style="40" customWidth="1" collapsed="1"/>
    <col min="2" max="2" width="3.875" style="1" hidden="1" customWidth="1" outlineLevel="1"/>
    <col min="3" max="3" width="21.625" style="1" hidden="1" customWidth="1" outlineLevel="2"/>
    <col min="4" max="4" width="12.625" style="1" hidden="1" customWidth="1" outlineLevel="2"/>
    <col min="5" max="5" width="25" style="1" hidden="1" customWidth="1" outlineLevel="1"/>
    <col min="6" max="7" width="11.375" style="1" hidden="1" customWidth="1" outlineLevel="1"/>
    <col min="8" max="8" width="15.125" style="1" hidden="1" customWidth="1" outlineLevel="1"/>
    <col min="9" max="9" width="15.125" style="1" hidden="1" customWidth="1" outlineLevel="1" collapsed="1"/>
    <col min="10" max="10" width="12.75" style="1" hidden="1" customWidth="1" outlineLevel="2"/>
    <col min="11" max="11" width="12.75" style="1" hidden="1" customWidth="1" outlineLevel="1"/>
    <col min="12" max="12" width="9.625" style="40" customWidth="1"/>
    <col min="13" max="13" width="5.375" style="40" bestFit="1" customWidth="1"/>
    <col min="14" max="14" width="18" style="40" customWidth="1"/>
    <col min="15" max="15" width="12.5" style="40" customWidth="1" outlineLevel="1"/>
    <col min="16" max="16" width="12.25" style="40" bestFit="1" customWidth="1"/>
    <col min="17" max="17" width="10.375" style="40" customWidth="1" outlineLevel="1"/>
    <col min="18" max="18" width="10.625" style="40" customWidth="1" outlineLevel="1"/>
    <col min="19" max="19" width="11.125" style="40" customWidth="1" outlineLevel="1"/>
    <col min="20" max="20" width="9.75" style="40" customWidth="1" outlineLevel="1" collapsed="1"/>
    <col min="21" max="21" width="11.375" style="40" customWidth="1" outlineLevel="1"/>
    <col min="22" max="22" width="5.625" style="40" customWidth="1"/>
    <col min="23" max="23" width="11.375" style="40" customWidth="1"/>
    <col min="24" max="24" width="14.5" style="40" bestFit="1" customWidth="1"/>
    <col min="25" max="25" width="7.625" style="40" customWidth="1" outlineLevel="1"/>
    <col min="26" max="26" width="6.75" style="40" bestFit="1" customWidth="1" collapsed="1"/>
    <col min="27" max="27" width="9.375" style="40" customWidth="1"/>
    <col min="28" max="28" width="9" style="38"/>
    <col min="29" max="16384" width="9" style="40"/>
  </cols>
  <sheetData>
    <row r="1" spans="1:36" s="21" customFormat="1" ht="37.5" x14ac:dyDescent="0.3">
      <c r="A1" s="249"/>
      <c r="B1" s="56" t="str">
        <f>EULA!$B11</f>
        <v>Công ty ABC XYZ</v>
      </c>
      <c r="C1" s="313"/>
      <c r="D1" s="282"/>
      <c r="E1" s="282"/>
      <c r="F1" s="282"/>
      <c r="G1" s="282"/>
      <c r="H1" s="282"/>
      <c r="I1" s="57" t="s">
        <v>741</v>
      </c>
      <c r="J1" s="249"/>
      <c r="K1" s="249"/>
      <c r="L1" s="249"/>
      <c r="M1" s="249"/>
      <c r="N1" s="249"/>
      <c r="O1" s="249"/>
      <c r="P1" s="249"/>
      <c r="Q1" s="249"/>
      <c r="R1" s="249"/>
      <c r="S1" s="249"/>
      <c r="T1" s="249"/>
      <c r="U1" s="249"/>
      <c r="V1" s="249"/>
      <c r="W1" s="249"/>
      <c r="X1" s="249"/>
      <c r="Y1" s="249"/>
      <c r="Z1" s="249"/>
      <c r="AA1" s="249"/>
      <c r="AB1" s="249"/>
    </row>
    <row r="2" spans="1:36" hidden="1" outlineLevel="2" x14ac:dyDescent="0.3">
      <c r="A2" s="273"/>
      <c r="B2" s="276"/>
      <c r="C2" s="1" t="s">
        <v>724</v>
      </c>
      <c r="D2" s="283"/>
      <c r="E2" s="276"/>
      <c r="F2" s="276"/>
      <c r="G2" s="276"/>
      <c r="H2" s="297"/>
      <c r="I2" s="297"/>
      <c r="J2" s="297"/>
      <c r="K2" s="297"/>
      <c r="L2" s="273"/>
      <c r="M2" s="273"/>
      <c r="N2" s="273"/>
      <c r="O2" s="273"/>
      <c r="P2" s="273"/>
      <c r="Q2" s="273"/>
      <c r="R2" s="273"/>
      <c r="S2" s="273"/>
      <c r="T2" s="273"/>
      <c r="U2" s="273"/>
      <c r="V2" s="273"/>
      <c r="W2" s="273"/>
      <c r="X2" s="273"/>
      <c r="Y2" s="273"/>
      <c r="Z2" s="273"/>
      <c r="AA2" s="273"/>
      <c r="AB2" s="243"/>
    </row>
    <row r="3" spans="1:36" hidden="1" outlineLevel="2" x14ac:dyDescent="0.3">
      <c r="A3" s="273"/>
      <c r="B3" s="276"/>
      <c r="C3" s="1" t="s">
        <v>742</v>
      </c>
      <c r="D3" s="283"/>
      <c r="E3" s="276"/>
      <c r="F3" s="276"/>
      <c r="G3" s="276"/>
      <c r="H3" s="276"/>
      <c r="I3" s="276"/>
      <c r="J3" s="276"/>
      <c r="K3" s="276"/>
      <c r="L3" s="273"/>
      <c r="M3" s="273"/>
      <c r="N3" s="273"/>
      <c r="O3" s="273"/>
      <c r="P3" s="273"/>
      <c r="Q3" s="273"/>
      <c r="R3" s="273"/>
      <c r="S3" s="273"/>
      <c r="T3" s="273"/>
      <c r="U3" s="273"/>
      <c r="V3" s="273"/>
      <c r="W3" s="273"/>
      <c r="X3" s="273"/>
      <c r="Y3" s="273"/>
      <c r="Z3" s="273"/>
      <c r="AA3" s="273"/>
      <c r="AB3" s="243"/>
    </row>
    <row r="4" spans="1:36" hidden="1" outlineLevel="1" x14ac:dyDescent="0.3">
      <c r="A4" s="273"/>
      <c r="B4" s="568" t="str">
        <f>EULA!$B14</f>
        <v>[Địa chỉ]</v>
      </c>
      <c r="C4" s="569"/>
      <c r="D4" s="568" t="str">
        <f>EULA!$B14</f>
        <v>[Địa chỉ]</v>
      </c>
      <c r="E4" s="568" t="str">
        <f>EULA!$B14</f>
        <v>[Địa chỉ]</v>
      </c>
      <c r="F4" s="1" t="s">
        <v>743</v>
      </c>
      <c r="G4" s="276"/>
      <c r="H4" s="570" t="str">
        <f>CONCATENATE("GIAO-",D2,"-",MOD(YEAR(H5),100)*10000+MONTH(H5)*100+DAY(H5),"-",J4)</f>
        <v>GIAO--100-1</v>
      </c>
      <c r="I4" s="571"/>
      <c r="J4" s="284">
        <v>1</v>
      </c>
      <c r="K4" s="273"/>
      <c r="L4" s="273"/>
      <c r="M4" s="273"/>
      <c r="N4" s="273"/>
      <c r="O4" s="273"/>
      <c r="P4" s="273"/>
      <c r="Q4" s="273"/>
      <c r="R4" s="273"/>
      <c r="S4" s="273"/>
      <c r="T4" s="273"/>
      <c r="U4" s="273"/>
      <c r="V4" s="273"/>
      <c r="W4" s="273"/>
      <c r="X4" s="273"/>
      <c r="Y4" s="273"/>
      <c r="Z4" s="273"/>
      <c r="AA4" s="273"/>
      <c r="AB4" s="273"/>
    </row>
    <row r="5" spans="1:36" hidden="1" outlineLevel="1" x14ac:dyDescent="0.3">
      <c r="A5" s="273"/>
      <c r="B5" s="568" t="str">
        <f>EULA!$B15</f>
        <v>[Mã số thuế]</v>
      </c>
      <c r="C5" s="569"/>
      <c r="D5" s="568" t="str">
        <f>EULA!$B15</f>
        <v>[Mã số thuế]</v>
      </c>
      <c r="E5" s="568" t="str">
        <f>EULA!$B15</f>
        <v>[Mã số thuế]</v>
      </c>
      <c r="F5" s="1" t="s">
        <v>539</v>
      </c>
      <c r="G5" s="276"/>
      <c r="H5" s="572"/>
      <c r="I5" s="573"/>
      <c r="J5" s="273"/>
      <c r="K5" s="273"/>
      <c r="L5" s="273"/>
      <c r="M5" s="273"/>
      <c r="N5" s="273"/>
      <c r="O5" s="273"/>
      <c r="P5" s="273"/>
      <c r="Q5" s="273"/>
      <c r="R5" s="273"/>
      <c r="S5" s="273"/>
      <c r="T5" s="273"/>
      <c r="U5" s="273"/>
      <c r="V5" s="273"/>
      <c r="W5" s="273"/>
      <c r="X5" s="273"/>
      <c r="Y5" s="273"/>
      <c r="Z5" s="273"/>
      <c r="AA5" s="273"/>
      <c r="AB5" s="273"/>
    </row>
    <row r="6" spans="1:36" hidden="1" outlineLevel="1" x14ac:dyDescent="0.3">
      <c r="A6" s="273"/>
      <c r="B6" s="568" t="str">
        <f>EULA!$B16</f>
        <v>[SĐT - Fax]</v>
      </c>
      <c r="C6" s="569"/>
      <c r="D6" s="568" t="str">
        <f>EULA!$B16</f>
        <v>[SĐT - Fax]</v>
      </c>
      <c r="E6" s="568" t="str">
        <f>EULA!$B16</f>
        <v>[SĐT - Fax]</v>
      </c>
      <c r="F6" s="1" t="s">
        <v>173</v>
      </c>
      <c r="G6" s="276"/>
      <c r="H6" s="585" t="str">
        <f>IFERROR(VLOOKUP(D2,Sheet_KhachHang!B6:C8,Sheet_KhachHang!$C$1,0),"")</f>
        <v/>
      </c>
      <c r="I6" s="575"/>
      <c r="J6" s="273"/>
      <c r="K6" s="273"/>
      <c r="L6" s="273"/>
      <c r="M6" s="273"/>
      <c r="N6" s="273"/>
      <c r="O6" s="273"/>
      <c r="P6" s="273"/>
      <c r="Q6" s="273"/>
      <c r="R6" s="273"/>
      <c r="S6" s="273"/>
      <c r="T6" s="273"/>
      <c r="U6" s="273"/>
      <c r="V6" s="273"/>
      <c r="W6" s="273"/>
      <c r="X6" s="273"/>
      <c r="Y6" s="273"/>
      <c r="Z6" s="273"/>
      <c r="AA6" s="273"/>
      <c r="AB6" s="273"/>
    </row>
    <row r="7" spans="1:36" hidden="1" outlineLevel="1" x14ac:dyDescent="0.3">
      <c r="A7" s="273"/>
      <c r="B7" s="568" t="str">
        <f>EULA!$B17</f>
        <v>[Website - Page]</v>
      </c>
      <c r="C7" s="569"/>
      <c r="D7" s="568" t="str">
        <f>EULA!$B17</f>
        <v>[Website - Page]</v>
      </c>
      <c r="E7" s="568" t="str">
        <f>EULA!$B17</f>
        <v>[Website - Page]</v>
      </c>
      <c r="F7" s="1" t="s">
        <v>744</v>
      </c>
      <c r="G7" s="276"/>
      <c r="H7" s="577" t="str">
        <f>IFERROR(
VLOOKUP(D3,Table_NhaCungCap[[Mã Đối tác]:[Tên Đối tác]],2,0),
"")</f>
        <v/>
      </c>
      <c r="I7" s="575"/>
      <c r="J7" s="273"/>
      <c r="K7" s="273"/>
      <c r="L7" s="273"/>
      <c r="M7" s="273"/>
      <c r="N7" s="273"/>
      <c r="O7" s="273"/>
      <c r="P7" s="273"/>
      <c r="Q7" s="273"/>
      <c r="R7" s="273"/>
      <c r="S7" s="273"/>
      <c r="T7" s="273"/>
      <c r="U7" s="273"/>
      <c r="V7" s="273"/>
      <c r="W7" s="273"/>
      <c r="X7" s="273"/>
      <c r="Y7" s="273"/>
      <c r="Z7" s="273"/>
      <c r="AA7" s="273"/>
      <c r="AB7" s="243"/>
    </row>
    <row r="8" spans="1:36" hidden="1" outlineLevel="1" x14ac:dyDescent="0.3">
      <c r="A8" s="273"/>
      <c r="B8" s="185" t="str">
        <f>EULA!$B18</f>
        <v>[STK - Ngân hàng]</v>
      </c>
      <c r="C8" s="289"/>
      <c r="D8" s="276"/>
      <c r="E8" s="276"/>
      <c r="F8" s="1" t="s">
        <v>745</v>
      </c>
      <c r="G8" s="276"/>
      <c r="H8" s="576"/>
      <c r="I8" s="575"/>
      <c r="J8" s="273"/>
      <c r="K8" s="273"/>
      <c r="L8" s="273"/>
      <c r="M8" s="273"/>
      <c r="N8" s="273"/>
      <c r="O8" s="273"/>
      <c r="P8" s="273"/>
      <c r="Q8" s="273"/>
      <c r="R8" s="273"/>
      <c r="S8" s="273"/>
      <c r="T8" s="273"/>
      <c r="U8" s="273"/>
      <c r="V8" s="273"/>
      <c r="W8" s="273"/>
      <c r="X8" s="273"/>
      <c r="Y8" s="273"/>
      <c r="Z8" s="273"/>
      <c r="AA8" s="273"/>
      <c r="AB8" s="243"/>
    </row>
    <row r="9" spans="1:36" ht="42" hidden="1" customHeight="1" outlineLevel="1" x14ac:dyDescent="0.3">
      <c r="A9" s="273"/>
      <c r="B9" s="276"/>
      <c r="C9" s="1" t="s">
        <v>746</v>
      </c>
      <c r="D9" s="283"/>
      <c r="E9" s="276"/>
      <c r="F9" s="276"/>
      <c r="G9" s="276"/>
      <c r="H9" s="297"/>
      <c r="I9" s="433" t="str" cm="1">
        <f t="array" ref="I9">Code128(H4)</f>
        <v>ÌGIAO--1ÇÂÈ-1=Î</v>
      </c>
      <c r="J9" s="297"/>
      <c r="K9" s="297"/>
      <c r="L9" s="273"/>
      <c r="M9" s="273"/>
      <c r="N9" s="273"/>
      <c r="O9" s="273"/>
      <c r="P9" s="273"/>
      <c r="Q9" s="273"/>
      <c r="R9" s="273"/>
      <c r="S9" s="273"/>
      <c r="T9" s="273"/>
      <c r="U9" s="273"/>
      <c r="V9" s="273"/>
      <c r="W9" s="273"/>
      <c r="X9" s="273"/>
      <c r="Y9" s="273"/>
      <c r="Z9" s="273"/>
      <c r="AA9" s="273"/>
      <c r="AB9" s="243"/>
    </row>
    <row r="10" spans="1:36" ht="17.25" hidden="1" customHeight="1" outlineLevel="2" x14ac:dyDescent="0.3">
      <c r="A10" s="273"/>
      <c r="B10" s="276"/>
      <c r="C10" s="1" t="s">
        <v>937</v>
      </c>
      <c r="D10" s="283"/>
      <c r="E10" s="276"/>
      <c r="F10" s="276"/>
      <c r="G10" s="276"/>
      <c r="H10" s="297"/>
      <c r="I10" s="433"/>
      <c r="J10" s="297"/>
      <c r="K10" s="297"/>
      <c r="L10" s="273"/>
      <c r="M10" s="273"/>
      <c r="N10" s="273"/>
      <c r="O10" s="273"/>
      <c r="P10" s="273"/>
      <c r="Q10" s="273"/>
      <c r="R10" s="273"/>
      <c r="S10" s="273"/>
      <c r="T10" s="273"/>
      <c r="U10" s="273"/>
      <c r="V10" s="273"/>
      <c r="W10" s="273"/>
      <c r="X10" s="273"/>
      <c r="Y10" s="273"/>
      <c r="Z10" s="273"/>
      <c r="AA10" s="273"/>
      <c r="AB10" s="243"/>
    </row>
    <row r="11" spans="1:36" hidden="1" outlineLevel="1" x14ac:dyDescent="0.3">
      <c r="A11" s="273"/>
      <c r="B11" s="58" t="s">
        <v>727</v>
      </c>
      <c r="C11" s="314"/>
      <c r="D11" s="285"/>
      <c r="E11" s="285"/>
      <c r="F11" s="276"/>
      <c r="G11" s="276"/>
      <c r="H11" s="276"/>
      <c r="I11" s="276"/>
      <c r="J11" s="276"/>
      <c r="K11" s="276"/>
      <c r="L11" s="273"/>
      <c r="M11" s="273"/>
      <c r="N11" s="273"/>
      <c r="O11" s="273"/>
      <c r="P11" s="273"/>
      <c r="Q11" s="273"/>
      <c r="R11" s="273"/>
      <c r="S11" s="273"/>
      <c r="T11" s="273"/>
      <c r="U11" s="273"/>
      <c r="V11" s="273"/>
      <c r="W11" s="273"/>
      <c r="X11" s="273"/>
      <c r="Y11" s="273"/>
      <c r="Z11" s="273"/>
      <c r="AA11" s="273"/>
      <c r="AB11" s="243"/>
    </row>
    <row r="12" spans="1:36" hidden="1" outlineLevel="2" x14ac:dyDescent="0.3">
      <c r="A12" s="273"/>
      <c r="B12" s="1" t="s">
        <v>540</v>
      </c>
      <c r="C12" s="276"/>
      <c r="D12" s="276"/>
      <c r="E12" s="273"/>
      <c r="F12" s="568" t="str">
        <f>IFERROR(VLOOKUP($D$2,Table_KhachHang[#All],Sheet_KhachHang!$C$1,0),"")</f>
        <v/>
      </c>
      <c r="G12" s="569"/>
      <c r="H12" s="569"/>
      <c r="I12" s="569"/>
      <c r="J12" s="289"/>
      <c r="K12" s="289"/>
      <c r="L12" s="273"/>
      <c r="M12" s="273"/>
      <c r="N12" s="273"/>
      <c r="O12" s="273"/>
      <c r="P12" s="273"/>
      <c r="Q12" s="273"/>
      <c r="R12" s="273"/>
      <c r="S12" s="273"/>
      <c r="T12" s="273"/>
      <c r="U12" s="273"/>
      <c r="V12" s="273"/>
      <c r="W12" s="273"/>
      <c r="X12" s="273"/>
      <c r="Y12" s="273"/>
      <c r="Z12" s="273"/>
      <c r="AA12" s="273"/>
      <c r="AB12" s="243"/>
    </row>
    <row r="13" spans="1:36" hidden="1" outlineLevel="2" x14ac:dyDescent="0.3">
      <c r="A13" s="273"/>
      <c r="B13" s="1" t="s">
        <v>705</v>
      </c>
      <c r="C13" s="276"/>
      <c r="D13" s="276"/>
      <c r="E13" s="273"/>
      <c r="F13" s="568" t="str">
        <f>CONCATENATE(IFERROR(VLOOKUP($D$2,Table_KhachHang[#All],Sheet_KhachHang!$G$1,0),"")," - ",IFERROR(VLOOKUP($D$2,Table_KhachHang[#All],Sheet_KhachHang!$H$1,0),"")," - ",IFERROR(VLOOKUP($D$2,Table_KhachHang[#All],Sheet_KhachHang!$I$1,0),""))</f>
        <v xml:space="preserve"> -  - </v>
      </c>
      <c r="G13" s="569"/>
      <c r="H13" s="569"/>
      <c r="I13" s="569"/>
      <c r="J13" s="289"/>
      <c r="K13" s="289"/>
      <c r="L13" s="273"/>
      <c r="M13" s="273"/>
      <c r="N13" s="273"/>
      <c r="O13" s="273"/>
      <c r="P13" s="273"/>
      <c r="Q13" s="273"/>
      <c r="R13" s="273"/>
      <c r="S13" s="273"/>
      <c r="T13" s="273"/>
      <c r="U13" s="273"/>
      <c r="V13" s="273"/>
      <c r="W13" s="273"/>
      <c r="X13" s="273"/>
      <c r="Y13" s="273"/>
      <c r="Z13" s="273"/>
      <c r="AA13" s="273"/>
      <c r="AB13" s="243"/>
    </row>
    <row r="14" spans="1:36" hidden="1" outlineLevel="2" x14ac:dyDescent="0.3">
      <c r="A14" s="273"/>
      <c r="B14" s="1" t="s">
        <v>542</v>
      </c>
      <c r="C14" s="276"/>
      <c r="D14" s="276"/>
      <c r="E14" s="273"/>
      <c r="F14" s="568" t="str">
        <f>IFERROR(VLOOKUP($D$2,Table_KhachHang[#All],Sheet_KhachHang!$F$1,0),"")</f>
        <v/>
      </c>
      <c r="G14" s="569"/>
      <c r="H14" s="569"/>
      <c r="I14" s="569"/>
      <c r="J14" s="289"/>
      <c r="K14" s="289"/>
      <c r="L14" s="273"/>
      <c r="M14" s="273"/>
      <c r="N14" s="273"/>
      <c r="O14" s="273"/>
      <c r="P14" s="273"/>
      <c r="Q14" s="273"/>
      <c r="R14" s="273"/>
      <c r="S14" s="273"/>
      <c r="T14" s="273"/>
      <c r="U14" s="273"/>
      <c r="V14" s="273"/>
      <c r="W14" s="273"/>
      <c r="X14" s="273"/>
      <c r="Y14" s="273"/>
      <c r="Z14" s="273"/>
      <c r="AA14" s="273"/>
      <c r="AB14" s="243"/>
    </row>
    <row r="15" spans="1:36" hidden="1" outlineLevel="2" x14ac:dyDescent="0.3">
      <c r="A15" s="273"/>
      <c r="B15" s="276"/>
      <c r="C15" s="276"/>
      <c r="D15" s="276"/>
      <c r="E15" s="276"/>
      <c r="F15" s="276"/>
      <c r="G15" s="276"/>
      <c r="H15" s="276"/>
      <c r="I15" s="276"/>
      <c r="J15" s="276"/>
      <c r="K15" s="276"/>
      <c r="L15" s="273"/>
      <c r="M15" s="273"/>
      <c r="N15" s="273"/>
      <c r="O15" s="273"/>
      <c r="P15" s="273"/>
      <c r="Q15" s="273"/>
      <c r="R15" s="273"/>
      <c r="S15" s="273"/>
      <c r="T15" s="273"/>
      <c r="U15" s="273"/>
      <c r="V15" s="273"/>
      <c r="W15" s="273"/>
      <c r="X15" s="273"/>
      <c r="Y15" s="273"/>
      <c r="Z15" s="273"/>
      <c r="AA15" s="273"/>
      <c r="AB15" s="243"/>
    </row>
    <row r="16" spans="1:36" hidden="1" outlineLevel="2" x14ac:dyDescent="0.3">
      <c r="A16" s="273"/>
      <c r="B16" s="276"/>
      <c r="C16" s="276"/>
      <c r="D16" s="276"/>
      <c r="E16" s="276"/>
      <c r="F16" s="276"/>
      <c r="G16" s="276"/>
      <c r="H16" s="92" t="s">
        <v>322</v>
      </c>
      <c r="I16" s="93" t="s">
        <v>329</v>
      </c>
      <c r="J16" s="273"/>
      <c r="K16" s="40" t="s">
        <v>747</v>
      </c>
      <c r="L16" s="40" t="str" cm="1">
        <f t="array" ref="L16:AJ16">TRANSPOSE(_xlfn._xlws.SORT(_xlfn._xlws.FILTER(Table_Main[Đơn bán],(Table_Main[Vận đơn bán] ="")*(NOT(ISBLANK(Table_Main[Đơn bán]))),"")))</f>
        <v>BAN-KH1-250320-</v>
      </c>
      <c r="M16" s="273" t="str">
        <v>BAN-KH1-250327-</v>
      </c>
      <c r="N16" s="273" t="str">
        <v>BAN-KH1-250403-</v>
      </c>
      <c r="O16" s="273" t="str">
        <v>BAN-KH1-250411-</v>
      </c>
      <c r="P16" s="273" t="str">
        <v>BAN-KH1-250507-</v>
      </c>
      <c r="Q16" s="273" t="str">
        <v>BAN-KH1-250509-</v>
      </c>
      <c r="R16" s="273" t="str">
        <v>BAN-KH1-250509-</v>
      </c>
      <c r="S16" s="273" t="str">
        <v>BAN-KH1-250516-</v>
      </c>
      <c r="T16" s="273" t="str">
        <v>BAN-KH1-250519-</v>
      </c>
      <c r="U16" s="273" t="str">
        <v>BAN-KH2-250313-</v>
      </c>
      <c r="V16" s="273" t="str">
        <v>BAN-KH2-250319-</v>
      </c>
      <c r="W16" s="273" t="str">
        <v>BAN-KH2-250330-</v>
      </c>
      <c r="X16" s="273" t="str">
        <v>BAN-KH2-250408-</v>
      </c>
      <c r="Y16" s="273" t="str">
        <v>BAN-KH2-250414-</v>
      </c>
      <c r="Z16" s="273" t="str">
        <v>BAN-KH2-250415-</v>
      </c>
      <c r="AA16" s="273" t="str">
        <v>BAN-KH2-250424-</v>
      </c>
      <c r="AB16" s="243" t="str">
        <v>BAN-KH2-250427-</v>
      </c>
      <c r="AC16" s="40" t="str">
        <v>BAN-KH2-250502-</v>
      </c>
      <c r="AD16" s="40" t="str">
        <v>BAN-KH2-250515-</v>
      </c>
      <c r="AE16" s="40" t="str">
        <v>BAN-KH3-250325-</v>
      </c>
      <c r="AF16" s="40" t="str">
        <v>BAN-KH3-250409-</v>
      </c>
      <c r="AG16" s="40" t="str">
        <v>BAN-KH3-250417-</v>
      </c>
      <c r="AH16" s="40" t="str">
        <v>BAN-KH3-250429-</v>
      </c>
      <c r="AI16" s="40" t="str">
        <v>BAN-KH3-250430-</v>
      </c>
      <c r="AJ16" s="40" t="str">
        <v>BAN-KH3-250531-</v>
      </c>
    </row>
    <row r="17" spans="1:36" ht="16.5" hidden="1" outlineLevel="1" x14ac:dyDescent="0.3">
      <c r="A17" s="273"/>
      <c r="B17" s="59" t="s">
        <v>643</v>
      </c>
      <c r="C17" s="59" t="s">
        <v>687</v>
      </c>
      <c r="D17" s="59" t="s">
        <v>47</v>
      </c>
      <c r="E17" s="59" t="s">
        <v>707</v>
      </c>
      <c r="F17" s="60" t="s">
        <v>748</v>
      </c>
      <c r="G17" s="59" t="s">
        <v>749</v>
      </c>
      <c r="H17" s="60" t="s">
        <v>750</v>
      </c>
      <c r="I17" s="60" t="s">
        <v>751</v>
      </c>
      <c r="J17" s="59" t="s">
        <v>752</v>
      </c>
      <c r="K17" s="40" t="s">
        <v>753</v>
      </c>
      <c r="L17" s="40" t="str" cm="1">
        <f t="array" ref="L17:AJ17">TRANSPOSE(_xlfn._xlws.SORT(_xlfn._xlws.FILTER(Table_Main[Mã SKU],(Table_Main[Vận đơn bán] ="")*(NOT(ISBLANK(Table_Main[Đơn bán]))),"")))</f>
        <v>HH1</v>
      </c>
      <c r="M17" s="273" t="str">
        <v>HH1</v>
      </c>
      <c r="N17" s="273" t="str">
        <v>HH1</v>
      </c>
      <c r="O17" s="273" t="str">
        <v>HH1</v>
      </c>
      <c r="P17" s="273" t="str">
        <v>HH1</v>
      </c>
      <c r="Q17" s="273" t="str">
        <v>HH1</v>
      </c>
      <c r="R17" s="273" t="str">
        <v>HH1</v>
      </c>
      <c r="S17" s="273" t="str">
        <v>HH1</v>
      </c>
      <c r="T17" s="273" t="str">
        <v>HH1</v>
      </c>
      <c r="U17" s="273" t="str">
        <v>TP1</v>
      </c>
      <c r="V17" s="273" t="str">
        <v>TP1</v>
      </c>
      <c r="W17" s="273" t="str">
        <v>TP1</v>
      </c>
      <c r="X17" s="273" t="str">
        <v>TP1</v>
      </c>
      <c r="Y17" s="273" t="str">
        <v>TP1</v>
      </c>
      <c r="Z17" s="273" t="str">
        <v>TP1</v>
      </c>
      <c r="AA17" s="243" t="str">
        <v>TP1</v>
      </c>
      <c r="AB17" s="273" t="str">
        <v>TP1</v>
      </c>
      <c r="AC17" s="40" t="str">
        <v>TP1</v>
      </c>
      <c r="AD17" s="40" t="str">
        <v>TP1</v>
      </c>
      <c r="AE17" s="40" t="str">
        <v>TP2</v>
      </c>
      <c r="AF17" s="40" t="str">
        <v>TP2</v>
      </c>
      <c r="AG17" s="40" t="str">
        <v>TP2</v>
      </c>
      <c r="AH17" s="40" t="str">
        <v>TP2</v>
      </c>
      <c r="AI17" s="40" t="str">
        <v>TP2</v>
      </c>
      <c r="AJ17" s="40" t="str">
        <v>TP2</v>
      </c>
    </row>
    <row r="18" spans="1:36" ht="16.5" hidden="1" outlineLevel="2" x14ac:dyDescent="0.3">
      <c r="A18" s="273"/>
      <c r="B18" s="7" t="str">
        <f>IF(Table_PhieuGiao[[#This Row],[SKU]]&lt;&gt;"",COUNTIF(D$18:D18,"&lt;&gt;"""),"")</f>
        <v/>
      </c>
      <c r="C18" s="242"/>
      <c r="D18" s="242"/>
      <c r="E18" s="7" t="str">
        <f xml:space="preserve">
IFERROR(VLOOKUP(Table_PhieuGiao[[#This Row],[SKU]],Table_SKU[[Mã SKU]:[Mô tả]],Sheet_SKU!$H$1,0),"")</f>
        <v/>
      </c>
      <c r="F18" s="15" t="str" cm="1">
        <f t="array" ref="F18">IF(ISBLANK(Table_PhieuGiao[[#This Row],[SKU]]),"",
SUM(_xlfn._xlws.FILTER(Table_Main[Số lượng],
(Table_Main[Mã SKU] = Table_PhieuGiao[[#This Row],[SKU]])*
(Table_Main[Đơn bán] = Table_PhieuGiao[[#This Row],[Đơn bán]]))
))</f>
        <v/>
      </c>
      <c r="G18" s="15"/>
      <c r="H18" s="15" t="str" cm="1">
        <f t="array" ref="H18">IF(ISBLANK(Table_PhieuGiao[[#This Row],[SKU]]),"",
SUM(_xlfn._xlws.FILTER(Table_Main[Giá trị bán trước VAT],
(Table_Main[Mã SKU] = Table_PhieuGiao[[#This Row],[SKU]])*
(Table_Main[Đơn bán] = Table_PhieuGiao[[#This Row],[Đơn bán]]))
))</f>
        <v/>
      </c>
      <c r="I18" s="15" t="str">
        <f xml:space="preserve">
IF(ISBLANK(Table_PhieuGiao[[#This Row],[SKU]]),"",
Table_PhieuGiao[[#This Row],[Thành tiền đặt]]*Table_PhieuGiao[[#This Row],[Số lượng giao]]/Table_PhieuGiao[[#This Row],[Số lượng đặt]])</f>
        <v/>
      </c>
      <c r="J18" s="119" t="str" cm="1">
        <f t="array" ref="J18" xml:space="preserve">
IF(ISBLANK(Table_PhieuGiao[[#This Row],[SKU]]),"",
IFERROR(
Table_PhieuGiao[[#This Row],[Thành tiền giao]]/
IFERROR(
SUM(_xlfn._xlws.FILTER(Table_Main[Giá trị bán trước VAT],
(Table_Main[Đơn bán] = Table_PhieuGiao[[#This Row],[Đơn bán]])
)),0),
0))</f>
        <v/>
      </c>
      <c r="K18" s="315"/>
      <c r="L18" s="273"/>
      <c r="M18" s="273"/>
      <c r="N18" s="273"/>
      <c r="O18" s="273"/>
      <c r="P18" s="273"/>
      <c r="Q18" s="273"/>
      <c r="R18" s="273"/>
      <c r="S18" s="273"/>
      <c r="T18" s="273"/>
      <c r="U18" s="273"/>
      <c r="V18" s="273"/>
      <c r="W18" s="273"/>
      <c r="X18" s="273"/>
      <c r="Y18" s="273"/>
      <c r="Z18" s="273"/>
      <c r="AA18" s="243"/>
      <c r="AB18" s="273"/>
    </row>
    <row r="19" spans="1:36" ht="16.5" hidden="1" outlineLevel="2" x14ac:dyDescent="0.3">
      <c r="A19" s="273"/>
      <c r="B19" s="7" t="str">
        <f>IF(Table_PhieuGiao[[#This Row],[SKU]]&lt;&gt;"",COUNTIF(D$18:D19,"&lt;&gt;"""),"")</f>
        <v/>
      </c>
      <c r="C19" s="242"/>
      <c r="D19" s="242"/>
      <c r="E19" s="7" t="str">
        <f xml:space="preserve">
IFERROR(VLOOKUP(Table_PhieuGiao[[#This Row],[SKU]],Table_SKU[[Mã SKU]:[Mô tả]],Sheet_SKU!$H$1,0),"")</f>
        <v/>
      </c>
      <c r="F19" s="15" t="str" cm="1">
        <f t="array" ref="F19">IF(ISBLANK(Table_PhieuGiao[[#This Row],[SKU]]),"",
SUM(_xlfn._xlws.FILTER(Table_Main[Số lượng],
(Table_Main[Mã SKU] = Table_PhieuGiao[[#This Row],[SKU]])*
(Table_Main[Đơn bán] = Table_PhieuGiao[[#This Row],[Đơn bán]]))
))</f>
        <v/>
      </c>
      <c r="G19" s="15"/>
      <c r="H19" s="15" t="str" cm="1">
        <f t="array" ref="H19">IF(ISBLANK(Table_PhieuGiao[[#This Row],[SKU]]),"",
SUM(_xlfn._xlws.FILTER(Table_Main[Giá trị bán trước VAT],
(Table_Main[Mã SKU] = Table_PhieuGiao[[#This Row],[SKU]])*
(Table_Main[Đơn bán] = Table_PhieuGiao[[#This Row],[Đơn bán]]))
))</f>
        <v/>
      </c>
      <c r="I19" s="15" t="str">
        <f xml:space="preserve">
IF(ISBLANK(Table_PhieuGiao[[#This Row],[SKU]]),"",
Table_PhieuGiao[[#This Row],[Thành tiền đặt]]*Table_PhieuGiao[[#This Row],[Số lượng giao]]/Table_PhieuGiao[[#This Row],[Số lượng đặt]])</f>
        <v/>
      </c>
      <c r="J19" s="119" t="str" cm="1">
        <f t="array" ref="J19" xml:space="preserve">
IF(ISBLANK(Table_PhieuGiao[[#This Row],[SKU]]),"",
IFERROR(
Table_PhieuGiao[[#This Row],[Thành tiền giao]]/
IFERROR(
SUM(_xlfn._xlws.FILTER(Table_Main[Giá trị bán trước VAT],
(Table_Main[Đơn bán] = Table_PhieuGiao[[#This Row],[Đơn bán]])
)),0),
0))</f>
        <v/>
      </c>
      <c r="K19" s="315"/>
      <c r="L19" s="273"/>
      <c r="M19" s="273"/>
      <c r="N19" s="273"/>
      <c r="O19" s="273"/>
      <c r="P19" s="273"/>
      <c r="Q19" s="273"/>
      <c r="R19" s="273"/>
      <c r="S19" s="273"/>
      <c r="T19" s="273"/>
      <c r="U19" s="273"/>
      <c r="V19" s="273"/>
      <c r="W19" s="273"/>
      <c r="X19" s="273"/>
      <c r="Y19" s="273"/>
      <c r="Z19" s="273"/>
      <c r="AA19" s="243"/>
      <c r="AB19" s="273"/>
    </row>
    <row r="20" spans="1:36" ht="16.5" hidden="1" outlineLevel="2" x14ac:dyDescent="0.3">
      <c r="A20" s="273"/>
      <c r="B20" s="7" t="str">
        <f>IF(Table_PhieuGiao[[#This Row],[SKU]]&lt;&gt;"",COUNTIF(D$18:D20,"&lt;&gt;"""),"")</f>
        <v/>
      </c>
      <c r="C20" s="242"/>
      <c r="D20" s="242"/>
      <c r="E20" s="7" t="str">
        <f xml:space="preserve">
IFERROR(VLOOKUP(Table_PhieuGiao[[#This Row],[SKU]],Table_SKU[[Mã SKU]:[Mô tả]],Sheet_SKU!$H$1,0),"")</f>
        <v/>
      </c>
      <c r="F20" s="15" t="str" cm="1">
        <f t="array" ref="F20">IF(ISBLANK(Table_PhieuGiao[[#This Row],[SKU]]),"",
SUM(_xlfn._xlws.FILTER(Table_Main[Số lượng],
(Table_Main[Mã SKU] = Table_PhieuGiao[[#This Row],[SKU]])*
(Table_Main[Đơn bán] = Table_PhieuGiao[[#This Row],[Đơn bán]]))
))</f>
        <v/>
      </c>
      <c r="G20" s="15"/>
      <c r="H20" s="15" t="str" cm="1">
        <f t="array" ref="H20">IF(ISBLANK(Table_PhieuGiao[[#This Row],[SKU]]),"",
SUM(_xlfn._xlws.FILTER(Table_Main[Giá trị bán trước VAT],
(Table_Main[Mã SKU] = Table_PhieuGiao[[#This Row],[SKU]])*
(Table_Main[Đơn bán] = Table_PhieuGiao[[#This Row],[Đơn bán]]))
))</f>
        <v/>
      </c>
      <c r="I20" s="15" t="str">
        <f xml:space="preserve">
IF(ISBLANK(Table_PhieuGiao[[#This Row],[SKU]]),"",
Table_PhieuGiao[[#This Row],[Thành tiền đặt]]*Table_PhieuGiao[[#This Row],[Số lượng giao]]/Table_PhieuGiao[[#This Row],[Số lượng đặt]])</f>
        <v/>
      </c>
      <c r="J20" s="119" t="str" cm="1">
        <f t="array" ref="J20" xml:space="preserve">
IF(ISBLANK(Table_PhieuGiao[[#This Row],[SKU]]),"",
IFERROR(
Table_PhieuGiao[[#This Row],[Thành tiền giao]]/
IFERROR(
SUM(_xlfn._xlws.FILTER(Table_Main[Giá trị bán trước VAT],
(Table_Main[Đơn bán] = Table_PhieuGiao[[#This Row],[Đơn bán]])
)),0),
0))</f>
        <v/>
      </c>
      <c r="K20" s="315"/>
      <c r="L20" s="273"/>
      <c r="M20" s="273"/>
      <c r="N20" s="273"/>
      <c r="O20" s="273"/>
      <c r="P20" s="273"/>
      <c r="Q20" s="273"/>
      <c r="R20" s="273"/>
      <c r="S20" s="273"/>
      <c r="T20" s="273"/>
      <c r="U20" s="273"/>
      <c r="V20" s="273"/>
      <c r="W20" s="273"/>
      <c r="X20" s="273"/>
      <c r="Y20" s="273"/>
      <c r="Z20" s="273"/>
      <c r="AA20" s="243"/>
      <c r="AB20" s="273"/>
    </row>
    <row r="21" spans="1:36" ht="16.5" hidden="1" outlineLevel="2" x14ac:dyDescent="0.3">
      <c r="A21" s="273"/>
      <c r="B21" s="7" t="str">
        <f>IF(Table_PhieuGiao[[#This Row],[SKU]]&lt;&gt;"",COUNTIF(D$18:D21,"&lt;&gt;"""),"")</f>
        <v/>
      </c>
      <c r="C21" s="242"/>
      <c r="D21" s="242"/>
      <c r="E21" s="7" t="str">
        <f xml:space="preserve">
IFERROR(VLOOKUP(Table_PhieuGiao[[#This Row],[SKU]],Table_SKU[[Mã SKU]:[Mô tả]],Sheet_SKU!$H$1,0),"")</f>
        <v/>
      </c>
      <c r="F21" s="15" t="str" cm="1">
        <f t="array" ref="F21">IF(ISBLANK(Table_PhieuGiao[[#This Row],[SKU]]),"",
SUM(_xlfn._xlws.FILTER(Table_Main[Số lượng],
(Table_Main[Mã SKU] = Table_PhieuGiao[[#This Row],[SKU]])*
(Table_Main[Đơn bán] = Table_PhieuGiao[[#This Row],[Đơn bán]]))
))</f>
        <v/>
      </c>
      <c r="G21" s="15"/>
      <c r="H21" s="15" t="str" cm="1">
        <f t="array" ref="H21">IF(ISBLANK(Table_PhieuGiao[[#This Row],[SKU]]),"",
SUM(_xlfn._xlws.FILTER(Table_Main[Giá trị bán trước VAT],
(Table_Main[Mã SKU] = Table_PhieuGiao[[#This Row],[SKU]])*
(Table_Main[Đơn bán] = Table_PhieuGiao[[#This Row],[Đơn bán]]))
))</f>
        <v/>
      </c>
      <c r="I21" s="15" t="str">
        <f xml:space="preserve">
IF(ISBLANK(Table_PhieuGiao[[#This Row],[SKU]]),"",
Table_PhieuGiao[[#This Row],[Thành tiền đặt]]*Table_PhieuGiao[[#This Row],[Số lượng giao]]/Table_PhieuGiao[[#This Row],[Số lượng đặt]])</f>
        <v/>
      </c>
      <c r="J21" s="119" t="str" cm="1">
        <f t="array" ref="J21" xml:space="preserve">
IF(ISBLANK(Table_PhieuGiao[[#This Row],[SKU]]),"",
IFERROR(
Table_PhieuGiao[[#This Row],[Thành tiền giao]]/
IFERROR(
SUM(_xlfn._xlws.FILTER(Table_Main[Giá trị bán trước VAT],
(Table_Main[Đơn bán] = Table_PhieuGiao[[#This Row],[Đơn bán]])
)),0),
0))</f>
        <v/>
      </c>
      <c r="K21" s="315"/>
      <c r="L21" s="273"/>
      <c r="M21" s="273"/>
      <c r="N21" s="273"/>
      <c r="O21" s="273"/>
      <c r="P21" s="273"/>
      <c r="Q21" s="273"/>
      <c r="R21" s="273"/>
      <c r="S21" s="273"/>
      <c r="T21" s="273"/>
      <c r="U21" s="273"/>
      <c r="V21" s="273"/>
      <c r="W21" s="273"/>
      <c r="X21" s="273"/>
      <c r="Y21" s="273"/>
      <c r="Z21" s="273"/>
      <c r="AA21" s="243"/>
      <c r="AB21" s="273"/>
    </row>
    <row r="22" spans="1:36" ht="16.5" hidden="1" outlineLevel="2" x14ac:dyDescent="0.3">
      <c r="A22" s="273"/>
      <c r="B22" s="7" t="str">
        <f>IF(Table_PhieuGiao[[#This Row],[SKU]]&lt;&gt;"",COUNTIF(D$18:D22,"&lt;&gt;"""),"")</f>
        <v/>
      </c>
      <c r="C22" s="242"/>
      <c r="D22" s="242"/>
      <c r="E22" s="7" t="str">
        <f xml:space="preserve">
IFERROR(VLOOKUP(Table_PhieuGiao[[#This Row],[SKU]],Table_SKU[[Mã SKU]:[Mô tả]],Sheet_SKU!$H$1,0),"")</f>
        <v/>
      </c>
      <c r="F22" s="15" t="str" cm="1">
        <f t="array" ref="F22">IF(ISBLANK(Table_PhieuGiao[[#This Row],[SKU]]),"",
SUM(_xlfn._xlws.FILTER(Table_Main[Số lượng],
(Table_Main[Mã SKU] = Table_PhieuGiao[[#This Row],[SKU]])*
(Table_Main[Đơn bán] = Table_PhieuGiao[[#This Row],[Đơn bán]]))
))</f>
        <v/>
      </c>
      <c r="G22" s="15"/>
      <c r="H22" s="15" t="str" cm="1">
        <f t="array" ref="H22">IF(ISBLANK(Table_PhieuGiao[[#This Row],[SKU]]),"",
SUM(_xlfn._xlws.FILTER(Table_Main[Giá trị bán trước VAT],
(Table_Main[Mã SKU] = Table_PhieuGiao[[#This Row],[SKU]])*
(Table_Main[Đơn bán] = Table_PhieuGiao[[#This Row],[Đơn bán]]))
))</f>
        <v/>
      </c>
      <c r="I22" s="15" t="str">
        <f xml:space="preserve">
IF(ISBLANK(Table_PhieuGiao[[#This Row],[SKU]]),"",
Table_PhieuGiao[[#This Row],[Thành tiền đặt]]*Table_PhieuGiao[[#This Row],[Số lượng giao]]/Table_PhieuGiao[[#This Row],[Số lượng đặt]])</f>
        <v/>
      </c>
      <c r="J22" s="119" t="str" cm="1">
        <f t="array" ref="J22" xml:space="preserve">
IF(ISBLANK(Table_PhieuGiao[[#This Row],[SKU]]),"",
IFERROR(
Table_PhieuGiao[[#This Row],[Thành tiền giao]]/
IFERROR(
SUM(_xlfn._xlws.FILTER(Table_Main[Giá trị bán trước VAT],
(Table_Main[Đơn bán] = Table_PhieuGiao[[#This Row],[Đơn bán]])
)),0),
0))</f>
        <v/>
      </c>
      <c r="K22" s="315"/>
      <c r="L22" s="273"/>
      <c r="M22" s="273"/>
      <c r="N22" s="273"/>
      <c r="O22" s="273"/>
      <c r="P22" s="273"/>
      <c r="Q22" s="273"/>
      <c r="R22" s="273"/>
      <c r="S22" s="273"/>
      <c r="T22" s="273"/>
      <c r="U22" s="273"/>
      <c r="V22" s="273"/>
      <c r="W22" s="273"/>
      <c r="X22" s="273"/>
      <c r="Y22" s="273"/>
      <c r="Z22" s="273"/>
      <c r="AA22" s="243"/>
      <c r="AB22" s="273"/>
    </row>
    <row r="23" spans="1:36" ht="16.5" hidden="1" outlineLevel="2" x14ac:dyDescent="0.3">
      <c r="A23" s="273"/>
      <c r="B23" s="7" t="str">
        <f>IF(Table_PhieuGiao[[#This Row],[SKU]]&lt;&gt;"",COUNTIF(D$18:D23,"&lt;&gt;"""),"")</f>
        <v/>
      </c>
      <c r="C23" s="242"/>
      <c r="D23" s="242"/>
      <c r="E23" s="7" t="str">
        <f xml:space="preserve">
IFERROR(VLOOKUP(Table_PhieuGiao[[#This Row],[SKU]],Table_SKU[[Mã SKU]:[Mô tả]],Sheet_SKU!$H$1,0),"")</f>
        <v/>
      </c>
      <c r="F23" s="15" t="str" cm="1">
        <f t="array" ref="F23">IF(ISBLANK(Table_PhieuGiao[[#This Row],[SKU]]),"",
SUM(_xlfn._xlws.FILTER(Table_Main[Số lượng],
(Table_Main[Mã SKU] = Table_PhieuGiao[[#This Row],[SKU]])*
(Table_Main[Đơn bán] = Table_PhieuGiao[[#This Row],[Đơn bán]]))
))</f>
        <v/>
      </c>
      <c r="G23" s="15"/>
      <c r="H23" s="15" t="str" cm="1">
        <f t="array" ref="H23">IF(ISBLANK(Table_PhieuGiao[[#This Row],[SKU]]),"",
SUM(_xlfn._xlws.FILTER(Table_Main[Giá trị bán trước VAT],
(Table_Main[Mã SKU] = Table_PhieuGiao[[#This Row],[SKU]])*
(Table_Main[Đơn bán] = Table_PhieuGiao[[#This Row],[Đơn bán]]))
))</f>
        <v/>
      </c>
      <c r="I23" s="15" t="str">
        <f xml:space="preserve">
IF(ISBLANK(Table_PhieuGiao[[#This Row],[SKU]]),"",
Table_PhieuGiao[[#This Row],[Thành tiền đặt]]*Table_PhieuGiao[[#This Row],[Số lượng giao]]/Table_PhieuGiao[[#This Row],[Số lượng đặt]])</f>
        <v/>
      </c>
      <c r="J23" s="119" t="str" cm="1">
        <f t="array" ref="J23" xml:space="preserve">
IF(ISBLANK(Table_PhieuGiao[[#This Row],[SKU]]),"",
IFERROR(
Table_PhieuGiao[[#This Row],[Thành tiền giao]]/
IFERROR(
SUM(_xlfn._xlws.FILTER(Table_Main[Giá trị bán trước VAT],
(Table_Main[Đơn bán] = Table_PhieuGiao[[#This Row],[Đơn bán]])
)),0),
0))</f>
        <v/>
      </c>
      <c r="K23" s="315"/>
      <c r="L23" s="273"/>
      <c r="M23" s="273"/>
      <c r="N23" s="273"/>
      <c r="O23" s="273"/>
      <c r="P23" s="273"/>
      <c r="Q23" s="273"/>
      <c r="R23" s="273"/>
      <c r="S23" s="273"/>
      <c r="T23" s="273"/>
      <c r="U23" s="273"/>
      <c r="V23" s="273"/>
      <c r="W23" s="273"/>
      <c r="X23" s="273"/>
      <c r="Y23" s="273"/>
      <c r="Z23" s="273"/>
      <c r="AA23" s="243"/>
      <c r="AB23" s="273"/>
    </row>
    <row r="24" spans="1:36" ht="16.5" hidden="1" outlineLevel="2" x14ac:dyDescent="0.3">
      <c r="A24" s="273"/>
      <c r="B24" s="7" t="str">
        <f>IF(Table_PhieuGiao[[#This Row],[SKU]]&lt;&gt;"",COUNTIF(D$18:D24,"&lt;&gt;"""),"")</f>
        <v/>
      </c>
      <c r="C24" s="242"/>
      <c r="D24" s="242"/>
      <c r="E24" s="7" t="str">
        <f xml:space="preserve">
IFERROR(VLOOKUP(Table_PhieuGiao[[#This Row],[SKU]],Table_SKU[[Mã SKU]:[Mô tả]],Sheet_SKU!$H$1,0),"")</f>
        <v/>
      </c>
      <c r="F24" s="15" t="str" cm="1">
        <f t="array" ref="F24">IF(ISBLANK(Table_PhieuGiao[[#This Row],[SKU]]),"",
SUM(_xlfn._xlws.FILTER(Table_Main[Số lượng],
(Table_Main[Mã SKU] = Table_PhieuGiao[[#This Row],[SKU]])*
(Table_Main[Đơn bán] = Table_PhieuGiao[[#This Row],[Đơn bán]]))
))</f>
        <v/>
      </c>
      <c r="G24" s="15"/>
      <c r="H24" s="15" t="str" cm="1">
        <f t="array" ref="H24">IF(ISBLANK(Table_PhieuGiao[[#This Row],[SKU]]),"",
SUM(_xlfn._xlws.FILTER(Table_Main[Giá trị bán trước VAT],
(Table_Main[Mã SKU] = Table_PhieuGiao[[#This Row],[SKU]])*
(Table_Main[Đơn bán] = Table_PhieuGiao[[#This Row],[Đơn bán]]))
))</f>
        <v/>
      </c>
      <c r="I24" s="15" t="str">
        <f xml:space="preserve">
IF(ISBLANK(Table_PhieuGiao[[#This Row],[SKU]]),"",
Table_PhieuGiao[[#This Row],[Thành tiền đặt]]*Table_PhieuGiao[[#This Row],[Số lượng giao]]/Table_PhieuGiao[[#This Row],[Số lượng đặt]])</f>
        <v/>
      </c>
      <c r="J24" s="119" t="str" cm="1">
        <f t="array" ref="J24" xml:space="preserve">
IF(ISBLANK(Table_PhieuGiao[[#This Row],[SKU]]),"",
IFERROR(
Table_PhieuGiao[[#This Row],[Thành tiền giao]]/
IFERROR(
SUM(_xlfn._xlws.FILTER(Table_Main[Giá trị bán trước VAT],
(Table_Main[Đơn bán] = Table_PhieuGiao[[#This Row],[Đơn bán]])
)),0),
0))</f>
        <v/>
      </c>
      <c r="K24" s="315"/>
      <c r="L24" s="273"/>
      <c r="M24" s="273"/>
      <c r="N24" s="273"/>
      <c r="O24" s="273"/>
      <c r="P24" s="273"/>
      <c r="Q24" s="273"/>
      <c r="R24" s="273"/>
      <c r="S24" s="273"/>
      <c r="T24" s="273"/>
      <c r="U24" s="273"/>
      <c r="V24" s="273"/>
      <c r="W24" s="273"/>
      <c r="X24" s="273"/>
      <c r="Y24" s="273"/>
      <c r="Z24" s="273"/>
      <c r="AA24" s="243"/>
      <c r="AB24" s="273"/>
    </row>
    <row r="25" spans="1:36" ht="16.5" hidden="1" outlineLevel="2" x14ac:dyDescent="0.3">
      <c r="A25" s="273"/>
      <c r="B25" s="7" t="str">
        <f>IF(Table_PhieuGiao[[#This Row],[SKU]]&lt;&gt;"",COUNTIF(D$18:D25,"&lt;&gt;"""),"")</f>
        <v/>
      </c>
      <c r="C25" s="242"/>
      <c r="D25" s="242"/>
      <c r="E25" s="7" t="str">
        <f xml:space="preserve">
IFERROR(VLOOKUP(Table_PhieuGiao[[#This Row],[SKU]],Table_SKU[[Mã SKU]:[Mô tả]],Sheet_SKU!$H$1,0),"")</f>
        <v/>
      </c>
      <c r="F25" s="15" t="str" cm="1">
        <f t="array" ref="F25">IF(ISBLANK(Table_PhieuGiao[[#This Row],[SKU]]),"",
SUM(_xlfn._xlws.FILTER(Table_Main[Số lượng],
(Table_Main[Mã SKU] = Table_PhieuGiao[[#This Row],[SKU]])*
(Table_Main[Đơn bán] = Table_PhieuGiao[[#This Row],[Đơn bán]]))
))</f>
        <v/>
      </c>
      <c r="G25" s="15"/>
      <c r="H25" s="15" t="str" cm="1">
        <f t="array" ref="H25">IF(ISBLANK(Table_PhieuGiao[[#This Row],[SKU]]),"",
SUM(_xlfn._xlws.FILTER(Table_Main[Giá trị bán trước VAT],
(Table_Main[Mã SKU] = Table_PhieuGiao[[#This Row],[SKU]])*
(Table_Main[Đơn bán] = Table_PhieuGiao[[#This Row],[Đơn bán]]))
))</f>
        <v/>
      </c>
      <c r="I25" s="15" t="str">
        <f xml:space="preserve">
IF(ISBLANK(Table_PhieuGiao[[#This Row],[SKU]]),"",
Table_PhieuGiao[[#This Row],[Thành tiền đặt]]*Table_PhieuGiao[[#This Row],[Số lượng giao]]/Table_PhieuGiao[[#This Row],[Số lượng đặt]])</f>
        <v/>
      </c>
      <c r="J25" s="119" t="str" cm="1">
        <f t="array" ref="J25" xml:space="preserve">
IF(ISBLANK(Table_PhieuGiao[[#This Row],[SKU]]),"",
IFERROR(
Table_PhieuGiao[[#This Row],[Thành tiền giao]]/
IFERROR(
SUM(_xlfn._xlws.FILTER(Table_Main[Giá trị bán trước VAT],
(Table_Main[Đơn bán] = Table_PhieuGiao[[#This Row],[Đơn bán]])
)),0),
0))</f>
        <v/>
      </c>
      <c r="K25" s="315"/>
      <c r="L25" s="273"/>
      <c r="M25" s="273"/>
      <c r="N25" s="273"/>
      <c r="O25" s="273"/>
      <c r="P25" s="273"/>
      <c r="Q25" s="273"/>
      <c r="R25" s="273"/>
      <c r="S25" s="273"/>
      <c r="T25" s="273"/>
      <c r="U25" s="273"/>
      <c r="V25" s="273"/>
      <c r="W25" s="273"/>
      <c r="X25" s="273"/>
      <c r="Y25" s="273"/>
      <c r="Z25" s="273"/>
      <c r="AA25" s="243"/>
      <c r="AB25" s="273"/>
    </row>
    <row r="26" spans="1:36" ht="16.5" hidden="1" outlineLevel="2" x14ac:dyDescent="0.3">
      <c r="A26" s="273"/>
      <c r="B26" s="7" t="str">
        <f>IF(Table_PhieuGiao[[#This Row],[SKU]]&lt;&gt;"",COUNTIF(D$18:D26,"&lt;&gt;"""),"")</f>
        <v/>
      </c>
      <c r="C26" s="242"/>
      <c r="D26" s="242"/>
      <c r="E26" s="7" t="str">
        <f xml:space="preserve">
IFERROR(VLOOKUP(Table_PhieuGiao[[#This Row],[SKU]],Table_SKU[[Mã SKU]:[Mô tả]],Sheet_SKU!$H$1,0),"")</f>
        <v/>
      </c>
      <c r="F26" s="15" t="str" cm="1">
        <f t="array" ref="F26">IF(ISBLANK(Table_PhieuGiao[[#This Row],[SKU]]),"",
SUM(_xlfn._xlws.FILTER(Table_Main[Số lượng],
(Table_Main[Mã SKU] = Table_PhieuGiao[[#This Row],[SKU]])*
(Table_Main[Đơn bán] = Table_PhieuGiao[[#This Row],[Đơn bán]]))
))</f>
        <v/>
      </c>
      <c r="G26" s="15"/>
      <c r="H26" s="15" t="str" cm="1">
        <f t="array" ref="H26">IF(ISBLANK(Table_PhieuGiao[[#This Row],[SKU]]),"",
SUM(_xlfn._xlws.FILTER(Table_Main[Giá trị bán trước VAT],
(Table_Main[Mã SKU] = Table_PhieuGiao[[#This Row],[SKU]])*
(Table_Main[Đơn bán] = Table_PhieuGiao[[#This Row],[Đơn bán]]))
))</f>
        <v/>
      </c>
      <c r="I26" s="15" t="str">
        <f xml:space="preserve">
IF(ISBLANK(Table_PhieuGiao[[#This Row],[SKU]]),"",
Table_PhieuGiao[[#This Row],[Thành tiền đặt]]*Table_PhieuGiao[[#This Row],[Số lượng giao]]/Table_PhieuGiao[[#This Row],[Số lượng đặt]])</f>
        <v/>
      </c>
      <c r="J26" s="119" t="str" cm="1">
        <f t="array" ref="J26" xml:space="preserve">
IF(ISBLANK(Table_PhieuGiao[[#This Row],[SKU]]),"",
IFERROR(
Table_PhieuGiao[[#This Row],[Thành tiền giao]]/
IFERROR(
SUM(_xlfn._xlws.FILTER(Table_Main[Giá trị bán trước VAT],
(Table_Main[Đơn bán] = Table_PhieuGiao[[#This Row],[Đơn bán]])
)),0),
0))</f>
        <v/>
      </c>
      <c r="K26" s="315"/>
      <c r="L26" s="273"/>
      <c r="M26" s="273"/>
      <c r="N26" s="273"/>
      <c r="O26" s="273"/>
      <c r="P26" s="273"/>
      <c r="Q26" s="273"/>
      <c r="R26" s="273"/>
      <c r="S26" s="273"/>
      <c r="T26" s="273"/>
      <c r="U26" s="273"/>
      <c r="V26" s="273"/>
      <c r="W26" s="273"/>
      <c r="X26" s="273"/>
      <c r="Y26" s="273"/>
      <c r="Z26" s="273"/>
      <c r="AA26" s="243"/>
      <c r="AB26" s="273"/>
    </row>
    <row r="27" spans="1:36" ht="16.5" hidden="1" outlineLevel="2" x14ac:dyDescent="0.3">
      <c r="A27" s="273"/>
      <c r="B27" s="7" t="str">
        <f>IF(Table_PhieuGiao[[#This Row],[SKU]]&lt;&gt;"",COUNTIF(D$18:D27,"&lt;&gt;"""),"")</f>
        <v/>
      </c>
      <c r="C27" s="242"/>
      <c r="D27" s="242"/>
      <c r="E27" s="7" t="str">
        <f xml:space="preserve">
IFERROR(VLOOKUP(Table_PhieuGiao[[#This Row],[SKU]],Table_SKU[[Mã SKU]:[Mô tả]],Sheet_SKU!$H$1,0),"")</f>
        <v/>
      </c>
      <c r="F27" s="15" t="str" cm="1">
        <f t="array" ref="F27">IF(ISBLANK(Table_PhieuGiao[[#This Row],[SKU]]),"",
SUM(_xlfn._xlws.FILTER(Table_Main[Số lượng],
(Table_Main[Mã SKU] = Table_PhieuGiao[[#This Row],[SKU]])*
(Table_Main[Đơn bán] = Table_PhieuGiao[[#This Row],[Đơn bán]]))
))</f>
        <v/>
      </c>
      <c r="G27" s="15"/>
      <c r="H27" s="15" t="str" cm="1">
        <f t="array" ref="H27">IF(ISBLANK(Table_PhieuGiao[[#This Row],[SKU]]),"",
SUM(_xlfn._xlws.FILTER(Table_Main[Giá trị bán trước VAT],
(Table_Main[Mã SKU] = Table_PhieuGiao[[#This Row],[SKU]])*
(Table_Main[Đơn bán] = Table_PhieuGiao[[#This Row],[Đơn bán]]))
))</f>
        <v/>
      </c>
      <c r="I27" s="15" t="str">
        <f xml:space="preserve">
IF(ISBLANK(Table_PhieuGiao[[#This Row],[SKU]]),"",
Table_PhieuGiao[[#This Row],[Thành tiền đặt]]*Table_PhieuGiao[[#This Row],[Số lượng giao]]/Table_PhieuGiao[[#This Row],[Số lượng đặt]])</f>
        <v/>
      </c>
      <c r="J27" s="119" t="str" cm="1">
        <f t="array" ref="J27" xml:space="preserve">
IF(ISBLANK(Table_PhieuGiao[[#This Row],[SKU]]),"",
IFERROR(
Table_PhieuGiao[[#This Row],[Thành tiền giao]]/
IFERROR(
SUM(_xlfn._xlws.FILTER(Table_Main[Giá trị bán trước VAT],
(Table_Main[Đơn bán] = Table_PhieuGiao[[#This Row],[Đơn bán]])
)),0),
0))</f>
        <v/>
      </c>
      <c r="K27" s="315"/>
      <c r="L27" s="273"/>
      <c r="M27" s="273"/>
      <c r="N27" s="273"/>
      <c r="O27" s="273"/>
      <c r="P27" s="273"/>
      <c r="Q27" s="273"/>
      <c r="R27" s="273"/>
      <c r="S27" s="273"/>
      <c r="T27" s="273"/>
      <c r="U27" s="273"/>
      <c r="V27" s="273"/>
      <c r="W27" s="273"/>
      <c r="X27" s="273"/>
      <c r="Y27" s="273"/>
      <c r="Z27" s="273"/>
      <c r="AA27" s="243"/>
      <c r="AB27" s="273"/>
    </row>
    <row r="28" spans="1:36" ht="16.5" hidden="1" outlineLevel="2" x14ac:dyDescent="0.3">
      <c r="A28" s="273"/>
      <c r="B28" s="7" t="str">
        <f>IF(Table_PhieuGiao[[#This Row],[SKU]]&lt;&gt;"",COUNTIF(D$18:D28,"&lt;&gt;"""),"")</f>
        <v/>
      </c>
      <c r="C28" s="242"/>
      <c r="D28" s="242"/>
      <c r="E28" s="7" t="str">
        <f xml:space="preserve">
IFERROR(VLOOKUP(Table_PhieuGiao[[#This Row],[SKU]],Table_SKU[[Mã SKU]:[Mô tả]],Sheet_SKU!$H$1,0),"")</f>
        <v/>
      </c>
      <c r="F28" s="15" t="str" cm="1">
        <f t="array" ref="F28">IF(ISBLANK(Table_PhieuGiao[[#This Row],[SKU]]),"",
SUM(_xlfn._xlws.FILTER(Table_Main[Số lượng],
(Table_Main[Mã SKU] = Table_PhieuGiao[[#This Row],[SKU]])*
(Table_Main[Đơn bán] = Table_PhieuGiao[[#This Row],[Đơn bán]]))
))</f>
        <v/>
      </c>
      <c r="G28" s="15"/>
      <c r="H28" s="15" t="str" cm="1">
        <f t="array" ref="H28">IF(ISBLANK(Table_PhieuGiao[[#This Row],[SKU]]),"",
SUM(_xlfn._xlws.FILTER(Table_Main[Giá trị bán trước VAT],
(Table_Main[Mã SKU] = Table_PhieuGiao[[#This Row],[SKU]])*
(Table_Main[Đơn bán] = Table_PhieuGiao[[#This Row],[Đơn bán]]))
))</f>
        <v/>
      </c>
      <c r="I28" s="15" t="str">
        <f xml:space="preserve">
IF(ISBLANK(Table_PhieuGiao[[#This Row],[SKU]]),"",
Table_PhieuGiao[[#This Row],[Thành tiền đặt]]*Table_PhieuGiao[[#This Row],[Số lượng giao]]/Table_PhieuGiao[[#This Row],[Số lượng đặt]])</f>
        <v/>
      </c>
      <c r="J28" s="119" t="str" cm="1">
        <f t="array" ref="J28" xml:space="preserve">
IF(ISBLANK(Table_PhieuGiao[[#This Row],[SKU]]),"",
IFERROR(
Table_PhieuGiao[[#This Row],[Thành tiền giao]]/
IFERROR(
SUM(_xlfn._xlws.FILTER(Table_Main[Giá trị bán trước VAT],
(Table_Main[Đơn bán] = Table_PhieuGiao[[#This Row],[Đơn bán]])
)),0),
0))</f>
        <v/>
      </c>
      <c r="K28" s="315"/>
      <c r="L28" s="273"/>
      <c r="M28" s="273"/>
      <c r="N28" s="273"/>
      <c r="O28" s="273"/>
      <c r="P28" s="273"/>
      <c r="Q28" s="273"/>
      <c r="R28" s="273"/>
      <c r="S28" s="273"/>
      <c r="T28" s="273"/>
      <c r="U28" s="273"/>
      <c r="V28" s="273"/>
      <c r="W28" s="273"/>
      <c r="X28" s="273"/>
      <c r="Y28" s="273"/>
      <c r="Z28" s="273"/>
      <c r="AA28" s="243"/>
      <c r="AB28" s="273"/>
    </row>
    <row r="29" spans="1:36" ht="16.5" hidden="1" outlineLevel="2" x14ac:dyDescent="0.3">
      <c r="A29" s="273"/>
      <c r="B29" s="7" t="str">
        <f>IF(Table_PhieuGiao[[#This Row],[SKU]]&lt;&gt;"",COUNTIF(D$18:D29,"&lt;&gt;"""),"")</f>
        <v/>
      </c>
      <c r="C29" s="242"/>
      <c r="D29" s="242"/>
      <c r="E29" s="7" t="str">
        <f xml:space="preserve">
IFERROR(VLOOKUP(Table_PhieuGiao[[#This Row],[SKU]],Table_SKU[[Mã SKU]:[Mô tả]],Sheet_SKU!$H$1,0),"")</f>
        <v/>
      </c>
      <c r="F29" s="15" t="str" cm="1">
        <f t="array" ref="F29">IF(ISBLANK(Table_PhieuGiao[[#This Row],[SKU]]),"",
SUM(_xlfn._xlws.FILTER(Table_Main[Số lượng],
(Table_Main[Mã SKU] = Table_PhieuGiao[[#This Row],[SKU]])*
(Table_Main[Đơn bán] = Table_PhieuGiao[[#This Row],[Đơn bán]]))
))</f>
        <v/>
      </c>
      <c r="G29" s="15"/>
      <c r="H29" s="15" t="str" cm="1">
        <f t="array" ref="H29">IF(ISBLANK(Table_PhieuGiao[[#This Row],[SKU]]),"",
SUM(_xlfn._xlws.FILTER(Table_Main[Giá trị bán trước VAT],
(Table_Main[Mã SKU] = Table_PhieuGiao[[#This Row],[SKU]])*
(Table_Main[Đơn bán] = Table_PhieuGiao[[#This Row],[Đơn bán]]))
))</f>
        <v/>
      </c>
      <c r="I29" s="15" t="str">
        <f xml:space="preserve">
IF(ISBLANK(Table_PhieuGiao[[#This Row],[SKU]]),"",
Table_PhieuGiao[[#This Row],[Thành tiền đặt]]*Table_PhieuGiao[[#This Row],[Số lượng giao]]/Table_PhieuGiao[[#This Row],[Số lượng đặt]])</f>
        <v/>
      </c>
      <c r="J29" s="119" t="str" cm="1">
        <f t="array" ref="J29" xml:space="preserve">
IF(ISBLANK(Table_PhieuGiao[[#This Row],[SKU]]),"",
IFERROR(
Table_PhieuGiao[[#This Row],[Thành tiền giao]]/
IFERROR(
SUM(_xlfn._xlws.FILTER(Table_Main[Giá trị bán trước VAT],
(Table_Main[Đơn bán] = Table_PhieuGiao[[#This Row],[Đơn bán]])
)),0),
0))</f>
        <v/>
      </c>
      <c r="K29" s="315"/>
      <c r="L29" s="273"/>
      <c r="M29" s="273"/>
      <c r="N29" s="273"/>
      <c r="O29" s="273"/>
      <c r="P29" s="273"/>
      <c r="Q29" s="273"/>
      <c r="R29" s="273"/>
      <c r="S29" s="273"/>
      <c r="T29" s="273"/>
      <c r="U29" s="273"/>
      <c r="V29" s="273"/>
      <c r="W29" s="273"/>
      <c r="X29" s="273"/>
      <c r="Y29" s="273"/>
      <c r="Z29" s="273"/>
      <c r="AA29" s="243"/>
      <c r="AB29" s="273"/>
    </row>
    <row r="30" spans="1:36" hidden="1" outlineLevel="2" x14ac:dyDescent="0.3">
      <c r="A30" s="273"/>
      <c r="B30" s="276"/>
      <c r="C30" s="276"/>
      <c r="D30" s="276"/>
      <c r="E30" s="276"/>
      <c r="F30" s="276"/>
      <c r="G30" s="276"/>
      <c r="H30" s="276"/>
      <c r="I30" s="276"/>
      <c r="J30" s="276"/>
      <c r="K30" s="276"/>
      <c r="L30" s="273"/>
      <c r="M30" s="273"/>
      <c r="N30" s="273"/>
      <c r="O30" s="273"/>
      <c r="P30" s="273"/>
      <c r="Q30" s="273"/>
      <c r="R30" s="273"/>
      <c r="S30" s="273"/>
      <c r="T30" s="273"/>
      <c r="U30" s="273"/>
      <c r="V30" s="273"/>
      <c r="W30" s="273"/>
      <c r="X30" s="273"/>
      <c r="Y30" s="273"/>
      <c r="Z30" s="273"/>
      <c r="AA30" s="273"/>
      <c r="AB30" s="243"/>
    </row>
    <row r="31" spans="1:36" hidden="1" outlineLevel="1" x14ac:dyDescent="0.3">
      <c r="A31" s="273"/>
      <c r="B31" s="61" t="s">
        <v>544</v>
      </c>
      <c r="C31" s="316"/>
      <c r="D31" s="287"/>
      <c r="E31" s="287"/>
      <c r="F31" s="287"/>
      <c r="G31" s="288"/>
      <c r="H31" s="1" t="s">
        <v>734</v>
      </c>
      <c r="I31" s="413">
        <f>SUM(Table_PhieuGiao[Thành tiền giao])</f>
        <v>0</v>
      </c>
      <c r="J31" s="273"/>
      <c r="K31" s="273"/>
      <c r="L31" s="273"/>
      <c r="M31" s="273"/>
      <c r="N31" s="273"/>
      <c r="O31" s="273"/>
      <c r="P31" s="273"/>
      <c r="Q31" s="273"/>
      <c r="R31" s="273"/>
      <c r="S31" s="273"/>
      <c r="T31" s="273"/>
      <c r="U31" s="273"/>
      <c r="V31" s="273"/>
      <c r="W31" s="273"/>
      <c r="X31" s="273"/>
      <c r="Y31" s="273"/>
      <c r="Z31" s="273"/>
      <c r="AA31" s="273"/>
      <c r="AB31" s="243"/>
    </row>
    <row r="32" spans="1:36" hidden="1" outlineLevel="1" x14ac:dyDescent="0.3">
      <c r="A32" s="273"/>
      <c r="B32" s="290"/>
      <c r="C32" s="276"/>
      <c r="D32" s="276"/>
      <c r="E32" s="276"/>
      <c r="F32" s="276"/>
      <c r="G32" s="291"/>
      <c r="H32" s="1" t="s">
        <v>754</v>
      </c>
      <c r="I32" s="414">
        <f xml:space="preserve">
IF(ISBLANK(D9),0,
IF(D9 = "Bên bán", 0,
IF(ISBLANK(D10),
"Chưa bao gồm",D10)))</f>
        <v>0</v>
      </c>
      <c r="J32" s="273"/>
      <c r="K32" s="273"/>
      <c r="L32" s="273"/>
      <c r="M32" s="273"/>
      <c r="N32" s="273"/>
      <c r="O32" s="273"/>
      <c r="P32" s="273"/>
      <c r="Q32" s="273"/>
      <c r="R32" s="273"/>
      <c r="S32" s="273"/>
      <c r="T32" s="273"/>
      <c r="U32" s="273"/>
      <c r="V32" s="273"/>
      <c r="W32" s="273"/>
      <c r="X32" s="273"/>
      <c r="Y32" s="273"/>
      <c r="Z32" s="273"/>
      <c r="AA32" s="273"/>
      <c r="AB32" s="243"/>
    </row>
    <row r="33" spans="1:28" hidden="1" outlineLevel="1" x14ac:dyDescent="0.3">
      <c r="A33" s="273"/>
      <c r="B33" s="290"/>
      <c r="C33" s="276"/>
      <c r="D33" s="276"/>
      <c r="E33" s="276"/>
      <c r="F33" s="276"/>
      <c r="G33" s="291"/>
      <c r="H33" s="1" t="s">
        <v>721</v>
      </c>
      <c r="I33" s="414" cm="1">
        <f t="array" ref="I33">IFERROR(
SUMPRODUCT(
_xlfn._xlws.FILTER(Table_PhieuGiao[Tỷ trọng thành tiền],
(NOT(ISBLANK(Table_PhieuGiao[SKU])))
),
_xlfn._xlws.FILTER(VLOOKUP(Table_PhieuGiao[Đơn bán],Table_DonBan[[Mã Đơn bán]:[Giá trị CK]],Sheet_DonBan!$AF$44,0),
(NOT(ISBLANK(Table_PhieuGiao[SKU])))
)),0)</f>
        <v>0</v>
      </c>
      <c r="J33" s="273"/>
      <c r="K33" s="273"/>
      <c r="L33" s="273"/>
      <c r="M33" s="273"/>
      <c r="N33" s="273"/>
      <c r="O33" s="273"/>
      <c r="P33" s="273"/>
      <c r="Q33" s="273"/>
      <c r="R33" s="273"/>
      <c r="S33" s="273"/>
      <c r="T33" s="273"/>
      <c r="U33" s="273"/>
      <c r="V33" s="273"/>
      <c r="W33" s="273"/>
      <c r="X33" s="273"/>
      <c r="Y33" s="273"/>
      <c r="Z33" s="273"/>
      <c r="AA33" s="273"/>
      <c r="AB33" s="243"/>
    </row>
    <row r="34" spans="1:28" hidden="1" outlineLevel="1" x14ac:dyDescent="0.3">
      <c r="A34" s="273"/>
      <c r="B34" s="290"/>
      <c r="C34" s="276"/>
      <c r="D34" s="276"/>
      <c r="E34" s="276"/>
      <c r="F34" s="276"/>
      <c r="G34" s="291"/>
      <c r="H34" s="1" t="s">
        <v>736</v>
      </c>
      <c r="I34" s="414" cm="1">
        <f t="array" ref="I34">IFERROR(
SUMPRODUCT(
_xlfn._xlws.FILTER(Table_PhieuGiao[Tỷ trọng thành tiền],
(NOT(ISBLANK(Table_PhieuGiao[SKU])))
),
_xlfn._xlws.FILTER(VLOOKUP(Table_PhieuGiao[Đơn bán],Table_DonBan[[Mã Đơn bán]:[Tổng VAT]],Sheet_DonBan!$AG$44,0),
(NOT(ISBLANK(Table_PhieuGiao[SKU])))
)),0)</f>
        <v>0</v>
      </c>
      <c r="J34" s="273"/>
      <c r="K34" s="273"/>
      <c r="L34" s="273"/>
      <c r="M34" s="273"/>
      <c r="N34" s="273"/>
      <c r="O34" s="273"/>
      <c r="P34" s="273"/>
      <c r="Q34" s="273"/>
      <c r="R34" s="273"/>
      <c r="S34" s="273"/>
      <c r="T34" s="273"/>
      <c r="U34" s="273"/>
      <c r="V34" s="273"/>
      <c r="W34" s="273"/>
      <c r="X34" s="273"/>
      <c r="Y34" s="273"/>
      <c r="Z34" s="273"/>
      <c r="AA34" s="273"/>
      <c r="AB34" s="243"/>
    </row>
    <row r="35" spans="1:28" hidden="1" outlineLevel="1" x14ac:dyDescent="0.3">
      <c r="A35" s="273"/>
      <c r="B35" s="292"/>
      <c r="C35" s="293"/>
      <c r="D35" s="293"/>
      <c r="E35" s="293"/>
      <c r="F35" s="293"/>
      <c r="G35" s="294"/>
      <c r="H35" s="62" t="s">
        <v>737</v>
      </c>
      <c r="I35" s="410">
        <f>+I31+IF(ISNUMBER(I32),I32,0)-I33+I34</f>
        <v>0</v>
      </c>
      <c r="J35" s="273"/>
      <c r="K35" s="273"/>
      <c r="L35" s="273"/>
      <c r="M35" s="273"/>
      <c r="N35" s="273"/>
      <c r="O35" s="273"/>
      <c r="P35" s="273"/>
      <c r="Q35" s="273"/>
      <c r="R35" s="273"/>
      <c r="S35" s="273"/>
      <c r="T35" s="273"/>
      <c r="U35" s="273"/>
      <c r="V35" s="273"/>
      <c r="W35" s="273"/>
      <c r="X35" s="273"/>
      <c r="Y35" s="273"/>
      <c r="Z35" s="273"/>
      <c r="AA35" s="273"/>
      <c r="AB35" s="243"/>
    </row>
    <row r="36" spans="1:28" hidden="1" outlineLevel="1" x14ac:dyDescent="0.3">
      <c r="A36" s="273"/>
      <c r="B36" s="276"/>
      <c r="C36" s="276"/>
      <c r="D36" s="276"/>
      <c r="E36" s="276"/>
      <c r="F36" s="276"/>
      <c r="G36" s="276"/>
      <c r="H36" s="276"/>
      <c r="I36" s="276"/>
      <c r="J36" s="276"/>
      <c r="K36" s="276"/>
      <c r="L36" s="273"/>
      <c r="M36" s="273"/>
      <c r="N36" s="273"/>
      <c r="O36" s="273"/>
      <c r="P36" s="273"/>
      <c r="Q36" s="273"/>
      <c r="R36" s="273"/>
      <c r="S36" s="273"/>
      <c r="T36" s="273"/>
      <c r="U36" s="273"/>
      <c r="V36" s="273"/>
      <c r="W36" s="273"/>
      <c r="X36" s="273"/>
      <c r="Y36" s="273"/>
      <c r="Z36" s="273"/>
      <c r="AA36" s="273"/>
      <c r="AB36" s="243"/>
    </row>
    <row r="37" spans="1:28" hidden="1" outlineLevel="1" x14ac:dyDescent="0.3">
      <c r="A37" s="273"/>
      <c r="B37" s="276"/>
      <c r="C37" s="276"/>
      <c r="D37" s="276"/>
      <c r="E37" s="276"/>
      <c r="F37" s="276"/>
      <c r="G37" s="273"/>
      <c r="H37" s="566" t="str">
        <f>B1</f>
        <v>Công ty ABC XYZ</v>
      </c>
      <c r="I37" s="567"/>
      <c r="J37" s="317"/>
      <c r="K37" s="317"/>
      <c r="L37" s="273"/>
      <c r="M37" s="273"/>
      <c r="N37" s="273"/>
      <c r="O37" s="273"/>
      <c r="P37" s="273"/>
      <c r="Q37" s="273"/>
      <c r="R37" s="273"/>
      <c r="S37" s="273"/>
      <c r="T37" s="273"/>
      <c r="U37" s="273"/>
      <c r="V37" s="273"/>
      <c r="W37" s="273"/>
      <c r="X37" s="273"/>
      <c r="Y37" s="273"/>
      <c r="Z37" s="273"/>
      <c r="AA37" s="273"/>
      <c r="AB37" s="243"/>
    </row>
    <row r="38" spans="1:28" hidden="1" outlineLevel="1" x14ac:dyDescent="0.3">
      <c r="A38" s="273"/>
      <c r="B38" s="276"/>
      <c r="C38" s="276"/>
      <c r="D38" s="276"/>
      <c r="E38" s="276"/>
      <c r="F38" s="276"/>
      <c r="G38" s="273"/>
      <c r="H38" s="566" t="s">
        <v>755</v>
      </c>
      <c r="I38" s="567"/>
      <c r="J38" s="296"/>
      <c r="K38" s="296"/>
      <c r="L38" s="273"/>
      <c r="M38" s="273"/>
      <c r="N38" s="273"/>
      <c r="O38" s="273"/>
      <c r="P38" s="273"/>
      <c r="Q38" s="273"/>
      <c r="R38" s="273"/>
      <c r="S38" s="273"/>
      <c r="T38" s="273"/>
      <c r="U38" s="273"/>
      <c r="V38" s="273"/>
      <c r="W38" s="273"/>
      <c r="X38" s="273"/>
      <c r="Y38" s="273"/>
      <c r="Z38" s="273"/>
      <c r="AA38" s="273"/>
      <c r="AB38" s="243"/>
    </row>
    <row r="39" spans="1:28" hidden="1" outlineLevel="1" x14ac:dyDescent="0.3">
      <c r="A39" s="273"/>
      <c r="B39" s="276"/>
      <c r="C39" s="276"/>
      <c r="D39" s="276"/>
      <c r="E39" s="276"/>
      <c r="F39" s="276"/>
      <c r="G39" s="273"/>
      <c r="H39" s="564" t="str">
        <f>IFERROR(VLOOKUP(H8,Table_NhanVien[#All],Sheet_CauTruc!$T$1,0),"")</f>
        <v/>
      </c>
      <c r="I39" s="565"/>
      <c r="J39" s="297"/>
      <c r="K39" s="297"/>
      <c r="L39" s="273"/>
      <c r="M39" s="273"/>
      <c r="N39" s="273"/>
      <c r="O39" s="273"/>
      <c r="P39" s="273"/>
      <c r="Q39" s="273"/>
      <c r="R39" s="273"/>
      <c r="S39" s="273"/>
      <c r="T39" s="273"/>
      <c r="U39" s="273"/>
      <c r="V39" s="273"/>
      <c r="W39" s="273"/>
      <c r="X39" s="273"/>
      <c r="Y39" s="273"/>
      <c r="Z39" s="273"/>
      <c r="AA39" s="273"/>
      <c r="AB39" s="243"/>
    </row>
    <row r="40" spans="1:28" hidden="1" outlineLevel="1" x14ac:dyDescent="0.3">
      <c r="A40" s="273"/>
      <c r="B40" s="276"/>
      <c r="C40" s="276"/>
      <c r="D40" s="276"/>
      <c r="E40" s="276"/>
      <c r="F40" s="276"/>
      <c r="G40" s="297"/>
      <c r="H40" s="297"/>
      <c r="I40" s="297"/>
      <c r="J40" s="297"/>
      <c r="K40" s="297"/>
      <c r="L40" s="273"/>
      <c r="M40" s="273"/>
      <c r="N40" s="273"/>
      <c r="O40" s="273"/>
      <c r="P40" s="273"/>
      <c r="Q40" s="273"/>
      <c r="R40" s="273"/>
      <c r="S40" s="273"/>
      <c r="T40" s="273"/>
      <c r="U40" s="273"/>
      <c r="V40" s="273"/>
      <c r="W40" s="273"/>
      <c r="X40" s="273"/>
      <c r="Y40" s="273"/>
      <c r="Z40" s="273"/>
      <c r="AA40" s="273"/>
      <c r="AB40" s="243"/>
    </row>
    <row r="41" spans="1:28" hidden="1" outlineLevel="1" x14ac:dyDescent="0.3">
      <c r="A41" s="273"/>
      <c r="B41" s="276"/>
      <c r="C41" s="276"/>
      <c r="D41" s="276"/>
      <c r="E41" s="276"/>
      <c r="F41" s="276"/>
      <c r="G41" s="276"/>
      <c r="H41" s="276"/>
      <c r="I41" s="276"/>
      <c r="J41" s="276"/>
      <c r="K41" s="276"/>
      <c r="L41" s="273"/>
      <c r="M41" s="273"/>
      <c r="N41" s="273"/>
      <c r="O41" s="273"/>
      <c r="P41" s="273"/>
      <c r="Q41" s="273"/>
      <c r="R41" s="273"/>
      <c r="S41" s="273"/>
      <c r="T41" s="273"/>
      <c r="U41" s="273"/>
      <c r="V41" s="273"/>
      <c r="W41" s="273"/>
      <c r="X41" s="273"/>
      <c r="Y41" s="273"/>
      <c r="Z41" s="273"/>
      <c r="AA41" s="273"/>
      <c r="AB41" s="243"/>
    </row>
    <row r="42" spans="1:28" collapsed="1" x14ac:dyDescent="0.3">
      <c r="A42" s="273"/>
      <c r="B42" s="276"/>
      <c r="C42" s="276"/>
      <c r="D42" s="276"/>
      <c r="E42" s="276"/>
      <c r="F42" s="276"/>
      <c r="G42" s="276"/>
      <c r="H42" s="276"/>
      <c r="I42" s="276"/>
      <c r="J42" s="276"/>
      <c r="K42" s="276"/>
      <c r="L42" s="273"/>
      <c r="M42" s="301">
        <v>0</v>
      </c>
      <c r="N42" s="301">
        <f t="shared" ref="N42:Y42" si="0">+M42+1</f>
        <v>1</v>
      </c>
      <c r="O42" s="301">
        <f t="shared" si="0"/>
        <v>2</v>
      </c>
      <c r="P42" s="301">
        <f t="shared" si="0"/>
        <v>3</v>
      </c>
      <c r="Q42" s="301">
        <f t="shared" si="0"/>
        <v>4</v>
      </c>
      <c r="R42" s="301">
        <f t="shared" si="0"/>
        <v>5</v>
      </c>
      <c r="S42" s="301">
        <f t="shared" si="0"/>
        <v>6</v>
      </c>
      <c r="T42" s="301">
        <f t="shared" si="0"/>
        <v>7</v>
      </c>
      <c r="U42" s="301">
        <f t="shared" si="0"/>
        <v>8</v>
      </c>
      <c r="V42" s="301">
        <f t="shared" si="0"/>
        <v>9</v>
      </c>
      <c r="W42" s="301">
        <f t="shared" si="0"/>
        <v>10</v>
      </c>
      <c r="X42" s="301">
        <f t="shared" si="0"/>
        <v>11</v>
      </c>
      <c r="Y42" s="301">
        <f t="shared" si="0"/>
        <v>12</v>
      </c>
      <c r="Z42" s="249"/>
      <c r="AA42" s="249"/>
      <c r="AB42" s="243"/>
    </row>
    <row r="43" spans="1:28" x14ac:dyDescent="0.3">
      <c r="A43" s="273"/>
      <c r="B43" s="276"/>
      <c r="C43" s="276"/>
      <c r="D43" s="276"/>
      <c r="E43" s="276"/>
      <c r="F43" s="276"/>
      <c r="G43" s="276"/>
      <c r="H43" s="276"/>
      <c r="I43" s="276"/>
      <c r="J43" s="276"/>
      <c r="K43" s="276"/>
      <c r="L43" s="273"/>
      <c r="M43" s="250">
        <f>J4</f>
        <v>1</v>
      </c>
      <c r="N43" s="51" t="str">
        <f>H4</f>
        <v>GIAO--100-1</v>
      </c>
      <c r="O43" s="412">
        <f>H5</f>
        <v>0</v>
      </c>
      <c r="P43" s="412"/>
      <c r="Q43" s="246">
        <f>D3</f>
        <v>0</v>
      </c>
      <c r="R43" s="47" t="str">
        <f>H6</f>
        <v/>
      </c>
      <c r="S43" s="51" t="str">
        <f xml:space="preserve">
IFERROR(
VLOOKUP(R43,Table_KhachHang[],COUNTA(Table_KhachHang[[#Headers],[Mã KH]:[Địa chỉ]]),0),"")</f>
        <v/>
      </c>
      <c r="T43" s="48">
        <f>IF(D9 = "Bên bán",D10,0)</f>
        <v>0</v>
      </c>
      <c r="U43" s="246">
        <f>D9</f>
        <v>0</v>
      </c>
      <c r="V43" s="118"/>
      <c r="W43" s="393">
        <f>IF(U43 = "Bên bán",V43*(T43/(1+V43)),0)</f>
        <v>0</v>
      </c>
      <c r="X43" s="393">
        <f>Y43-W43</f>
        <v>0</v>
      </c>
      <c r="Y43" s="48">
        <f>IF(U43 = "Bên bán",T43,0)</f>
        <v>0</v>
      </c>
      <c r="Z43" s="247"/>
      <c r="AA43" s="247"/>
      <c r="AB43" s="243"/>
    </row>
    <row r="44" spans="1:28" x14ac:dyDescent="0.3">
      <c r="A44" s="273"/>
      <c r="B44" s="276"/>
      <c r="C44" s="276"/>
      <c r="D44" s="276"/>
      <c r="E44" s="276"/>
      <c r="F44" s="276"/>
      <c r="G44" s="276"/>
      <c r="H44" s="276"/>
      <c r="I44" s="276"/>
      <c r="J44" s="276"/>
      <c r="K44" s="276"/>
      <c r="L44" s="273"/>
      <c r="M44" s="250">
        <v>1</v>
      </c>
      <c r="N44" s="51" t="str">
        <f>CONCATENATE("GIAO-",R44,"-",MOD(YEAR(O44),100)*10000+MONTH(O44)*100+DAY(O44),"-",M44)</f>
        <v>GIAO--100-1</v>
      </c>
      <c r="O44" s="412"/>
      <c r="P44" s="412"/>
      <c r="Q44" s="246"/>
      <c r="R44" s="246"/>
      <c r="S44" s="51" t="str">
        <f xml:space="preserve">
IFERROR(
VLOOKUP(R44,Table_KhachHang[],COUNTA(Table_KhachHang[[#Headers],[Mã KH]:[Địa chỉ]]),0),"")</f>
        <v/>
      </c>
      <c r="T44" s="48"/>
      <c r="U44" s="246"/>
      <c r="V44" s="118"/>
      <c r="W44" s="393">
        <f>IF(U44 = "Bên bán",V44*(T44/(1+V44)),0)</f>
        <v>0</v>
      </c>
      <c r="X44" s="393">
        <f>Y44-W44</f>
        <v>0</v>
      </c>
      <c r="Y44" s="48">
        <f>IF(U44 = "Bên bán",T44,0)</f>
        <v>0</v>
      </c>
      <c r="Z44" s="247"/>
      <c r="AA44" s="247"/>
      <c r="AB44" s="243"/>
    </row>
    <row r="45" spans="1:28" x14ac:dyDescent="0.3">
      <c r="A45" s="273"/>
      <c r="B45" s="276"/>
      <c r="C45" s="276"/>
      <c r="D45" s="276"/>
      <c r="E45" s="276"/>
      <c r="F45" s="276"/>
      <c r="G45" s="276"/>
      <c r="H45" s="276"/>
      <c r="I45" s="276"/>
      <c r="J45" s="276"/>
      <c r="K45" s="276"/>
      <c r="L45" s="273"/>
      <c r="M45" s="46" t="s">
        <v>643</v>
      </c>
      <c r="N45" s="46" t="s">
        <v>743</v>
      </c>
      <c r="O45" s="46" t="s">
        <v>700</v>
      </c>
      <c r="P45" s="46" t="s">
        <v>756</v>
      </c>
      <c r="Q45" s="46" t="s">
        <v>757</v>
      </c>
      <c r="R45" s="46" t="s">
        <v>173</v>
      </c>
      <c r="S45" s="46" t="s">
        <v>758</v>
      </c>
      <c r="T45" s="46" t="s">
        <v>754</v>
      </c>
      <c r="U45" s="46" t="s">
        <v>746</v>
      </c>
      <c r="V45" s="46" t="s">
        <v>710</v>
      </c>
      <c r="W45" s="46" t="s">
        <v>686</v>
      </c>
      <c r="X45" s="46" t="s">
        <v>657</v>
      </c>
      <c r="Y45" s="46" t="s">
        <v>759</v>
      </c>
      <c r="Z45" s="7" t="s">
        <v>883</v>
      </c>
      <c r="AA45" s="7" t="s">
        <v>1253</v>
      </c>
      <c r="AB45" s="243"/>
    </row>
    <row r="46" spans="1:28" x14ac:dyDescent="0.3">
      <c r="A46" s="273"/>
      <c r="B46" s="276"/>
      <c r="C46" s="276"/>
      <c r="D46" s="276"/>
      <c r="E46" s="276"/>
      <c r="F46" s="276"/>
      <c r="G46" s="276"/>
      <c r="H46" s="276"/>
      <c r="I46" s="276"/>
      <c r="J46" s="276"/>
      <c r="K46" s="276"/>
      <c r="L46" s="273"/>
      <c r="M46" s="250">
        <v>1</v>
      </c>
      <c r="N46" s="51" t="str">
        <f>CONCATENATE("GIAO-",Table_VanDon[[#This Row],[Khách hàng]],"-",MOD(YEAR(Table_VanDon[[#This Row],[Ngày lập]]),100)*10000+MONTH(Table_VanDon[[#This Row],[Ngày lập]])*100+DAY(Table_VanDon[[#This Row],[Ngày lập]]),"-",Table_VanDon[[#This Row],[STT]])</f>
        <v>GIAO--100-1</v>
      </c>
      <c r="O46" s="412"/>
      <c r="P46" s="412"/>
      <c r="Q46" s="265"/>
      <c r="R46" s="242"/>
      <c r="S46" s="51" t="str">
        <f xml:space="preserve">
IFERROR(
VLOOKUP(Table_VanDon[[#This Row],[Khách hàng]],Table_KhachHang[],COUNTA(Table_KhachHang[[#Headers],[Mã KH]:[Địa chỉ]]),0),"")</f>
        <v/>
      </c>
      <c r="T46" s="15"/>
      <c r="U46" s="242"/>
      <c r="V46" s="45"/>
      <c r="W46" s="120">
        <f>IF(Table_VanDon[[#This Row],[Bên chịu phí]] = "Bên bán",Table_VanDon[[#This Row],[Tỷ suất VAT]]*(Table_VanDon[[#This Row],[Phí ship]]/(1+Table_VanDon[[#This Row],[Tỷ suất VAT]])),0)</f>
        <v>0</v>
      </c>
      <c r="X46" s="120">
        <f>Table_VanDon[[#This Row],[Phải trả ship]]-Table_VanDon[[#This Row],[VAT khấu trừ]]</f>
        <v>0</v>
      </c>
      <c r="Y46" s="18">
        <f>IF(Table_VanDon[[#This Row],[Bên chịu phí]] = "Bên bán",Table_VanDon[[#This Row],[Phí ship]],0)</f>
        <v>0</v>
      </c>
      <c r="Z46" s="247"/>
      <c r="AA46" s="318" cm="1">
        <f t="array" ref="AA46"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f>
        <v>0</v>
      </c>
      <c r="AB46" s="243"/>
    </row>
  </sheetData>
  <sheetProtection algorithmName="SHA-512" hashValue="Ym+a85KvGMSrDiT8oWSTguGSe40ZDOy+I+eBuBoNTZ0XA/jdr//V6sc7JlfahdYxWCqYDYgYGcglPhdPXx4QPQ==" saltValue="duQvwyCPP+YqqABBhBZb4Q==" spinCount="100000" sheet="1" scenarios="1" formatCells="0" formatColumns="0" formatRows="0" insertColumns="0" insertRows="0" deleteColumns="0" deleteRows="0" sort="0" autoFilter="0" pivotTables="0"/>
  <protectedRanges>
    <protectedRange sqref="M45:U45 AB1:XFD1 L1 Y45:Z45 W46 AB17:XFD29 AB4:XFD6 AC2:XFD3 AA42:AA46 J4:L4 M30:AA42 M2:AA3 M17:Z29 Z46 M47:AA1048576 M46 M7:AA16 AC7:XFD16 AC30:XFD1048576" name="Range1"/>
    <protectedRange sqref="I1 B1:H3 J30:K30 F11:F14 E11 J17 G40:G41 G11:G36 I2:K3 H11:I41 B4:D9 H4:I10 G9:G10 E4:E10 F4:F10 J9:K15 B10 D10 G42:I1048576 E15:F1048576 B11:D1048576 J36:K1048576" name="Range1_2"/>
    <protectedRange sqref="V45:X45" name="Range1_3"/>
    <protectedRange sqref="O46:Q46" name="Range1_5"/>
    <protectedRange sqref="R46" name="Range1_1_2"/>
    <protectedRange sqref="T46:V46" name="Range1_7"/>
    <protectedRange sqref="C10" name="Range1_2_1"/>
  </protectedRanges>
  <mergeCells count="15">
    <mergeCell ref="H38:I38"/>
    <mergeCell ref="H39:I39"/>
    <mergeCell ref="H4:I4"/>
    <mergeCell ref="H5:I5"/>
    <mergeCell ref="H6:I6"/>
    <mergeCell ref="H7:I7"/>
    <mergeCell ref="H8:I8"/>
    <mergeCell ref="F12:I12"/>
    <mergeCell ref="F13:I13"/>
    <mergeCell ref="F14:I14"/>
    <mergeCell ref="B4:E4"/>
    <mergeCell ref="B7:E7"/>
    <mergeCell ref="B6:E6"/>
    <mergeCell ref="B5:E5"/>
    <mergeCell ref="H37:I37"/>
  </mergeCells>
  <phoneticPr fontId="14" type="noConversion"/>
  <conditionalFormatting sqref="N46">
    <cfRule type="duplicateValues" dxfId="376" priority="267"/>
  </conditionalFormatting>
  <conditionalFormatting sqref="H4:I4">
    <cfRule type="expression" dxfId="375" priority="268">
      <formula>MATCH($H$4,$N$46:$N$46,0)</formula>
    </cfRule>
  </conditionalFormatting>
  <dataValidations count="6">
    <dataValidation type="list" allowBlank="1" showInputMessage="1" showErrorMessage="1" sqref="D9:D10 U44 U46" xr:uid="{35C44B6D-55D7-41ED-91D6-3B106D45FADF}">
      <formula1>"Bên mua, Bên bán"</formula1>
    </dataValidation>
    <dataValidation type="list" allowBlank="1" showInputMessage="1" showErrorMessage="1" sqref="D2 R44" xr:uid="{47F34433-6EC4-43B4-A61D-2BB835E7EA3A}">
      <formula1>MaKhachHang</formula1>
    </dataValidation>
    <dataValidation type="list" allowBlank="1" showInputMessage="1" showErrorMessage="1" sqref="D18:D29" xr:uid="{7B5A560F-D9C8-4322-B5C6-609D588B87FF}">
      <formula1>_xlfn.ANCHORARRAY($L$17)</formula1>
    </dataValidation>
    <dataValidation type="list" showInputMessage="1" showErrorMessage="1" sqref="H8:I8" xr:uid="{265AFE4D-A557-4EC1-B72C-0D3E660BEF7C}">
      <formula1>MaNhanVien</formula1>
    </dataValidation>
    <dataValidation type="list" allowBlank="1" showInputMessage="1" showErrorMessage="1" sqref="C18:C29" xr:uid="{846CAF14-970E-4CA1-AF3E-5224CD463160}">
      <formula1>_xlfn.ANCHORARRAY($L$16)</formula1>
    </dataValidation>
    <dataValidation type="list" allowBlank="1" showInputMessage="1" sqref="R46" xr:uid="{E6ECCE04-9A90-4877-A889-5912B451E327}">
      <formula1>MaKhachHang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9" r:id="rId4" name="Button 3">
              <controlPr defaultSize="0" print="0" autoFill="0" autoPict="0" macro="[0]!AddColumn">
                <anchor moveWithCells="1">
                  <from>
                    <xdr:col>22</xdr:col>
                    <xdr:colOff>609600</xdr:colOff>
                    <xdr:row>0</xdr:row>
                    <xdr:rowOff>38100</xdr:rowOff>
                  </from>
                  <to>
                    <xdr:col>23</xdr:col>
                    <xdr:colOff>257175</xdr:colOff>
                    <xdr:row>0</xdr:row>
                    <xdr:rowOff>295275</xdr:rowOff>
                  </to>
                </anchor>
              </controlPr>
            </control>
          </mc:Choice>
        </mc:AlternateContent>
        <mc:AlternateContent xmlns:mc="http://schemas.openxmlformats.org/markup-compatibility/2006">
          <mc:Choice Requires="x14">
            <control shapeId="70660" r:id="rId5" name="Button 4">
              <controlPr defaultSize="0" print="0" autoFill="0" autoPict="0" macro="[0]!DeleteColumn">
                <anchor moveWithCells="1">
                  <from>
                    <xdr:col>23</xdr:col>
                    <xdr:colOff>390525</xdr:colOff>
                    <xdr:row>0</xdr:row>
                    <xdr:rowOff>38100</xdr:rowOff>
                  </from>
                  <to>
                    <xdr:col>23</xdr:col>
                    <xdr:colOff>933450</xdr:colOff>
                    <xdr:row>0</xdr:row>
                    <xdr:rowOff>295275</xdr:rowOff>
                  </to>
                </anchor>
              </controlPr>
            </control>
          </mc:Choice>
        </mc:AlternateContent>
        <mc:AlternateContent xmlns:mc="http://schemas.openxmlformats.org/markup-compatibility/2006">
          <mc:Choice Requires="x14">
            <control shapeId="70661" r:id="rId6" name="Button 5">
              <controlPr defaultSize="0" print="0" autoFill="0" autoPict="0" macro="[0]!CopyToTable">
                <anchor moveWithCells="1">
                  <from>
                    <xdr:col>25</xdr:col>
                    <xdr:colOff>19050</xdr:colOff>
                    <xdr:row>42</xdr:row>
                    <xdr:rowOff>85725</xdr:rowOff>
                  </from>
                  <to>
                    <xdr:col>26</xdr:col>
                    <xdr:colOff>47625</xdr:colOff>
                    <xdr:row>43</xdr:row>
                    <xdr:rowOff>123825</xdr:rowOff>
                  </to>
                </anchor>
              </controlPr>
            </control>
          </mc:Choice>
        </mc:AlternateContent>
        <mc:AlternateContent xmlns:mc="http://schemas.openxmlformats.org/markup-compatibility/2006">
          <mc:Choice Requires="x14">
            <control shapeId="70664" r:id="rId7" name="Option Button 8">
              <controlPr defaultSize="0" autoFill="0" autoLine="0" autoPict="0" macro="[0]!DoiDonViHienThi">
                <anchor moveWithCells="1">
                  <from>
                    <xdr:col>16</xdr:col>
                    <xdr:colOff>47625</xdr:colOff>
                    <xdr:row>0</xdr:row>
                    <xdr:rowOff>152400</xdr:rowOff>
                  </from>
                  <to>
                    <xdr:col>16</xdr:col>
                    <xdr:colOff>638175</xdr:colOff>
                    <xdr:row>0</xdr:row>
                    <xdr:rowOff>428625</xdr:rowOff>
                  </to>
                </anchor>
              </controlPr>
            </control>
          </mc:Choice>
        </mc:AlternateContent>
        <mc:AlternateContent xmlns:mc="http://schemas.openxmlformats.org/markup-compatibility/2006">
          <mc:Choice Requires="x14">
            <control shapeId="70665" r:id="rId8" name="Option Button 9">
              <controlPr defaultSize="0" autoFill="0" autoLine="0" autoPict="0" macro="[0]!DoiDonViHienThi">
                <anchor moveWithCells="1">
                  <from>
                    <xdr:col>16</xdr:col>
                    <xdr:colOff>514350</xdr:colOff>
                    <xdr:row>0</xdr:row>
                    <xdr:rowOff>152400</xdr:rowOff>
                  </from>
                  <to>
                    <xdr:col>17</xdr:col>
                    <xdr:colOff>314325</xdr:colOff>
                    <xdr:row>0</xdr:row>
                    <xdr:rowOff>428625</xdr:rowOff>
                  </to>
                </anchor>
              </controlPr>
            </control>
          </mc:Choice>
        </mc:AlternateContent>
        <mc:AlternateContent xmlns:mc="http://schemas.openxmlformats.org/markup-compatibility/2006">
          <mc:Choice Requires="x14">
            <control shapeId="70666" r:id="rId9" name="Option Button 10">
              <controlPr defaultSize="0" autoFill="0" autoLine="0" autoPict="0" macro="[0]!DoiDonViHienThi">
                <anchor moveWithCells="1">
                  <from>
                    <xdr:col>17</xdr:col>
                    <xdr:colOff>190500</xdr:colOff>
                    <xdr:row>0</xdr:row>
                    <xdr:rowOff>152400</xdr:rowOff>
                  </from>
                  <to>
                    <xdr:col>17</xdr:col>
                    <xdr:colOff>781050</xdr:colOff>
                    <xdr:row>0</xdr:row>
                    <xdr:rowOff>428625</xdr:rowOff>
                  </to>
                </anchor>
              </controlPr>
            </control>
          </mc:Choice>
        </mc:AlternateContent>
        <mc:AlternateContent xmlns:mc="http://schemas.openxmlformats.org/markup-compatibility/2006">
          <mc:Choice Requires="x14">
            <control shapeId="70667" r:id="rId10" name="Option Button 11">
              <controlPr defaultSize="0" autoFill="0" autoLine="0" autoPict="0" macro="[0]!DoiDonViHienThi">
                <anchor moveWithCells="1">
                  <from>
                    <xdr:col>17</xdr:col>
                    <xdr:colOff>666750</xdr:colOff>
                    <xdr:row>0</xdr:row>
                    <xdr:rowOff>152400</xdr:rowOff>
                  </from>
                  <to>
                    <xdr:col>18</xdr:col>
                    <xdr:colOff>209550</xdr:colOff>
                    <xdr:row>0</xdr:row>
                    <xdr:rowOff>428625</xdr:rowOff>
                  </to>
                </anchor>
              </controlPr>
            </control>
          </mc:Choice>
        </mc:AlternateContent>
        <mc:AlternateContent xmlns:mc="http://schemas.openxmlformats.org/markup-compatibility/2006">
          <mc:Choice Requires="x14">
            <control shapeId="70668" r:id="rId11" name="Group Box 12">
              <controlPr defaultSize="0" autoFill="0" autoPict="0">
                <anchor moveWithCells="1">
                  <from>
                    <xdr:col>15</xdr:col>
                    <xdr:colOff>866775</xdr:colOff>
                    <xdr:row>0</xdr:row>
                    <xdr:rowOff>104775</xdr:rowOff>
                  </from>
                  <to>
                    <xdr:col>18</xdr:col>
                    <xdr:colOff>323850</xdr:colOff>
                    <xdr:row>0</xdr:row>
                    <xdr:rowOff>466725</xdr:rowOff>
                  </to>
                </anchor>
              </controlPr>
            </control>
          </mc:Choice>
        </mc:AlternateContent>
        <mc:AlternateContent xmlns:mc="http://schemas.openxmlformats.org/markup-compatibility/2006">
          <mc:Choice Requires="x14">
            <control shapeId="70669" r:id="rId12" name="Group Box 13">
              <controlPr defaultSize="0" autoFill="0" autoPict="0">
                <anchor moveWithCells="1">
                  <from>
                    <xdr:col>14</xdr:col>
                    <xdr:colOff>114300</xdr:colOff>
                    <xdr:row>0</xdr:row>
                    <xdr:rowOff>104775</xdr:rowOff>
                  </from>
                  <to>
                    <xdr:col>15</xdr:col>
                    <xdr:colOff>819150</xdr:colOff>
                    <xdr:row>0</xdr:row>
                    <xdr:rowOff>466725</xdr:rowOff>
                  </to>
                </anchor>
              </controlPr>
            </control>
          </mc:Choice>
        </mc:AlternateContent>
        <mc:AlternateContent xmlns:mc="http://schemas.openxmlformats.org/markup-compatibility/2006">
          <mc:Choice Requires="x14">
            <control shapeId="70670" r:id="rId13" name="Button 14">
              <controlPr defaultSize="0" autoFill="0" autoPict="0" macro="[0]!NhanNghin">
                <anchor moveWithCells="1">
                  <from>
                    <xdr:col>14</xdr:col>
                    <xdr:colOff>200025</xdr:colOff>
                    <xdr:row>0</xdr:row>
                    <xdr:rowOff>200025</xdr:rowOff>
                  </from>
                  <to>
                    <xdr:col>14</xdr:col>
                    <xdr:colOff>666750</xdr:colOff>
                    <xdr:row>0</xdr:row>
                    <xdr:rowOff>371475</xdr:rowOff>
                  </to>
                </anchor>
              </controlPr>
            </control>
          </mc:Choice>
        </mc:AlternateContent>
        <mc:AlternateContent xmlns:mc="http://schemas.openxmlformats.org/markup-compatibility/2006">
          <mc:Choice Requires="x14">
            <control shapeId="70671" r:id="rId14" name="Button 15">
              <controlPr defaultSize="0" autoFill="0" autoPict="0" macro="[0]!NhanTrieu">
                <anchor moveWithCells="1">
                  <from>
                    <xdr:col>14</xdr:col>
                    <xdr:colOff>714375</xdr:colOff>
                    <xdr:row>0</xdr:row>
                    <xdr:rowOff>200025</xdr:rowOff>
                  </from>
                  <to>
                    <xdr:col>15</xdr:col>
                    <xdr:colOff>228600</xdr:colOff>
                    <xdr:row>0</xdr:row>
                    <xdr:rowOff>371475</xdr:rowOff>
                  </to>
                </anchor>
              </controlPr>
            </control>
          </mc:Choice>
        </mc:AlternateContent>
        <mc:AlternateContent xmlns:mc="http://schemas.openxmlformats.org/markup-compatibility/2006">
          <mc:Choice Requires="x14">
            <control shapeId="70672" r:id="rId15" name="Button 16">
              <controlPr defaultSize="0" autoFill="0" autoPict="0" macro="[0]!NhanTy">
                <anchor moveWithCells="1">
                  <from>
                    <xdr:col>15</xdr:col>
                    <xdr:colOff>276225</xdr:colOff>
                    <xdr:row>0</xdr:row>
                    <xdr:rowOff>200025</xdr:rowOff>
                  </from>
                  <to>
                    <xdr:col>15</xdr:col>
                    <xdr:colOff>742950</xdr:colOff>
                    <xdr:row>0</xdr:row>
                    <xdr:rowOff>371475</xdr:rowOff>
                  </to>
                </anchor>
              </controlPr>
            </control>
          </mc:Choice>
        </mc:AlternateContent>
        <mc:AlternateContent xmlns:mc="http://schemas.openxmlformats.org/markup-compatibility/2006">
          <mc:Choice Requires="x14">
            <control shapeId="70673" r:id="rId16" name="Button 17">
              <controlPr defaultSize="0" print="0" autoFill="0" autoPict="0" macro="[0]!AddRow">
                <anchor moveWithCells="1">
                  <from>
                    <xdr:col>13</xdr:col>
                    <xdr:colOff>95250</xdr:colOff>
                    <xdr:row>0</xdr:row>
                    <xdr:rowOff>66675</xdr:rowOff>
                  </from>
                  <to>
                    <xdr:col>13</xdr:col>
                    <xdr:colOff>571500</xdr:colOff>
                    <xdr:row>0</xdr:row>
                    <xdr:rowOff>323850</xdr:rowOff>
                  </to>
                </anchor>
              </controlPr>
            </control>
          </mc:Choice>
        </mc:AlternateContent>
        <mc:AlternateContent xmlns:mc="http://schemas.openxmlformats.org/markup-compatibility/2006">
          <mc:Choice Requires="x14">
            <control shapeId="70674" r:id="rId17" name="Button 18">
              <controlPr defaultSize="0" print="0" autoFill="0" autoPict="0" macro="[0]!DeleteRow">
                <anchor moveWithCells="1">
                  <from>
                    <xdr:col>13</xdr:col>
                    <xdr:colOff>723900</xdr:colOff>
                    <xdr:row>0</xdr:row>
                    <xdr:rowOff>66675</xdr:rowOff>
                  </from>
                  <to>
                    <xdr:col>13</xdr:col>
                    <xdr:colOff>1200150</xdr:colOff>
                    <xdr:row>0</xdr:row>
                    <xdr:rowOff>323850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A1F20A59-B287-4D0C-9297-3FB515201C1B}">
            <xm:f>Security!$A$1="NO VBA"</xm:f>
            <x14:dxf>
              <font>
                <color theme="0"/>
              </font>
              <border>
                <vertical/>
                <horizontal/>
              </border>
            </x14:dxf>
          </x14:cfRule>
          <xm:sqref>A45:Y45 AB45:XFD45 A1:XFD9 A11:XFD44 A10:B10 D10:XFD10 A46:XFD1048576</xm:sqref>
        </x14:conditionalFormatting>
        <x14:conditionalFormatting xmlns:xm="http://schemas.microsoft.com/office/excel/2006/main">
          <x14:cfRule type="expression" priority="1" id="{785F00F2-1639-4F22-9893-F50A9DEFB90E}">
            <xm:f>Security!$A$1="NO VBA"</xm:f>
            <x14:dxf>
              <font>
                <color theme="0"/>
              </font>
              <border>
                <vertical/>
                <horizontal/>
              </border>
            </x14:dxf>
          </x14:cfRule>
          <xm:sqref>Z45:AA45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862190F-7074-4431-B7CD-96C3A214C247}">
          <x14:formula1>
            <xm:f>_xlfn.ANCHORARRAY(Sheet_DoiTac!$E6)</xm:f>
          </x14:formula1>
          <xm:sqref>Q44</xm:sqref>
        </x14:dataValidation>
        <x14:dataValidation type="list" allowBlank="1" showInputMessage="1" showErrorMessage="1" xr:uid="{027C9157-CE31-47BF-B323-2C7168A989ED}">
          <x14:formula1>
            <xm:f>_xlfn.ANCHORARRAY(Sheet_DoiTac!$E6)</xm:f>
          </x14:formula1>
          <xm:sqref>D3</xm:sqref>
        </x14:dataValidation>
        <x14:dataValidation type="list" allowBlank="1" showInputMessage="1" xr:uid="{43F81AAB-C477-4AC0-9043-4EBE84C31532}">
          <x14:formula1>
            <xm:f>_xlfn.ANCHORARRAY(Sheet_DoiTac!$E8)</xm:f>
          </x14:formula1>
          <xm:sqref>Q46</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E99E5-1A89-479D-99BC-BF0D7F7F9EEB}">
  <sheetPr codeName="Sheet28">
    <tabColor theme="7"/>
  </sheetPr>
  <dimension ref="B1:AC5"/>
  <sheetViews>
    <sheetView showGridLines="0" workbookViewId="0">
      <selection activeCell="J13" sqref="J13"/>
    </sheetView>
  </sheetViews>
  <sheetFormatPr defaultRowHeight="18" customHeight="1" x14ac:dyDescent="0.3"/>
  <cols>
    <col min="1" max="1" width="9.625" style="7" customWidth="1"/>
    <col min="2" max="2" width="5.625" style="7" bestFit="1" customWidth="1"/>
    <col min="3" max="3" width="6" style="7" bestFit="1" customWidth="1"/>
    <col min="4" max="4" width="7.125" style="7" bestFit="1" customWidth="1"/>
    <col min="5" max="5" width="10.25" style="7" bestFit="1" customWidth="1"/>
    <col min="6" max="6" width="11.5" style="7" bestFit="1" customWidth="1"/>
    <col min="7" max="7" width="29" style="7" bestFit="1" customWidth="1"/>
    <col min="8" max="8" width="25.375" style="7" bestFit="1" customWidth="1"/>
    <col min="9" max="9" width="12.125" style="7" bestFit="1" customWidth="1"/>
    <col min="10" max="10" width="7.625" style="7" bestFit="1" customWidth="1"/>
    <col min="11" max="11" width="9.875" style="7" bestFit="1" customWidth="1"/>
    <col min="12" max="12" width="8.5" style="7" customWidth="1"/>
    <col min="13" max="13" width="17.75" style="7" customWidth="1"/>
    <col min="14" max="14" width="13.75" style="7" bestFit="1" customWidth="1"/>
    <col min="15" max="15" width="6.75" style="7" bestFit="1" customWidth="1"/>
    <col min="16" max="16" width="9.625" style="7" bestFit="1" customWidth="1"/>
    <col min="17" max="17" width="9" style="38"/>
    <col min="18" max="16384" width="9" style="7"/>
  </cols>
  <sheetData>
    <row r="1" spans="2:29" ht="24.75" customHeight="1" x14ac:dyDescent="0.3">
      <c r="B1" s="242"/>
      <c r="C1" s="242"/>
      <c r="D1" s="242"/>
      <c r="E1" s="242"/>
      <c r="F1" s="242"/>
      <c r="G1" s="242"/>
      <c r="H1" s="242"/>
      <c r="I1" s="242"/>
      <c r="J1" s="242"/>
      <c r="K1" s="242"/>
      <c r="L1" s="242"/>
      <c r="M1" s="242"/>
      <c r="N1" s="242"/>
      <c r="O1" s="242"/>
      <c r="P1" s="242"/>
      <c r="Q1" s="242"/>
      <c r="R1" s="242"/>
      <c r="S1" s="242"/>
      <c r="T1" s="242"/>
      <c r="U1" s="242"/>
      <c r="V1" s="242"/>
    </row>
    <row r="2" spans="2:29" ht="18" customHeight="1" x14ac:dyDescent="0.3">
      <c r="B2" s="242"/>
      <c r="C2" s="242"/>
      <c r="D2" s="242"/>
      <c r="E2" s="242"/>
      <c r="F2" s="242"/>
      <c r="G2" s="242"/>
      <c r="H2" s="242"/>
      <c r="I2" s="242"/>
      <c r="J2" s="242"/>
      <c r="K2" s="242"/>
      <c r="L2" s="242"/>
      <c r="M2" s="242"/>
      <c r="N2" s="242"/>
      <c r="O2" s="242"/>
      <c r="P2" s="242"/>
      <c r="Q2" s="242"/>
      <c r="R2" s="242"/>
      <c r="S2" s="242"/>
      <c r="T2" s="242"/>
      <c r="U2" s="242"/>
      <c r="V2" s="242"/>
    </row>
    <row r="3" spans="2:29" ht="18" customHeight="1" x14ac:dyDescent="0.3">
      <c r="B3" s="49">
        <f>IFERROR(
IF(ISBLANK(D3),
DATE(C3,12,1),
DATE(C3,D3,1)),0)</f>
        <v>336</v>
      </c>
      <c r="C3" s="245"/>
      <c r="D3" s="245"/>
      <c r="E3" s="399"/>
      <c r="F3" s="399"/>
      <c r="G3" s="245"/>
      <c r="H3" s="245"/>
      <c r="I3" s="245"/>
      <c r="J3" s="245"/>
      <c r="K3" s="280"/>
      <c r="L3" s="398">
        <v>0</v>
      </c>
      <c r="M3" s="48">
        <f>IFERROR(L3*(K3/(1+L3)),0)</f>
        <v>0</v>
      </c>
      <c r="N3" s="48">
        <f>IF(M3&lt;0, K3,K3-M3)</f>
        <v>0</v>
      </c>
      <c r="O3" s="281"/>
      <c r="P3" s="281"/>
      <c r="Q3" s="243"/>
      <c r="R3" s="242" cm="1">
        <f t="array" aca="1" ref="R3:AC3" ca="1" xml:space="preserve">
IF(ISBLANK(I3),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IF(I3="Khách hàng",TRANSPOSE(_xlfn._xlws.SORT(Table_KhachHang[Mã KH])),
IF(I3="NSNN", TRANSPOSE(_xlfn._xlws.SORT(Table_NopNS_NganSach[Loại thuế])),
TRANSPOSE(_xlfn._xlws.SORT(_xlfn._xlws.FILTER(Table_NhaCungCap[Mã Đối tác],Table_NhaCungCap[Loại đối tác]=I3,""
))))))</f>
        <v>0</v>
      </c>
      <c r="S3" s="242">
        <f ca="1"/>
        <v>0</v>
      </c>
      <c r="T3" s="242" t="str">
        <f ca="1"/>
        <v>TS1</v>
      </c>
      <c r="U3" s="242" t="str">
        <f ca="1"/>
        <v>TS2</v>
      </c>
      <c r="V3" s="242" t="str">
        <f ca="1"/>
        <v>TS3</v>
      </c>
      <c r="W3" s="7" t="str">
        <f ca="1"/>
        <v>TS4</v>
      </c>
      <c r="X3" s="7" t="str">
        <f ca="1"/>
        <v>TS5</v>
      </c>
      <c r="Y3" s="7" t="str">
        <f ca="1"/>
        <v>TS6</v>
      </c>
      <c r="Z3" s="7" t="str">
        <f ca="1"/>
        <v>VAY1</v>
      </c>
      <c r="AA3" s="7" t="str">
        <f ca="1"/>
        <v>VAY2</v>
      </c>
      <c r="AB3" s="7" t="str">
        <f ca="1"/>
        <v>VAY3</v>
      </c>
      <c r="AC3" s="7" t="str">
        <f ca="1"/>
        <v>VAY4</v>
      </c>
    </row>
    <row r="4" spans="2:29" ht="18" customHeight="1" x14ac:dyDescent="0.3">
      <c r="B4" s="7" t="s">
        <v>3</v>
      </c>
      <c r="C4" s="7" t="s">
        <v>2</v>
      </c>
      <c r="D4" s="7" t="s">
        <v>1</v>
      </c>
      <c r="E4" s="7" t="s">
        <v>645</v>
      </c>
      <c r="F4" s="7" t="s">
        <v>646</v>
      </c>
      <c r="G4" s="7" t="s">
        <v>773</v>
      </c>
      <c r="H4" s="7" t="s">
        <v>16</v>
      </c>
      <c r="I4" s="7" t="s">
        <v>561</v>
      </c>
      <c r="J4" s="7" t="s">
        <v>556</v>
      </c>
      <c r="K4" s="7" t="s">
        <v>21</v>
      </c>
      <c r="L4" s="7" t="s">
        <v>710</v>
      </c>
      <c r="M4" s="7" t="s">
        <v>774</v>
      </c>
      <c r="N4" s="7" t="s">
        <v>658</v>
      </c>
      <c r="O4" s="7" t="s">
        <v>883</v>
      </c>
      <c r="P4" s="7" t="s">
        <v>1253</v>
      </c>
      <c r="Q4" s="242"/>
      <c r="R4" s="242"/>
      <c r="S4" s="242"/>
      <c r="T4" s="242"/>
      <c r="U4" s="242"/>
      <c r="V4" s="242"/>
    </row>
    <row r="5" spans="2:29" ht="18" customHeight="1" x14ac:dyDescent="0.3">
      <c r="B5" s="49">
        <f>IFERROR(
IF(ISBLANK(Table_LaiKhac[[#This Row],[Tháng]]),
DATE(Table_LaiKhac[[#This Row],[Năm]],12,1),
DATE(Table_LaiKhac[[#This Row],[Năm]],Table_LaiKhac[[#This Row],[Tháng]],1)),0)</f>
        <v>336</v>
      </c>
      <c r="C5" s="242"/>
      <c r="D5" s="245"/>
      <c r="E5" s="345"/>
      <c r="F5" s="345"/>
      <c r="G5" s="242"/>
      <c r="H5" s="245"/>
      <c r="I5" s="242"/>
      <c r="J5" s="245"/>
      <c r="K5" s="245"/>
      <c r="L5" s="118"/>
      <c r="M5" s="120">
        <f>IFERROR(Table_LaiKhac[[#This Row],[Tỷ suất VAT]]*(Table_LaiKhac[[#This Row],[Giá trị]]/(1+Table_LaiKhac[[#This Row],[Tỷ suất VAT]])),0)</f>
        <v>0</v>
      </c>
      <c r="N5" s="120">
        <f>IF(Table_LaiKhac[[#This Row],[Giá trị]] &lt;0,
Table_LaiKhac[[#This Row],[Giá trị]],
Table_LaiKhac[[#This Row],[Giá trị]] -Table_LaiKhac[[#This Row],[Giá trị VAT]]
)</f>
        <v>0</v>
      </c>
      <c r="O5" s="245"/>
      <c r="P5" s="344">
        <f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f>
        <v>0</v>
      </c>
      <c r="Q5" s="242"/>
      <c r="R5" s="242"/>
      <c r="S5" s="242"/>
      <c r="T5" s="242"/>
      <c r="U5" s="242"/>
      <c r="V5" s="242"/>
    </row>
  </sheetData>
  <sheetProtection algorithmName="SHA-512" hashValue="+1ovBVpIVc3ItxwT0E9Z7UV8hbUELao5ufv0ocmSqy9cJeHdtJDD5sstIF2ZGz1iHQSrcQU/4CDXjHi9lSIG6w==" saltValue="GMQ17ErKhSMme7z9opevhQ==" spinCount="100000" sheet="1" scenarios="1" formatCells="0" formatColumns="0" formatRows="0" insertColumns="0" insertRows="0" deleteColumns="0" deleteRows="0" sort="0" autoFilter="0" pivotTables="0"/>
  <phoneticPr fontId="14" type="noConversion"/>
  <dataValidations count="2">
    <dataValidation type="list" errorStyle="warning" allowBlank="1" showInputMessage="1" showErrorMessage="1" sqref="J3" xr:uid="{7EF1DD4D-CE28-4449-910B-259F92EA23B2}">
      <formula1>_xlfn.ANCHORARRAY($R$3)</formula1>
    </dataValidation>
    <dataValidation type="list" errorStyle="warning" allowBlank="1" showInputMessage="1" sqref="J5" xr:uid="{9B5037E8-7041-43F2-93F5-11246BC5E413}">
      <formula1>_xlfn.ANCHORARRAY($R$3)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9" r:id="rId4" name="Button 5">
              <controlPr defaultSize="0" print="0" autoFill="0" autoPict="0" macro="[0]!CopyToTable">
                <anchor moveWithCells="1">
                  <from>
                    <xdr:col>14</xdr:col>
                    <xdr:colOff>104775</xdr:colOff>
                    <xdr:row>1</xdr:row>
                    <xdr:rowOff>219075</xdr:rowOff>
                  </from>
                  <to>
                    <xdr:col>15</xdr:col>
                    <xdr:colOff>133350</xdr:colOff>
                    <xdr:row>3</xdr:row>
                    <xdr:rowOff>19050</xdr:rowOff>
                  </to>
                </anchor>
              </controlPr>
            </control>
          </mc:Choice>
        </mc:AlternateContent>
        <mc:AlternateContent xmlns:mc="http://schemas.openxmlformats.org/markup-compatibility/2006">
          <mc:Choice Requires="x14">
            <control shapeId="72720" r:id="rId5" name="Option Button 16">
              <controlPr defaultSize="0" autoFill="0" autoLine="0" autoPict="0" macro="[0]!DoiDonViHienThi">
                <anchor moveWithCells="1">
                  <from>
                    <xdr:col>4</xdr:col>
                    <xdr:colOff>447675</xdr:colOff>
                    <xdr:row>0</xdr:row>
                    <xdr:rowOff>152400</xdr:rowOff>
                  </from>
                  <to>
                    <xdr:col>5</xdr:col>
                    <xdr:colOff>257175</xdr:colOff>
                    <xdr:row>1</xdr:row>
                    <xdr:rowOff>114300</xdr:rowOff>
                  </to>
                </anchor>
              </controlPr>
            </control>
          </mc:Choice>
        </mc:AlternateContent>
        <mc:AlternateContent xmlns:mc="http://schemas.openxmlformats.org/markup-compatibility/2006">
          <mc:Choice Requires="x14">
            <control shapeId="72721" r:id="rId6" name="Option Button 17">
              <controlPr defaultSize="0" autoFill="0" autoLine="0" autoPict="0" macro="[0]!DoiDonViHienThi">
                <anchor moveWithCells="1">
                  <from>
                    <xdr:col>5</xdr:col>
                    <xdr:colOff>133350</xdr:colOff>
                    <xdr:row>0</xdr:row>
                    <xdr:rowOff>152400</xdr:rowOff>
                  </from>
                  <to>
                    <xdr:col>5</xdr:col>
                    <xdr:colOff>723900</xdr:colOff>
                    <xdr:row>1</xdr:row>
                    <xdr:rowOff>114300</xdr:rowOff>
                  </to>
                </anchor>
              </controlPr>
            </control>
          </mc:Choice>
        </mc:AlternateContent>
        <mc:AlternateContent xmlns:mc="http://schemas.openxmlformats.org/markup-compatibility/2006">
          <mc:Choice Requires="x14">
            <control shapeId="72722" r:id="rId7" name="Option Button 18">
              <controlPr defaultSize="0" autoFill="0" autoLine="0" autoPict="0" macro="[0]!DoiDonViHienThi">
                <anchor moveWithCells="1">
                  <from>
                    <xdr:col>5</xdr:col>
                    <xdr:colOff>600075</xdr:colOff>
                    <xdr:row>0</xdr:row>
                    <xdr:rowOff>152400</xdr:rowOff>
                  </from>
                  <to>
                    <xdr:col>6</xdr:col>
                    <xdr:colOff>314325</xdr:colOff>
                    <xdr:row>1</xdr:row>
                    <xdr:rowOff>114300</xdr:rowOff>
                  </to>
                </anchor>
              </controlPr>
            </control>
          </mc:Choice>
        </mc:AlternateContent>
        <mc:AlternateContent xmlns:mc="http://schemas.openxmlformats.org/markup-compatibility/2006">
          <mc:Choice Requires="x14">
            <control shapeId="72723" r:id="rId8" name="Option Button 19">
              <controlPr defaultSize="0" autoFill="0" autoLine="0" autoPict="0" macro="[0]!DoiDonViHienThi">
                <anchor moveWithCells="1">
                  <from>
                    <xdr:col>6</xdr:col>
                    <xdr:colOff>200025</xdr:colOff>
                    <xdr:row>0</xdr:row>
                    <xdr:rowOff>152400</xdr:rowOff>
                  </from>
                  <to>
                    <xdr:col>6</xdr:col>
                    <xdr:colOff>552450</xdr:colOff>
                    <xdr:row>1</xdr:row>
                    <xdr:rowOff>114300</xdr:rowOff>
                  </to>
                </anchor>
              </controlPr>
            </control>
          </mc:Choice>
        </mc:AlternateContent>
        <mc:AlternateContent xmlns:mc="http://schemas.openxmlformats.org/markup-compatibility/2006">
          <mc:Choice Requires="x14">
            <control shapeId="72724" r:id="rId9" name="Group Box 20">
              <controlPr defaultSize="0" autoFill="0" autoPict="0">
                <anchor moveWithCells="1">
                  <from>
                    <xdr:col>4</xdr:col>
                    <xdr:colOff>333375</xdr:colOff>
                    <xdr:row>0</xdr:row>
                    <xdr:rowOff>104775</xdr:rowOff>
                  </from>
                  <to>
                    <xdr:col>6</xdr:col>
                    <xdr:colOff>666750</xdr:colOff>
                    <xdr:row>1</xdr:row>
                    <xdr:rowOff>152400</xdr:rowOff>
                  </to>
                </anchor>
              </controlPr>
            </control>
          </mc:Choice>
        </mc:AlternateContent>
        <mc:AlternateContent xmlns:mc="http://schemas.openxmlformats.org/markup-compatibility/2006">
          <mc:Choice Requires="x14">
            <control shapeId="72725" r:id="rId10" name="Group Box 21">
              <controlPr defaultSize="0" autoFill="0" autoPict="0">
                <anchor moveWithCells="1">
                  <from>
                    <xdr:col>1</xdr:col>
                    <xdr:colOff>57150</xdr:colOff>
                    <xdr:row>0</xdr:row>
                    <xdr:rowOff>104775</xdr:rowOff>
                  </from>
                  <to>
                    <xdr:col>4</xdr:col>
                    <xdr:colOff>285750</xdr:colOff>
                    <xdr:row>1</xdr:row>
                    <xdr:rowOff>152400</xdr:rowOff>
                  </to>
                </anchor>
              </controlPr>
            </control>
          </mc:Choice>
        </mc:AlternateContent>
        <mc:AlternateContent xmlns:mc="http://schemas.openxmlformats.org/markup-compatibility/2006">
          <mc:Choice Requires="x14">
            <control shapeId="72726" r:id="rId11" name="Button 22">
              <controlPr defaultSize="0" autoFill="0" autoPict="0" macro="[0]!NhanNghin">
                <anchor moveWithCells="1">
                  <from>
                    <xdr:col>1</xdr:col>
                    <xdr:colOff>142875</xdr:colOff>
                    <xdr:row>0</xdr:row>
                    <xdr:rowOff>200025</xdr:rowOff>
                  </from>
                  <to>
                    <xdr:col>2</xdr:col>
                    <xdr:colOff>180975</xdr:colOff>
                    <xdr:row>1</xdr:row>
                    <xdr:rowOff>57150</xdr:rowOff>
                  </to>
                </anchor>
              </controlPr>
            </control>
          </mc:Choice>
        </mc:AlternateContent>
        <mc:AlternateContent xmlns:mc="http://schemas.openxmlformats.org/markup-compatibility/2006">
          <mc:Choice Requires="x14">
            <control shapeId="72727" r:id="rId12" name="Button 23">
              <controlPr defaultSize="0" autoFill="0" autoPict="0" macro="[0]!NhanTrieu">
                <anchor moveWithCells="1">
                  <from>
                    <xdr:col>2</xdr:col>
                    <xdr:colOff>228600</xdr:colOff>
                    <xdr:row>0</xdr:row>
                    <xdr:rowOff>200025</xdr:rowOff>
                  </from>
                  <to>
                    <xdr:col>3</xdr:col>
                    <xdr:colOff>238125</xdr:colOff>
                    <xdr:row>1</xdr:row>
                    <xdr:rowOff>57150</xdr:rowOff>
                  </to>
                </anchor>
              </controlPr>
            </control>
          </mc:Choice>
        </mc:AlternateContent>
        <mc:AlternateContent xmlns:mc="http://schemas.openxmlformats.org/markup-compatibility/2006">
          <mc:Choice Requires="x14">
            <control shapeId="72728" r:id="rId13" name="Button 24">
              <controlPr defaultSize="0" autoFill="0" autoPict="0" macro="[0]!NhanTy">
                <anchor moveWithCells="1">
                  <from>
                    <xdr:col>3</xdr:col>
                    <xdr:colOff>285750</xdr:colOff>
                    <xdr:row>0</xdr:row>
                    <xdr:rowOff>200025</xdr:rowOff>
                  </from>
                  <to>
                    <xdr:col>4</xdr:col>
                    <xdr:colOff>209550</xdr:colOff>
                    <xdr:row>1</xdr:row>
                    <xdr:rowOff>57150</xdr:rowOff>
                  </to>
                </anchor>
              </controlPr>
            </control>
          </mc:Choice>
        </mc:AlternateContent>
        <mc:AlternateContent xmlns:mc="http://schemas.openxmlformats.org/markup-compatibility/2006">
          <mc:Choice Requires="x14">
            <control shapeId="72729" r:id="rId14" name="Button 25">
              <controlPr defaultSize="0" print="0" autoFill="0" autoPict="0" macro="[0]!AddRow">
                <anchor moveWithCells="1">
                  <from>
                    <xdr:col>6</xdr:col>
                    <xdr:colOff>942975</xdr:colOff>
                    <xdr:row>0</xdr:row>
                    <xdr:rowOff>152400</xdr:rowOff>
                  </from>
                  <to>
                    <xdr:col>6</xdr:col>
                    <xdr:colOff>1419225</xdr:colOff>
                    <xdr:row>1</xdr:row>
                    <xdr:rowOff>95250</xdr:rowOff>
                  </to>
                </anchor>
              </controlPr>
            </control>
          </mc:Choice>
        </mc:AlternateContent>
        <mc:AlternateContent xmlns:mc="http://schemas.openxmlformats.org/markup-compatibility/2006">
          <mc:Choice Requires="x14">
            <control shapeId="72730" r:id="rId15" name="Button 26">
              <controlPr defaultSize="0" print="0" autoFill="0" autoPict="0" macro="[0]!DeleteRow">
                <anchor moveWithCells="1">
                  <from>
                    <xdr:col>6</xdr:col>
                    <xdr:colOff>1457325</xdr:colOff>
                    <xdr:row>0</xdr:row>
                    <xdr:rowOff>152400</xdr:rowOff>
                  </from>
                  <to>
                    <xdr:col>6</xdr:col>
                    <xdr:colOff>1933575</xdr:colOff>
                    <xdr:row>1</xdr:row>
                    <xdr:rowOff>95250</xdr:rowOff>
                  </to>
                </anchor>
              </controlPr>
            </control>
          </mc:Choice>
        </mc:AlternateContent>
        <mc:AlternateContent xmlns:mc="http://schemas.openxmlformats.org/markup-compatibility/2006">
          <mc:Choice Requires="x14">
            <control shapeId="72731" r:id="rId16" name="Button 27">
              <controlPr defaultSize="0" print="0" autoFill="0" autoPict="0" macro="[0]!AddColumn">
                <anchor moveWithCells="1">
                  <from>
                    <xdr:col>14</xdr:col>
                    <xdr:colOff>104775</xdr:colOff>
                    <xdr:row>0</xdr:row>
                    <xdr:rowOff>171450</xdr:rowOff>
                  </from>
                  <to>
                    <xdr:col>15</xdr:col>
                    <xdr:colOff>104775</xdr:colOff>
                    <xdr:row>1</xdr:row>
                    <xdr:rowOff>114300</xdr:rowOff>
                  </to>
                </anchor>
              </controlPr>
            </control>
          </mc:Choice>
        </mc:AlternateContent>
        <mc:AlternateContent xmlns:mc="http://schemas.openxmlformats.org/markup-compatibility/2006">
          <mc:Choice Requires="x14">
            <control shapeId="72732" r:id="rId17" name="Button 28">
              <controlPr defaultSize="0" print="0" autoFill="0" autoPict="0" macro="[0]!DeleteColumn">
                <anchor moveWithCells="1">
                  <from>
                    <xdr:col>15</xdr:col>
                    <xdr:colOff>142875</xdr:colOff>
                    <xdr:row>0</xdr:row>
                    <xdr:rowOff>171450</xdr:rowOff>
                  </from>
                  <to>
                    <xdr:col>15</xdr:col>
                    <xdr:colOff>685800</xdr:colOff>
                    <xdr:row>1</xdr:row>
                    <xdr:rowOff>114300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374EB0E6-AF6C-4597-A646-3FFD21BF7543}">
            <xm:f>Security!$A$1="NO VBA"</xm:f>
            <x14:dxf>
              <font>
                <color theme="0"/>
              </font>
              <border>
                <vertical/>
                <horizontal/>
              </border>
            </x14:dxf>
          </x14:cfRule>
          <xm:sqref>A4:N4 P4:XFD4 A1:XFD3 B8:P1048576 B7:J7 L7:P7 A5:XFD5 A6:A1048576 Q6:XFD1048576 B6:P6</xm:sqref>
        </x14:conditionalFormatting>
        <x14:conditionalFormatting xmlns:xm="http://schemas.microsoft.com/office/excel/2006/main">
          <x14:cfRule type="expression" priority="1" id="{38D9FD3C-196C-422B-B503-AB40050AEC8F}">
            <xm:f>Security!$A$1="NO VBA"</xm:f>
            <x14:dxf>
              <font>
                <color theme="0"/>
              </font>
              <border>
                <vertical/>
                <horizontal/>
              </border>
            </x14:dxf>
          </x14:cfRule>
          <xm:sqref>O4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DF006B4-A436-4B7F-8C54-CD4BEB30C5AA}">
          <x14:formula1>
            <xm:f>Sheet_BaoCaoTaiChinh!$C$43:$C$47</xm:f>
          </x14:formula1>
          <xm:sqref>G3 G5</xm:sqref>
        </x14:dataValidation>
        <x14:dataValidation type="list" errorStyle="warning" allowBlank="1" showInputMessage="1" showErrorMessage="1" xr:uid="{146DB521-C84A-4FEB-A21E-C00AE94C05B4}">
          <x14:formula1>
            <xm:f>Sheet_ThuChiKD!$G$14:$G$26</xm:f>
          </x14:formula1>
          <xm:sqref>I3 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8B55-1E94-45FD-9A66-458442C99A89}">
  <sheetPr codeName="Sheet29">
    <tabColor theme="7"/>
    <outlinePr summaryRight="0"/>
  </sheetPr>
  <dimension ref="A1:P519"/>
  <sheetViews>
    <sheetView showGridLines="0" workbookViewId="0">
      <selection activeCell="J37" sqref="J37"/>
    </sheetView>
  </sheetViews>
  <sheetFormatPr defaultRowHeight="18" customHeight="1" outlineLevelRow="1" outlineLevelCol="1" x14ac:dyDescent="0.15"/>
  <cols>
    <col min="1" max="1" width="9.625" style="1" customWidth="1"/>
    <col min="2" max="2" width="5.375" style="28" bestFit="1" customWidth="1"/>
    <col min="3" max="3" width="15.25" style="28" bestFit="1" customWidth="1"/>
    <col min="4" max="4" width="8.875" style="7" bestFit="1" customWidth="1"/>
    <col min="5" max="5" width="8.125" style="7" bestFit="1" customWidth="1"/>
    <col min="6" max="6" width="32.25" style="7" customWidth="1"/>
    <col min="7" max="7" width="15.5" style="7" customWidth="1"/>
    <col min="8" max="8" width="7.625" style="44" bestFit="1" customWidth="1"/>
    <col min="9" max="9" width="7.125" style="7" bestFit="1" customWidth="1"/>
    <col min="10" max="10" width="16.625" style="7" customWidth="1"/>
    <col min="11" max="11" width="10.75" style="28" customWidth="1" outlineLevel="1"/>
    <col min="12" max="12" width="7.5" style="28" customWidth="1" outlineLevel="1"/>
    <col min="13" max="13" width="16.625" style="28" customWidth="1" outlineLevel="1"/>
    <col min="14" max="14" width="16.25" style="7" customWidth="1"/>
    <col min="15" max="16384" width="9" style="7"/>
  </cols>
  <sheetData>
    <row r="1" spans="1:16" s="46" customFormat="1" ht="29.25" customHeight="1" x14ac:dyDescent="0.3">
      <c r="A1" s="303"/>
      <c r="B1" s="301">
        <v>0</v>
      </c>
      <c r="C1" s="301">
        <f t="shared" ref="C1:M1" si="0">+B1+1</f>
        <v>1</v>
      </c>
      <c r="D1" s="301">
        <f t="shared" si="0"/>
        <v>2</v>
      </c>
      <c r="E1" s="301">
        <f t="shared" si="0"/>
        <v>3</v>
      </c>
      <c r="F1" s="301">
        <f t="shared" si="0"/>
        <v>4</v>
      </c>
      <c r="G1" s="301">
        <f t="shared" si="0"/>
        <v>5</v>
      </c>
      <c r="H1" s="301">
        <f t="shared" si="0"/>
        <v>6</v>
      </c>
      <c r="I1" s="301">
        <f t="shared" si="0"/>
        <v>7</v>
      </c>
      <c r="J1" s="301">
        <f t="shared" si="0"/>
        <v>8</v>
      </c>
      <c r="K1" s="301">
        <f t="shared" si="0"/>
        <v>9</v>
      </c>
      <c r="L1" s="301">
        <f t="shared" si="0"/>
        <v>10</v>
      </c>
      <c r="M1" s="301">
        <f t="shared" si="0"/>
        <v>11</v>
      </c>
      <c r="N1" s="301"/>
      <c r="O1" s="301"/>
      <c r="P1" s="301"/>
    </row>
    <row r="2" spans="1:16" ht="18" customHeight="1" x14ac:dyDescent="0.3">
      <c r="A2" s="275"/>
      <c r="B2" s="248"/>
      <c r="C2" s="248"/>
      <c r="D2" s="249"/>
      <c r="E2" s="249"/>
      <c r="F2" s="249"/>
      <c r="G2" s="249"/>
      <c r="H2" s="249"/>
      <c r="I2" s="249"/>
      <c r="J2" s="249"/>
      <c r="K2" s="249"/>
      <c r="L2" s="249"/>
      <c r="M2" s="249"/>
      <c r="N2" s="249"/>
      <c r="O2" s="249"/>
      <c r="P2" s="242"/>
    </row>
    <row r="3" spans="1:16" ht="18" customHeight="1" outlineLevel="1" x14ac:dyDescent="0.15">
      <c r="A3" s="275"/>
      <c r="B3" s="248"/>
      <c r="C3" s="248"/>
      <c r="D3" s="242"/>
      <c r="E3" s="7" t="s">
        <v>643</v>
      </c>
      <c r="F3" s="7" t="s">
        <v>775</v>
      </c>
      <c r="G3" s="242"/>
      <c r="H3" s="265"/>
      <c r="I3" s="242"/>
      <c r="J3" s="242"/>
      <c r="K3" s="248"/>
      <c r="L3" s="248"/>
      <c r="M3" s="248"/>
      <c r="N3" s="242"/>
      <c r="O3" s="242"/>
      <c r="P3" s="242"/>
    </row>
    <row r="4" spans="1:16" ht="18" customHeight="1" outlineLevel="1" x14ac:dyDescent="0.15">
      <c r="A4" s="275"/>
      <c r="B4" s="248"/>
      <c r="C4" s="248"/>
      <c r="D4" s="242"/>
      <c r="E4" s="242">
        <v>1</v>
      </c>
      <c r="F4" s="7" t="s">
        <v>407</v>
      </c>
      <c r="G4" s="242"/>
      <c r="H4" s="265"/>
      <c r="I4" s="242"/>
      <c r="J4" s="242"/>
      <c r="K4" s="248"/>
      <c r="L4" s="248"/>
      <c r="M4" s="248"/>
      <c r="N4" s="242"/>
      <c r="O4" s="242"/>
      <c r="P4" s="242"/>
    </row>
    <row r="5" spans="1:16" ht="18" customHeight="1" outlineLevel="1" x14ac:dyDescent="0.15">
      <c r="A5" s="275"/>
      <c r="B5" s="248"/>
      <c r="C5" s="248"/>
      <c r="D5" s="242"/>
      <c r="E5" s="242">
        <v>2</v>
      </c>
      <c r="F5" s="7" t="s">
        <v>409</v>
      </c>
      <c r="G5" s="242"/>
      <c r="H5" s="265"/>
      <c r="I5" s="242"/>
      <c r="J5" s="242"/>
      <c r="K5" s="248"/>
      <c r="L5" s="248"/>
      <c r="M5" s="248"/>
      <c r="N5" s="242"/>
      <c r="O5" s="242"/>
      <c r="P5" s="242"/>
    </row>
    <row r="6" spans="1:16" ht="18" customHeight="1" outlineLevel="1" x14ac:dyDescent="0.15">
      <c r="A6" s="275"/>
      <c r="B6" s="248"/>
      <c r="C6" s="248"/>
      <c r="D6" s="242"/>
      <c r="E6" s="242">
        <v>3</v>
      </c>
      <c r="F6" s="7" t="s">
        <v>410</v>
      </c>
      <c r="G6" s="242"/>
      <c r="H6" s="265"/>
      <c r="I6" s="242"/>
      <c r="J6" s="242"/>
      <c r="K6" s="248"/>
      <c r="L6" s="248"/>
      <c r="M6" s="248"/>
      <c r="N6" s="242"/>
      <c r="O6" s="242"/>
      <c r="P6" s="242"/>
    </row>
    <row r="7" spans="1:16" ht="18" customHeight="1" outlineLevel="1" x14ac:dyDescent="0.15">
      <c r="A7" s="276"/>
      <c r="B7" s="248"/>
      <c r="C7" s="248"/>
      <c r="D7" s="242"/>
      <c r="E7" s="242">
        <v>4</v>
      </c>
      <c r="F7" s="7" t="s">
        <v>411</v>
      </c>
      <c r="G7" s="242"/>
      <c r="H7" s="265"/>
      <c r="I7" s="242"/>
      <c r="J7" s="242"/>
      <c r="K7" s="248"/>
      <c r="L7" s="248"/>
      <c r="M7" s="248"/>
      <c r="N7" s="242"/>
      <c r="O7" s="242"/>
      <c r="P7" s="242"/>
    </row>
    <row r="8" spans="1:16" ht="18" customHeight="1" outlineLevel="1" x14ac:dyDescent="0.15">
      <c r="A8" s="276"/>
      <c r="B8" s="248"/>
      <c r="C8" s="248"/>
      <c r="D8" s="242"/>
      <c r="E8" s="242">
        <v>5</v>
      </c>
      <c r="F8" s="7" t="s">
        <v>412</v>
      </c>
      <c r="G8" s="242"/>
      <c r="H8" s="265"/>
      <c r="I8" s="242"/>
      <c r="J8" s="242"/>
      <c r="K8" s="248"/>
      <c r="L8" s="248"/>
      <c r="M8" s="248"/>
      <c r="N8" s="242"/>
      <c r="O8" s="242"/>
      <c r="P8" s="242"/>
    </row>
    <row r="9" spans="1:16" ht="18" customHeight="1" outlineLevel="1" x14ac:dyDescent="0.15">
      <c r="A9" s="276"/>
      <c r="B9" s="248"/>
      <c r="C9" s="248"/>
      <c r="D9" s="242"/>
      <c r="E9" s="242">
        <v>6</v>
      </c>
      <c r="F9" s="7" t="s">
        <v>413</v>
      </c>
      <c r="G9" s="242"/>
      <c r="H9" s="265"/>
      <c r="I9" s="242"/>
      <c r="J9" s="242"/>
      <c r="K9" s="248"/>
      <c r="L9" s="248"/>
      <c r="M9" s="248"/>
      <c r="N9" s="242"/>
      <c r="O9" s="242"/>
      <c r="P9" s="242"/>
    </row>
    <row r="10" spans="1:16" ht="18" customHeight="1" outlineLevel="1" x14ac:dyDescent="0.15">
      <c r="A10" s="276"/>
      <c r="B10" s="248"/>
      <c r="C10" s="248"/>
      <c r="D10" s="242"/>
      <c r="E10" s="242">
        <v>7</v>
      </c>
      <c r="F10" s="7" t="s">
        <v>308</v>
      </c>
      <c r="G10" s="242"/>
      <c r="H10" s="265"/>
      <c r="I10" s="242"/>
      <c r="J10" s="242"/>
      <c r="K10" s="248"/>
      <c r="L10" s="248"/>
      <c r="M10" s="248"/>
      <c r="N10" s="242"/>
      <c r="O10" s="242"/>
      <c r="P10" s="242"/>
    </row>
    <row r="11" spans="1:16" ht="18" customHeight="1" outlineLevel="1" x14ac:dyDescent="0.15">
      <c r="A11" s="276"/>
      <c r="B11" s="248"/>
      <c r="C11" s="248"/>
      <c r="D11" s="242"/>
      <c r="E11" s="242">
        <v>8</v>
      </c>
      <c r="F11" s="7" t="s">
        <v>416</v>
      </c>
      <c r="G11" s="242"/>
      <c r="H11" s="265"/>
      <c r="I11" s="242"/>
      <c r="J11" s="242"/>
      <c r="K11" s="248"/>
      <c r="L11" s="248"/>
      <c r="M11" s="248"/>
      <c r="N11" s="242"/>
      <c r="O11" s="242"/>
      <c r="P11" s="242"/>
    </row>
    <row r="12" spans="1:16" ht="18" customHeight="1" outlineLevel="1" x14ac:dyDescent="0.15">
      <c r="A12" s="276"/>
      <c r="B12" s="248"/>
      <c r="C12" s="248"/>
      <c r="D12" s="242"/>
      <c r="E12" s="12" t="s">
        <v>281</v>
      </c>
      <c r="F12" s="242"/>
      <c r="G12" s="242"/>
      <c r="H12" s="265"/>
      <c r="I12" s="242"/>
      <c r="J12" s="242"/>
      <c r="K12" s="248"/>
      <c r="L12" s="248"/>
      <c r="M12" s="248"/>
      <c r="N12" s="242"/>
      <c r="O12" s="242"/>
      <c r="P12" s="242"/>
    </row>
    <row r="13" spans="1:16" s="112" customFormat="1" ht="18" customHeight="1" x14ac:dyDescent="0.15">
      <c r="A13" s="277"/>
      <c r="B13" s="278"/>
      <c r="C13" s="278"/>
      <c r="D13" s="272"/>
      <c r="E13" s="272"/>
      <c r="F13" s="272"/>
      <c r="G13" s="272"/>
      <c r="H13" s="279"/>
      <c r="I13" s="272"/>
      <c r="J13" s="272"/>
      <c r="K13" s="278"/>
      <c r="L13" s="278"/>
      <c r="M13" s="278"/>
      <c r="N13" s="272"/>
      <c r="O13" s="272"/>
      <c r="P13" s="272"/>
    </row>
    <row r="14" spans="1:16" s="112" customFormat="1" ht="18" hidden="1" customHeight="1" outlineLevel="1" x14ac:dyDescent="0.15">
      <c r="A14" s="277"/>
      <c r="B14" s="278"/>
      <c r="C14" s="278"/>
      <c r="D14" s="272"/>
      <c r="E14" s="272"/>
      <c r="F14" s="272"/>
      <c r="G14" s="112" t="s">
        <v>173</v>
      </c>
      <c r="H14" s="279" t="str" cm="1">
        <f t="array" ref="H14:J14">IF(G14="Khách hàng",TRANSPOSE(_xlfn._xlws.SORT(Table_KhachHang[Mã KH])),
TRANSPOSE(_xlfn._xlws.SORT(_xlfn._xlws.FILTER(Table_NhaCungCap[Mã Đối tác],Table_NhaCungCap[Loại đối tác]=Sheet_ThuChiKD!G14,""))))</f>
        <v>KH1</v>
      </c>
      <c r="I14" s="272" t="str">
        <v>KH2</v>
      </c>
      <c r="J14" s="272" t="str">
        <v>KH3</v>
      </c>
      <c r="K14" s="278"/>
      <c r="L14" s="278"/>
      <c r="M14" s="278"/>
      <c r="N14" s="272"/>
      <c r="O14" s="272"/>
      <c r="P14" s="272"/>
    </row>
    <row r="15" spans="1:16" s="112" customFormat="1" ht="18" hidden="1" customHeight="1" outlineLevel="1" x14ac:dyDescent="0.15">
      <c r="A15" s="277"/>
      <c r="B15" s="278"/>
      <c r="C15" s="278"/>
      <c r="D15" s="272"/>
      <c r="E15" s="272"/>
      <c r="F15" s="272"/>
      <c r="G15" s="112" t="str">
        <f>Sheet_DoiTac!D3</f>
        <v>Hàng hóa - Nguyên liệu vật tư</v>
      </c>
      <c r="H15" s="175" t="str" cm="1">
        <f t="array" ref="H15:J15">IF(G15="Khách hàng",TRANSPOSE(_xlfn._xlws.SORT(Table_KhachHang[Mã KH])),
IF(G15="NSNN", TRANSPOSE(_xlfn._xlws.SORT(Sheet_PhaiTra!#REF!)),
TRANSPOSE(_xlfn._xlws.SORT(_xlfn._xlws.FILTER(Table_NhaCungCap[Mã Đối tác],Table_NhaCungCap[Loại đối tác]=Sheet_ThuChiKD!G15,"")))))</f>
        <v>NCC1</v>
      </c>
      <c r="I15" s="272" t="str">
        <v>NCC2</v>
      </c>
      <c r="J15" s="272" t="str">
        <v>NCC3</v>
      </c>
      <c r="K15" s="278"/>
      <c r="L15" s="278"/>
      <c r="M15" s="278"/>
      <c r="N15" s="272"/>
      <c r="O15" s="272"/>
      <c r="P15" s="272"/>
    </row>
    <row r="16" spans="1:16" s="112" customFormat="1" ht="18" hidden="1" customHeight="1" outlineLevel="1" x14ac:dyDescent="0.15">
      <c r="A16" s="277"/>
      <c r="B16" s="278"/>
      <c r="C16" s="278"/>
      <c r="D16" s="272"/>
      <c r="E16" s="272"/>
      <c r="F16" s="272"/>
      <c r="G16" s="112" t="str">
        <f>Sheet_DoiTac!D4</f>
        <v>Nhân viên</v>
      </c>
      <c r="H16" s="175" t="str" cm="1">
        <f t="array" ref="H16">IF(G16="Khách hàng",TRANSPOSE(_xlfn._xlws.SORT(Table_KhachHang[Mã KH])),
TRANSPOSE(_xlfn._xlws.SORT(_xlfn._xlws.FILTER(Table_NhaCungCap[Mã Đối tác],Table_NhaCungCap[Loại đối tác]=Sheet_ThuChiKD!G16,""))))</f>
        <v/>
      </c>
      <c r="I16" s="272"/>
      <c r="J16" s="272"/>
      <c r="K16" s="278"/>
      <c r="L16" s="278"/>
      <c r="M16" s="278"/>
      <c r="N16" s="272"/>
      <c r="O16" s="272"/>
      <c r="P16" s="272"/>
    </row>
    <row r="17" spans="1:16" s="112" customFormat="1" ht="18" hidden="1" customHeight="1" outlineLevel="1" x14ac:dyDescent="0.15">
      <c r="A17" s="277"/>
      <c r="B17" s="278"/>
      <c r="C17" s="278"/>
      <c r="D17" s="272"/>
      <c r="E17" s="272"/>
      <c r="F17" s="272"/>
      <c r="G17" s="112" t="str">
        <f>Sheet_DoiTac!D5</f>
        <v>Kênh phân phối</v>
      </c>
      <c r="H17" s="175" t="str" cm="1">
        <f t="array" ref="H17">IF(G17="Khách hàng",TRANSPOSE(_xlfn._xlws.SORT(Table_KhachHang[Mã KH])),
TRANSPOSE(_xlfn._xlws.SORT(_xlfn._xlws.FILTER(Table_NhaCungCap[Mã Đối tác],Table_NhaCungCap[Loại đối tác]=Sheet_ThuChiKD!G17,""))))</f>
        <v/>
      </c>
      <c r="I17" s="272"/>
      <c r="J17" s="272"/>
      <c r="K17" s="278"/>
      <c r="L17" s="278"/>
      <c r="M17" s="278"/>
      <c r="N17" s="272"/>
      <c r="O17" s="272"/>
      <c r="P17" s="272"/>
    </row>
    <row r="18" spans="1:16" s="112" customFormat="1" ht="18" hidden="1" customHeight="1" outlineLevel="1" x14ac:dyDescent="0.15">
      <c r="A18" s="277"/>
      <c r="B18" s="278"/>
      <c r="C18" s="278"/>
      <c r="D18" s="272"/>
      <c r="E18" s="272"/>
      <c r="F18" s="272"/>
      <c r="G18" s="112" t="str">
        <f>Sheet_DoiTac!D6</f>
        <v>Vận tải</v>
      </c>
      <c r="H18" s="175" t="str" cm="1">
        <f t="array" ref="H18">IF(G18="Khách hàng",TRANSPOSE(_xlfn._xlws.SORT(Table_KhachHang[Mã KH])),
TRANSPOSE(_xlfn._xlws.SORT(_xlfn._xlws.FILTER(Table_NhaCungCap[Mã Đối tác],Table_NhaCungCap[Loại đối tác]=Sheet_ThuChiKD!G18,""))))</f>
        <v/>
      </c>
      <c r="I18" s="272"/>
      <c r="J18" s="272"/>
      <c r="K18" s="278"/>
      <c r="L18" s="278"/>
      <c r="M18" s="278"/>
      <c r="N18" s="272"/>
      <c r="O18" s="272"/>
      <c r="P18" s="272"/>
    </row>
    <row r="19" spans="1:16" s="112" customFormat="1" ht="18" hidden="1" customHeight="1" outlineLevel="1" x14ac:dyDescent="0.15">
      <c r="A19" s="277"/>
      <c r="B19" s="278"/>
      <c r="C19" s="278"/>
      <c r="D19" s="272"/>
      <c r="E19" s="272"/>
      <c r="F19" s="272"/>
      <c r="G19" s="112" t="str">
        <f>Sheet_DoiTac!D7</f>
        <v>Dịch vụ tài chính</v>
      </c>
      <c r="H19" s="175" t="str" cm="1">
        <f t="array" ref="H19">IF(G19="Khách hàng",TRANSPOSE(_xlfn._xlws.SORT(Table_KhachHang[Mã KH])),
TRANSPOSE(_xlfn._xlws.SORT(_xlfn._xlws.FILTER(Table_NhaCungCap[Mã Đối tác],Table_NhaCungCap[Loại đối tác]=Sheet_ThuChiKD!G19,""))))</f>
        <v/>
      </c>
      <c r="I19" s="272"/>
      <c r="J19" s="272"/>
      <c r="K19" s="278"/>
      <c r="L19" s="278"/>
      <c r="M19" s="278"/>
      <c r="N19" s="272"/>
      <c r="O19" s="272"/>
      <c r="P19" s="272"/>
    </row>
    <row r="20" spans="1:16" s="112" customFormat="1" ht="18" hidden="1" customHeight="1" outlineLevel="1" x14ac:dyDescent="0.15">
      <c r="A20" s="277"/>
      <c r="B20" s="278"/>
      <c r="C20" s="278"/>
      <c r="D20" s="272"/>
      <c r="E20" s="272"/>
      <c r="F20" s="272"/>
      <c r="G20" s="112" t="str">
        <f>Sheet_DoiTac!D8</f>
        <v>Tiện ích</v>
      </c>
      <c r="H20" s="175" t="str" cm="1">
        <f t="array" ref="H20">IF(G20="Khách hàng",TRANSPOSE(_xlfn._xlws.SORT(Table_KhachHang[Mã KH])),
TRANSPOSE(_xlfn._xlws.SORT(_xlfn._xlws.FILTER(Table_NhaCungCap[Mã Đối tác],Table_NhaCungCap[Loại đối tác]=Sheet_ThuChiKD!G20,""))))</f>
        <v/>
      </c>
      <c r="I20" s="272"/>
      <c r="J20" s="272"/>
      <c r="K20" s="278"/>
      <c r="L20" s="278"/>
      <c r="M20" s="278"/>
      <c r="N20" s="272"/>
      <c r="O20" s="272"/>
      <c r="P20" s="272"/>
    </row>
    <row r="21" spans="1:16" s="112" customFormat="1" ht="18" hidden="1" customHeight="1" outlineLevel="1" x14ac:dyDescent="0.15">
      <c r="A21" s="277"/>
      <c r="B21" s="278"/>
      <c r="C21" s="278"/>
      <c r="D21" s="272"/>
      <c r="E21" s="272"/>
      <c r="F21" s="272"/>
      <c r="G21" s="112" t="str">
        <f>Sheet_DoiTac!D9</f>
        <v>Máy móc - Thiết bị</v>
      </c>
      <c r="H21" s="175" t="str" cm="1">
        <f t="array" ref="H21">IF(G21="Khách hàng",TRANSPOSE(_xlfn._xlws.SORT(Table_KhachHang[Mã KH])),
TRANSPOSE(_xlfn._xlws.SORT(_xlfn._xlws.FILTER(Table_NhaCungCap[Mã Đối tác],Table_NhaCungCap[Loại đối tác]=Sheet_ThuChiKD!G21,""))))</f>
        <v/>
      </c>
      <c r="I21" s="272"/>
      <c r="J21" s="272"/>
      <c r="K21" s="278"/>
      <c r="L21" s="278"/>
      <c r="M21" s="278"/>
      <c r="N21" s="272"/>
      <c r="O21" s="272"/>
      <c r="P21" s="272"/>
    </row>
    <row r="22" spans="1:16" s="112" customFormat="1" ht="18" hidden="1" customHeight="1" outlineLevel="1" x14ac:dyDescent="0.15">
      <c r="A22" s="277"/>
      <c r="B22" s="278"/>
      <c r="C22" s="278"/>
      <c r="D22" s="272"/>
      <c r="E22" s="272"/>
      <c r="F22" s="272"/>
      <c r="G22" s="112" t="str">
        <f>Sheet_DoiTac!D10</f>
        <v>Dịch vụ sản xuất</v>
      </c>
      <c r="H22" s="175" t="str" cm="1">
        <f t="array" ref="H22">IF(G22="Khách hàng",TRANSPOSE(_xlfn._xlws.SORT(Table_KhachHang[Mã KH])),
TRANSPOSE(_xlfn._xlws.SORT(_xlfn._xlws.FILTER(Table_NhaCungCap[Mã Đối tác],Table_NhaCungCap[Loại đối tác]=Sheet_ThuChiKD!G22,""))))</f>
        <v/>
      </c>
      <c r="I22" s="272"/>
      <c r="J22" s="272"/>
      <c r="K22" s="278"/>
      <c r="L22" s="278"/>
      <c r="M22" s="278"/>
      <c r="N22" s="272"/>
      <c r="O22" s="272"/>
      <c r="P22" s="272"/>
    </row>
    <row r="23" spans="1:16" s="112" customFormat="1" ht="18" hidden="1" customHeight="1" outlineLevel="1" x14ac:dyDescent="0.15">
      <c r="A23" s="277"/>
      <c r="B23" s="278"/>
      <c r="C23" s="278"/>
      <c r="D23" s="272"/>
      <c r="E23" s="272"/>
      <c r="F23" s="272"/>
      <c r="G23" s="112" t="str">
        <f>Sheet_DoiTac!D11</f>
        <v>Marketing - Thương mại</v>
      </c>
      <c r="H23" s="175" t="str" cm="1">
        <f t="array" ref="H23">IF(G23="Khách hàng",TRANSPOSE(_xlfn._xlws.SORT(Table_KhachHang[Mã KH])),
TRANSPOSE(_xlfn._xlws.SORT(_xlfn._xlws.FILTER(Table_NhaCungCap[Mã Đối tác],Table_NhaCungCap[Loại đối tác]=Sheet_ThuChiKD!G23,""))))</f>
        <v/>
      </c>
      <c r="I23" s="272"/>
      <c r="J23" s="272"/>
      <c r="K23" s="278"/>
      <c r="L23" s="278"/>
      <c r="M23" s="278"/>
      <c r="N23" s="272"/>
      <c r="O23" s="272"/>
      <c r="P23" s="272"/>
    </row>
    <row r="24" spans="1:16" s="112" customFormat="1" ht="18" hidden="1" customHeight="1" outlineLevel="1" x14ac:dyDescent="0.15">
      <c r="A24" s="277"/>
      <c r="B24" s="278"/>
      <c r="C24" s="278"/>
      <c r="D24" s="272"/>
      <c r="E24" s="272"/>
      <c r="F24" s="272"/>
      <c r="G24" s="112" t="str">
        <f>Sheet_DoiTac!D12</f>
        <v>Dịch vụ quản lý</v>
      </c>
      <c r="H24" s="175" t="str" cm="1">
        <f t="array" ref="H24">IF(G24="Khách hàng",TRANSPOSE(_xlfn._xlws.SORT(Table_KhachHang[Mã KH])),
TRANSPOSE(_xlfn._xlws.SORT(_xlfn._xlws.FILTER(Table_NhaCungCap[Mã Đối tác],Table_NhaCungCap[Loại đối tác]=Sheet_ThuChiKD!G24,""))))</f>
        <v/>
      </c>
      <c r="I24" s="272"/>
      <c r="J24" s="272"/>
      <c r="K24" s="278"/>
      <c r="L24" s="278"/>
      <c r="M24" s="278"/>
      <c r="N24" s="272"/>
      <c r="O24" s="272"/>
      <c r="P24" s="272"/>
    </row>
    <row r="25" spans="1:16" s="112" customFormat="1" ht="18" hidden="1" customHeight="1" outlineLevel="1" x14ac:dyDescent="0.15">
      <c r="A25" s="277"/>
      <c r="B25" s="278"/>
      <c r="C25" s="278"/>
      <c r="D25" s="272"/>
      <c r="E25" s="272"/>
      <c r="F25" s="272"/>
      <c r="G25" s="112" t="s">
        <v>776</v>
      </c>
      <c r="H25" s="175" t="str" cm="1">
        <f t="array" ref="H25">IF(G25="Khách hàng",TRANSPOSE(_xlfn._xlws.SORT(Table_KhachHang[Mã KH])),
TRANSPOSE(_xlfn._xlws.SORT(_xlfn._xlws.FILTER(Table_NhaCungCap[Mã Đối tác],Table_NhaCungCap[Loại đối tác]=Sheet_ThuChiKD!G25,""))))</f>
        <v/>
      </c>
      <c r="I25" s="272"/>
      <c r="J25" s="272"/>
      <c r="K25" s="278"/>
      <c r="L25" s="278"/>
      <c r="M25" s="278"/>
      <c r="N25" s="272"/>
      <c r="O25" s="272"/>
      <c r="P25" s="272"/>
    </row>
    <row r="26" spans="1:16" s="112" customFormat="1" ht="18" hidden="1" customHeight="1" outlineLevel="1" x14ac:dyDescent="0.15">
      <c r="A26" s="277"/>
      <c r="B26" s="278"/>
      <c r="C26" s="278"/>
      <c r="D26" s="272"/>
      <c r="E26" s="272"/>
      <c r="F26" s="272"/>
      <c r="G26" s="112" t="str">
        <f>Sheet_DoiTac!D13</f>
        <v>Tất cả</v>
      </c>
      <c r="H26" s="175" t="str" cm="1">
        <f t="array" ref="H26">IF(G26="Khách hàng",TRANSPOSE(_xlfn._xlws.SORT(Table_KhachHang[Mã KH])),
TRANSPOSE(_xlfn._xlws.SORT(_xlfn._xlws.FILTER(Table_NhaCungCap[Mã Đối tác],Table_NhaCungCap[Loại đối tác]=Sheet_ThuChiKD!G26,""))))</f>
        <v/>
      </c>
      <c r="I26" s="272"/>
      <c r="J26" s="272"/>
      <c r="K26" s="278"/>
      <c r="L26" s="278"/>
      <c r="M26" s="278"/>
      <c r="N26" s="272"/>
      <c r="O26" s="272"/>
      <c r="P26" s="272"/>
    </row>
    <row r="27" spans="1:16" ht="18" customHeight="1" collapsed="1" x14ac:dyDescent="0.3">
      <c r="A27" s="276"/>
      <c r="B27" s="250">
        <v>1</v>
      </c>
      <c r="C27" s="51" t="str">
        <f>CONCATENATE(E27,"-",H27,"-",MOD(YEAR(D27),100)*10000+MONTH(D27)*100+DAY(D27),"-",B27)</f>
        <v>--100-1</v>
      </c>
      <c r="D27" s="396"/>
      <c r="E27" s="245"/>
      <c r="F27" s="245"/>
      <c r="G27" s="245"/>
      <c r="H27" s="245"/>
      <c r="I27" s="245"/>
      <c r="J27" s="394"/>
      <c r="K27" s="55">
        <f>IF(E27 = "THU",
VLOOKUP(I27,Table_TaiKhoan[[#All],[Mã Tài khoản]:[Phí Thanh toán]],Sheet_TaiKhoan!$E$3-Sheet_TaiKhoan!$B$3+1,0),
0)</f>
        <v>0</v>
      </c>
      <c r="L27" s="48">
        <f>J27*K27</f>
        <v>0</v>
      </c>
      <c r="M27" s="48">
        <f>J27-L27</f>
        <v>0</v>
      </c>
      <c r="N27" s="247"/>
      <c r="O27" s="242"/>
      <c r="P27" s="242" t="str" cm="1">
        <f t="array" ref="P27">IF(G27="Khách hàng",TRANSPOSE(_xlfn._xlws.SORT(Table_KhachHang[Mã KH])),
IF(G27="NSNN", TRANSPOSE(_xlfn._xlws.SORT(Table_NopNS_NganSach[Loại thuế])),
TRANSPOSE(_xlfn._xlws.SORT(_xlfn._xlws.FILTER(Table_NhaCungCap[Mã Đối tác],Table_NhaCungCap[Loại đối tác]=Sheet_ThuChiKD!G27,"")))))</f>
        <v/>
      </c>
    </row>
    <row r="28" spans="1:16" ht="18" customHeight="1" x14ac:dyDescent="0.3">
      <c r="A28" s="276"/>
      <c r="B28" s="39" t="s">
        <v>643</v>
      </c>
      <c r="C28" s="46" t="s">
        <v>777</v>
      </c>
      <c r="D28" s="46" t="s">
        <v>778</v>
      </c>
      <c r="E28" s="46" t="s">
        <v>779</v>
      </c>
      <c r="F28" s="46" t="s">
        <v>775</v>
      </c>
      <c r="G28" s="46" t="s">
        <v>561</v>
      </c>
      <c r="H28" s="46" t="s">
        <v>556</v>
      </c>
      <c r="I28" s="46" t="s">
        <v>780</v>
      </c>
      <c r="J28" s="46" t="s">
        <v>781</v>
      </c>
      <c r="K28" s="46" t="s">
        <v>782</v>
      </c>
      <c r="L28" s="46" t="s">
        <v>783</v>
      </c>
      <c r="M28" s="46" t="s">
        <v>784</v>
      </c>
      <c r="N28" s="7" t="s">
        <v>883</v>
      </c>
      <c r="O28" s="242"/>
      <c r="P28" s="242"/>
    </row>
    <row r="29" spans="1:16" ht="18" customHeight="1" x14ac:dyDescent="0.3">
      <c r="A29" s="276"/>
      <c r="B29" s="546"/>
      <c r="C29" s="51" t="str">
        <f t="shared" ref="C29:C46" si="1">CONCATENATE(E29,"-",H29,"-",MOD(YEAR(D29),100)*10000+MONTH(D29)*100+DAY(D29),"-",B29)</f>
        <v>CHI-NCC1-250331-</v>
      </c>
      <c r="D29" s="395">
        <v>45747</v>
      </c>
      <c r="E29" s="245" t="s">
        <v>1237</v>
      </c>
      <c r="F29" s="245" t="s">
        <v>409</v>
      </c>
      <c r="G29" s="245"/>
      <c r="H29" s="245" t="s">
        <v>1168</v>
      </c>
      <c r="I29" s="245" t="s">
        <v>1236</v>
      </c>
      <c r="J29" s="408">
        <v>46000000</v>
      </c>
      <c r="K29" s="65">
        <f>IF(Table_ThuChiKD[[#This Row],[Loại GD]] = "THU",
VLOOKUP(Table_ThuChiKD[[#This Row],[TK GD]],Table_TaiKhoan[],COUNTA(Table_TaiKhoan[[#Headers],[Mã Tài khoản]:[Phí Thanh toán]]),0),
0)</f>
        <v>0</v>
      </c>
      <c r="L29" s="48">
        <f t="shared" ref="L29:L45" si="2">J29*K29</f>
        <v>0</v>
      </c>
      <c r="M29" s="48">
        <f>Table_ThuChiKD[[#This Row],[Giá trị GD]]-Table_ThuChiKD[[#This Row],[Phí GD]]</f>
        <v>46000000</v>
      </c>
      <c r="N29" s="247"/>
      <c r="O29" s="242"/>
      <c r="P29" s="242"/>
    </row>
    <row r="30" spans="1:16" ht="18" customHeight="1" x14ac:dyDescent="0.3">
      <c r="B30" s="546"/>
      <c r="C30" s="51" t="str">
        <f t="shared" si="1"/>
        <v>CHI-NCC2-250331-</v>
      </c>
      <c r="D30" s="395">
        <v>45747</v>
      </c>
      <c r="E30" s="245" t="s">
        <v>1237</v>
      </c>
      <c r="F30" s="245" t="s">
        <v>409</v>
      </c>
      <c r="G30" s="245"/>
      <c r="H30" s="245" t="s">
        <v>1169</v>
      </c>
      <c r="I30" s="245" t="s">
        <v>1236</v>
      </c>
      <c r="J30" s="408">
        <v>32000000</v>
      </c>
      <c r="K30" s="65">
        <f>IF(Table_ThuChiKD[[#This Row],[Loại GD]] = "THU",
VLOOKUP(Table_ThuChiKD[[#This Row],[TK GD]],Table_TaiKhoan[],COUNTA(Table_TaiKhoan[[#Headers],[Mã Tài khoản]:[Phí Thanh toán]]),0),
0)</f>
        <v>0</v>
      </c>
      <c r="L30" s="48">
        <f t="shared" si="2"/>
        <v>0</v>
      </c>
      <c r="M30" s="48">
        <f>Table_ThuChiKD[[#This Row],[Giá trị GD]]-Table_ThuChiKD[[#This Row],[Phí GD]]</f>
        <v>32000000</v>
      </c>
      <c r="N30" s="247"/>
    </row>
    <row r="31" spans="1:16" ht="18" customHeight="1" x14ac:dyDescent="0.3">
      <c r="B31" s="546"/>
      <c r="C31" s="51" t="str">
        <f t="shared" si="1"/>
        <v>CHI-NCC3-250331-</v>
      </c>
      <c r="D31" s="395">
        <v>45747</v>
      </c>
      <c r="E31" s="245" t="s">
        <v>1237</v>
      </c>
      <c r="F31" s="245" t="s">
        <v>409</v>
      </c>
      <c r="G31" s="245"/>
      <c r="H31" s="245" t="s">
        <v>1170</v>
      </c>
      <c r="I31" s="245" t="s">
        <v>1236</v>
      </c>
      <c r="J31" s="408">
        <v>1000000</v>
      </c>
      <c r="K31" s="65">
        <f>IF(Table_ThuChiKD[[#This Row],[Loại GD]] = "THU",
VLOOKUP(Table_ThuChiKD[[#This Row],[TK GD]],Table_TaiKhoan[],COUNTA(Table_TaiKhoan[[#Headers],[Mã Tài khoản]:[Phí Thanh toán]]),0),
0)</f>
        <v>0</v>
      </c>
      <c r="L31" s="48">
        <f t="shared" si="2"/>
        <v>0</v>
      </c>
      <c r="M31" s="48">
        <f>Table_ThuChiKD[[#This Row],[Giá trị GD]]-Table_ThuChiKD[[#This Row],[Phí GD]]</f>
        <v>1000000</v>
      </c>
      <c r="N31" s="247"/>
    </row>
    <row r="32" spans="1:16" ht="18" customHeight="1" x14ac:dyDescent="0.3">
      <c r="B32" s="546"/>
      <c r="C32" s="51" t="str">
        <f t="shared" si="1"/>
        <v>CHI-NCC1-250430-</v>
      </c>
      <c r="D32" s="395">
        <v>45777</v>
      </c>
      <c r="E32" s="245" t="s">
        <v>1237</v>
      </c>
      <c r="F32" s="245" t="s">
        <v>409</v>
      </c>
      <c r="G32" s="245"/>
      <c r="H32" s="245" t="s">
        <v>1168</v>
      </c>
      <c r="I32" s="245" t="s">
        <v>1236</v>
      </c>
      <c r="J32" s="408">
        <v>2000000</v>
      </c>
      <c r="K32" s="65">
        <f>IF(Table_ThuChiKD[[#This Row],[Loại GD]] = "THU",
VLOOKUP(Table_ThuChiKD[[#This Row],[TK GD]],Table_TaiKhoan[],COUNTA(Table_TaiKhoan[[#Headers],[Mã Tài khoản]:[Phí Thanh toán]]),0),
0)</f>
        <v>0</v>
      </c>
      <c r="L32" s="48">
        <f t="shared" si="2"/>
        <v>0</v>
      </c>
      <c r="M32" s="48">
        <f>Table_ThuChiKD[[#This Row],[Giá trị GD]]-Table_ThuChiKD[[#This Row],[Phí GD]]</f>
        <v>2000000</v>
      </c>
      <c r="N32" s="247"/>
    </row>
    <row r="33" spans="2:14" ht="18" customHeight="1" x14ac:dyDescent="0.3">
      <c r="B33" s="546"/>
      <c r="C33" s="51" t="str">
        <f t="shared" si="1"/>
        <v>CHI-NCC2-250430-</v>
      </c>
      <c r="D33" s="395">
        <v>45777</v>
      </c>
      <c r="E33" s="245" t="s">
        <v>1237</v>
      </c>
      <c r="F33" s="245" t="s">
        <v>409</v>
      </c>
      <c r="G33" s="245"/>
      <c r="H33" s="245" t="s">
        <v>1169</v>
      </c>
      <c r="I33" s="245" t="s">
        <v>1236</v>
      </c>
      <c r="J33" s="408">
        <v>4000000</v>
      </c>
      <c r="K33" s="65">
        <f>IF(Table_ThuChiKD[[#This Row],[Loại GD]] = "THU",
VLOOKUP(Table_ThuChiKD[[#This Row],[TK GD]],Table_TaiKhoan[],COUNTA(Table_TaiKhoan[[#Headers],[Mã Tài khoản]:[Phí Thanh toán]]),0),
0)</f>
        <v>0</v>
      </c>
      <c r="L33" s="48">
        <f t="shared" si="2"/>
        <v>0</v>
      </c>
      <c r="M33" s="48">
        <f>Table_ThuChiKD[[#This Row],[Giá trị GD]]-Table_ThuChiKD[[#This Row],[Phí GD]]</f>
        <v>4000000</v>
      </c>
      <c r="N33" s="247"/>
    </row>
    <row r="34" spans="2:14" ht="18" customHeight="1" x14ac:dyDescent="0.3">
      <c r="B34" s="546"/>
      <c r="C34" s="51" t="str">
        <f t="shared" si="1"/>
        <v>CHI-NCC3-250430-</v>
      </c>
      <c r="D34" s="395">
        <v>45777</v>
      </c>
      <c r="E34" s="245" t="s">
        <v>1237</v>
      </c>
      <c r="F34" s="245" t="s">
        <v>409</v>
      </c>
      <c r="G34" s="245"/>
      <c r="H34" s="245" t="s">
        <v>1170</v>
      </c>
      <c r="I34" s="245" t="s">
        <v>1236</v>
      </c>
      <c r="J34" s="408">
        <v>1000000</v>
      </c>
      <c r="K34" s="65">
        <f>IF(Table_ThuChiKD[[#This Row],[Loại GD]] = "THU",
VLOOKUP(Table_ThuChiKD[[#This Row],[TK GD]],Table_TaiKhoan[],COUNTA(Table_TaiKhoan[[#Headers],[Mã Tài khoản]:[Phí Thanh toán]]),0),
0)</f>
        <v>0</v>
      </c>
      <c r="L34" s="48">
        <f t="shared" si="2"/>
        <v>0</v>
      </c>
      <c r="M34" s="48">
        <f>Table_ThuChiKD[[#This Row],[Giá trị GD]]-Table_ThuChiKD[[#This Row],[Phí GD]]</f>
        <v>1000000</v>
      </c>
      <c r="N34" s="247"/>
    </row>
    <row r="35" spans="2:14" ht="18" customHeight="1" x14ac:dyDescent="0.3">
      <c r="B35" s="546"/>
      <c r="C35" s="51" t="str">
        <f t="shared" si="1"/>
        <v>CHI-NCC1-250531-</v>
      </c>
      <c r="D35" s="395">
        <v>45808</v>
      </c>
      <c r="E35" s="245" t="s">
        <v>1237</v>
      </c>
      <c r="F35" s="245" t="s">
        <v>409</v>
      </c>
      <c r="G35" s="245"/>
      <c r="H35" s="245" t="s">
        <v>1168</v>
      </c>
      <c r="I35" s="245" t="s">
        <v>1236</v>
      </c>
      <c r="J35" s="408">
        <v>6000000</v>
      </c>
      <c r="K35" s="65">
        <f>IF(Table_ThuChiKD[[#This Row],[Loại GD]] = "THU",
VLOOKUP(Table_ThuChiKD[[#This Row],[TK GD]],Table_TaiKhoan[],COUNTA(Table_TaiKhoan[[#Headers],[Mã Tài khoản]:[Phí Thanh toán]]),0),
0)</f>
        <v>0</v>
      </c>
      <c r="L35" s="48">
        <f t="shared" si="2"/>
        <v>0</v>
      </c>
      <c r="M35" s="48">
        <f>Table_ThuChiKD[[#This Row],[Giá trị GD]]-Table_ThuChiKD[[#This Row],[Phí GD]]</f>
        <v>6000000</v>
      </c>
      <c r="N35" s="247"/>
    </row>
    <row r="36" spans="2:14" ht="18" customHeight="1" x14ac:dyDescent="0.3">
      <c r="B36" s="546"/>
      <c r="C36" s="51" t="str">
        <f t="shared" si="1"/>
        <v>CHI-NCC2-250531-</v>
      </c>
      <c r="D36" s="395">
        <v>45808</v>
      </c>
      <c r="E36" s="245" t="s">
        <v>1237</v>
      </c>
      <c r="F36" s="245" t="s">
        <v>409</v>
      </c>
      <c r="G36" s="245"/>
      <c r="H36" s="245" t="s">
        <v>1169</v>
      </c>
      <c r="I36" s="245" t="s">
        <v>1236</v>
      </c>
      <c r="J36" s="408">
        <v>13000000</v>
      </c>
      <c r="K36" s="65">
        <f>IF(Table_ThuChiKD[[#This Row],[Loại GD]] = "THU",
VLOOKUP(Table_ThuChiKD[[#This Row],[TK GD]],Table_TaiKhoan[],COUNTA(Table_TaiKhoan[[#Headers],[Mã Tài khoản]:[Phí Thanh toán]]),0),
0)</f>
        <v>0</v>
      </c>
      <c r="L36" s="48">
        <f t="shared" si="2"/>
        <v>0</v>
      </c>
      <c r="M36" s="48">
        <f>Table_ThuChiKD[[#This Row],[Giá trị GD]]-Table_ThuChiKD[[#This Row],[Phí GD]]</f>
        <v>13000000</v>
      </c>
      <c r="N36" s="247"/>
    </row>
    <row r="37" spans="2:14" ht="18" customHeight="1" x14ac:dyDescent="0.3">
      <c r="B37" s="546"/>
      <c r="C37" s="51" t="str">
        <f t="shared" si="1"/>
        <v>CHI-NCC3-250531-</v>
      </c>
      <c r="D37" s="395">
        <v>45808</v>
      </c>
      <c r="E37" s="245" t="s">
        <v>1237</v>
      </c>
      <c r="F37" s="245" t="s">
        <v>409</v>
      </c>
      <c r="G37" s="245"/>
      <c r="H37" s="245" t="s">
        <v>1170</v>
      </c>
      <c r="I37" s="245" t="s">
        <v>1236</v>
      </c>
      <c r="J37" s="408">
        <v>2000000</v>
      </c>
      <c r="K37" s="65">
        <f>IF(Table_ThuChiKD[[#This Row],[Loại GD]] = "THU",
VLOOKUP(Table_ThuChiKD[[#This Row],[TK GD]],Table_TaiKhoan[],COUNTA(Table_TaiKhoan[[#Headers],[Mã Tài khoản]:[Phí Thanh toán]]),0),
0)</f>
        <v>0</v>
      </c>
      <c r="L37" s="48">
        <f t="shared" si="2"/>
        <v>0</v>
      </c>
      <c r="M37" s="48">
        <f>Table_ThuChiKD[[#This Row],[Giá trị GD]]-Table_ThuChiKD[[#This Row],[Phí GD]]</f>
        <v>2000000</v>
      </c>
      <c r="N37" s="247"/>
    </row>
    <row r="38" spans="2:14" ht="18" customHeight="1" x14ac:dyDescent="0.3">
      <c r="B38" s="546"/>
      <c r="C38" s="51" t="str">
        <f t="shared" si="1"/>
        <v>THU-KH1-250331-</v>
      </c>
      <c r="D38" s="395">
        <v>45747</v>
      </c>
      <c r="E38" s="245" t="s">
        <v>1235</v>
      </c>
      <c r="F38" s="245" t="s">
        <v>407</v>
      </c>
      <c r="G38" s="245"/>
      <c r="H38" s="245" t="s">
        <v>1205</v>
      </c>
      <c r="I38" s="245" t="s">
        <v>1236</v>
      </c>
      <c r="J38" s="408">
        <v>4000000</v>
      </c>
      <c r="K38" s="65">
        <f>IF(Table_ThuChiKD[[#This Row],[Loại GD]] = "THU",
VLOOKUP(Table_ThuChiKD[[#This Row],[TK GD]],Table_TaiKhoan[],COUNTA(Table_TaiKhoan[[#Headers],[Mã Tài khoản]:[Phí Thanh toán]]),0),
0)</f>
        <v>0</v>
      </c>
      <c r="L38" s="48">
        <f t="shared" si="2"/>
        <v>0</v>
      </c>
      <c r="M38" s="48">
        <f>Table_ThuChiKD[[#This Row],[Giá trị GD]]-Table_ThuChiKD[[#This Row],[Phí GD]]</f>
        <v>4000000</v>
      </c>
      <c r="N38" s="247"/>
    </row>
    <row r="39" spans="2:14" ht="18" customHeight="1" x14ac:dyDescent="0.3">
      <c r="B39" s="546"/>
      <c r="C39" s="51" t="str">
        <f t="shared" si="1"/>
        <v>THU-KH2-250331-</v>
      </c>
      <c r="D39" s="395">
        <v>45747</v>
      </c>
      <c r="E39" s="245" t="s">
        <v>1235</v>
      </c>
      <c r="F39" s="245" t="s">
        <v>407</v>
      </c>
      <c r="G39" s="245"/>
      <c r="H39" s="245" t="s">
        <v>1206</v>
      </c>
      <c r="I39" s="245" t="s">
        <v>1236</v>
      </c>
      <c r="J39" s="408">
        <v>43000000</v>
      </c>
      <c r="K39" s="65">
        <f>IF(Table_ThuChiKD[[#This Row],[Loại GD]] = "THU",
VLOOKUP(Table_ThuChiKD[[#This Row],[TK GD]],Table_TaiKhoan[],COUNTA(Table_TaiKhoan[[#Headers],[Mã Tài khoản]:[Phí Thanh toán]]),0),
0)</f>
        <v>0</v>
      </c>
      <c r="L39" s="48">
        <f t="shared" si="2"/>
        <v>0</v>
      </c>
      <c r="M39" s="48">
        <f>Table_ThuChiKD[[#This Row],[Giá trị GD]]-Table_ThuChiKD[[#This Row],[Phí GD]]</f>
        <v>43000000</v>
      </c>
      <c r="N39" s="247"/>
    </row>
    <row r="40" spans="2:14" ht="18" customHeight="1" x14ac:dyDescent="0.3">
      <c r="B40" s="546"/>
      <c r="C40" s="51" t="str">
        <f t="shared" si="1"/>
        <v>THU-KH3-250331-</v>
      </c>
      <c r="D40" s="395">
        <v>45747</v>
      </c>
      <c r="E40" s="245" t="s">
        <v>1235</v>
      </c>
      <c r="F40" s="245" t="s">
        <v>407</v>
      </c>
      <c r="G40" s="245"/>
      <c r="H40" s="245" t="s">
        <v>1207</v>
      </c>
      <c r="I40" s="245" t="s">
        <v>1236</v>
      </c>
      <c r="J40" s="408">
        <v>3000000</v>
      </c>
      <c r="K40" s="65">
        <f>IF(Table_ThuChiKD[[#This Row],[Loại GD]] = "THU",
VLOOKUP(Table_ThuChiKD[[#This Row],[TK GD]],Table_TaiKhoan[],COUNTA(Table_TaiKhoan[[#Headers],[Mã Tài khoản]:[Phí Thanh toán]]),0),
0)</f>
        <v>0</v>
      </c>
      <c r="L40" s="48">
        <f t="shared" si="2"/>
        <v>0</v>
      </c>
      <c r="M40" s="48">
        <f>Table_ThuChiKD[[#This Row],[Giá trị GD]]-Table_ThuChiKD[[#This Row],[Phí GD]]</f>
        <v>3000000</v>
      </c>
      <c r="N40" s="247"/>
    </row>
    <row r="41" spans="2:14" ht="18" customHeight="1" x14ac:dyDescent="0.3">
      <c r="B41" s="546"/>
      <c r="C41" s="51" t="str">
        <f t="shared" si="1"/>
        <v>THU-KH1-250430-</v>
      </c>
      <c r="D41" s="395">
        <v>45777</v>
      </c>
      <c r="E41" s="245" t="s">
        <v>1235</v>
      </c>
      <c r="F41" s="245" t="s">
        <v>407</v>
      </c>
      <c r="G41" s="245"/>
      <c r="H41" s="245" t="s">
        <v>1205</v>
      </c>
      <c r="I41" s="245" t="s">
        <v>1236</v>
      </c>
      <c r="J41" s="408">
        <v>11000000</v>
      </c>
      <c r="K41" s="65">
        <f>IF(Table_ThuChiKD[[#This Row],[Loại GD]] = "THU",
VLOOKUP(Table_ThuChiKD[[#This Row],[TK GD]],Table_TaiKhoan[],COUNTA(Table_TaiKhoan[[#Headers],[Mã Tài khoản]:[Phí Thanh toán]]),0),
0)</f>
        <v>0</v>
      </c>
      <c r="L41" s="48">
        <f t="shared" si="2"/>
        <v>0</v>
      </c>
      <c r="M41" s="48">
        <f>Table_ThuChiKD[[#This Row],[Giá trị GD]]-Table_ThuChiKD[[#This Row],[Phí GD]]</f>
        <v>11000000</v>
      </c>
      <c r="N41" s="247"/>
    </row>
    <row r="42" spans="2:14" ht="18" customHeight="1" x14ac:dyDescent="0.3">
      <c r="B42" s="546"/>
      <c r="C42" s="51" t="str">
        <f t="shared" si="1"/>
        <v>THU-KH2-250430-</v>
      </c>
      <c r="D42" s="395">
        <v>45777</v>
      </c>
      <c r="E42" s="245" t="s">
        <v>1235</v>
      </c>
      <c r="F42" s="245" t="s">
        <v>407</v>
      </c>
      <c r="G42" s="245"/>
      <c r="H42" s="245" t="s">
        <v>1206</v>
      </c>
      <c r="I42" s="245" t="s">
        <v>1236</v>
      </c>
      <c r="J42" s="408">
        <v>23000000</v>
      </c>
      <c r="K42" s="65">
        <f>IF(Table_ThuChiKD[[#This Row],[Loại GD]] = "THU",
VLOOKUP(Table_ThuChiKD[[#This Row],[TK GD]],Table_TaiKhoan[],COUNTA(Table_TaiKhoan[[#Headers],[Mã Tài khoản]:[Phí Thanh toán]]),0),
0)</f>
        <v>0</v>
      </c>
      <c r="L42" s="48">
        <f t="shared" si="2"/>
        <v>0</v>
      </c>
      <c r="M42" s="48">
        <f>Table_ThuChiKD[[#This Row],[Giá trị GD]]-Table_ThuChiKD[[#This Row],[Phí GD]]</f>
        <v>23000000</v>
      </c>
      <c r="N42" s="247"/>
    </row>
    <row r="43" spans="2:14" ht="18" customHeight="1" x14ac:dyDescent="0.3">
      <c r="B43" s="546"/>
      <c r="C43" s="51" t="str">
        <f t="shared" si="1"/>
        <v>THU-KH3-250430-</v>
      </c>
      <c r="D43" s="395">
        <v>45777</v>
      </c>
      <c r="E43" s="245" t="s">
        <v>1235</v>
      </c>
      <c r="F43" s="245" t="s">
        <v>407</v>
      </c>
      <c r="G43" s="245"/>
      <c r="H43" s="245" t="s">
        <v>1207</v>
      </c>
      <c r="I43" s="245" t="s">
        <v>1236</v>
      </c>
      <c r="J43" s="408">
        <v>37000000</v>
      </c>
      <c r="K43" s="65">
        <f>IF(Table_ThuChiKD[[#This Row],[Loại GD]] = "THU",
VLOOKUP(Table_ThuChiKD[[#This Row],[TK GD]],Table_TaiKhoan[],COUNTA(Table_TaiKhoan[[#Headers],[Mã Tài khoản]:[Phí Thanh toán]]),0),
0)</f>
        <v>0</v>
      </c>
      <c r="L43" s="48">
        <f t="shared" si="2"/>
        <v>0</v>
      </c>
      <c r="M43" s="48">
        <f>Table_ThuChiKD[[#This Row],[Giá trị GD]]-Table_ThuChiKD[[#This Row],[Phí GD]]</f>
        <v>37000000</v>
      </c>
      <c r="N43" s="247"/>
    </row>
    <row r="44" spans="2:14" ht="18" customHeight="1" x14ac:dyDescent="0.3">
      <c r="B44" s="546"/>
      <c r="C44" s="51" t="str">
        <f t="shared" si="1"/>
        <v>THU-KH1-250531-</v>
      </c>
      <c r="D44" s="395">
        <v>45808</v>
      </c>
      <c r="E44" s="245" t="s">
        <v>1235</v>
      </c>
      <c r="F44" s="245" t="s">
        <v>407</v>
      </c>
      <c r="G44" s="245"/>
      <c r="H44" s="245" t="s">
        <v>1205</v>
      </c>
      <c r="I44" s="245" t="s">
        <v>1236</v>
      </c>
      <c r="J44" s="408">
        <v>40000000</v>
      </c>
      <c r="K44" s="65">
        <f>IF(Table_ThuChiKD[[#This Row],[Loại GD]] = "THU",
VLOOKUP(Table_ThuChiKD[[#This Row],[TK GD]],Table_TaiKhoan[],COUNTA(Table_TaiKhoan[[#Headers],[Mã Tài khoản]:[Phí Thanh toán]]),0),
0)</f>
        <v>0</v>
      </c>
      <c r="L44" s="48">
        <f t="shared" si="2"/>
        <v>0</v>
      </c>
      <c r="M44" s="48">
        <f>Table_ThuChiKD[[#This Row],[Giá trị GD]]-Table_ThuChiKD[[#This Row],[Phí GD]]</f>
        <v>40000000</v>
      </c>
      <c r="N44" s="247"/>
    </row>
    <row r="45" spans="2:14" ht="18" customHeight="1" x14ac:dyDescent="0.3">
      <c r="B45" s="546"/>
      <c r="C45" s="51" t="str">
        <f t="shared" si="1"/>
        <v>THU-KH2-250531-</v>
      </c>
      <c r="D45" s="395">
        <v>45808</v>
      </c>
      <c r="E45" s="245" t="s">
        <v>1235</v>
      </c>
      <c r="F45" s="245" t="s">
        <v>407</v>
      </c>
      <c r="G45" s="245"/>
      <c r="H45" s="245" t="s">
        <v>1206</v>
      </c>
      <c r="I45" s="245" t="s">
        <v>1236</v>
      </c>
      <c r="J45" s="408">
        <v>5000000</v>
      </c>
      <c r="K45" s="65">
        <f>IF(Table_ThuChiKD[[#This Row],[Loại GD]] = "THU",
VLOOKUP(Table_ThuChiKD[[#This Row],[TK GD]],Table_TaiKhoan[],COUNTA(Table_TaiKhoan[[#Headers],[Mã Tài khoản]:[Phí Thanh toán]]),0),
0)</f>
        <v>0</v>
      </c>
      <c r="L45" s="48">
        <f t="shared" si="2"/>
        <v>0</v>
      </c>
      <c r="M45" s="48">
        <f>Table_ThuChiKD[[#This Row],[Giá trị GD]]-Table_ThuChiKD[[#This Row],[Phí GD]]</f>
        <v>5000000</v>
      </c>
      <c r="N45" s="247"/>
    </row>
    <row r="46" spans="2:14" ht="18" customHeight="1" x14ac:dyDescent="0.3">
      <c r="B46" s="250">
        <v>1</v>
      </c>
      <c r="C46" s="51" t="str">
        <f t="shared" si="1"/>
        <v>THU-KH3-250531-1</v>
      </c>
      <c r="D46" s="395">
        <v>45808</v>
      </c>
      <c r="E46" s="245" t="s">
        <v>1235</v>
      </c>
      <c r="F46" s="245" t="s">
        <v>407</v>
      </c>
      <c r="G46" s="245"/>
      <c r="H46" s="245" t="s">
        <v>1207</v>
      </c>
      <c r="I46" s="245" t="s">
        <v>1236</v>
      </c>
      <c r="J46" s="15">
        <v>6000000</v>
      </c>
      <c r="K46" s="55">
        <f>IF(Table_ThuChiKD[[#This Row],[Loại GD]] = "THU",
VLOOKUP(Table_ThuChiKD[[#This Row],[TK GD]],Table_TaiKhoan[],COUNTA(Table_TaiKhoan[[#Headers],[Mã Tài khoản]:[Phí Thanh toán]]),0),
0)</f>
        <v>0</v>
      </c>
      <c r="L46" s="48">
        <f>Table_ThuChiKD[[#This Row],[Giá trị GD]]*Table_ThuChiKD[[#This Row],[Phí suất GD]]</f>
        <v>0</v>
      </c>
      <c r="M46" s="48">
        <f>Table_ThuChiKD[[#This Row],[Giá trị GD]]-Table_ThuChiKD[[#This Row],[Phí GD]]</f>
        <v>6000000</v>
      </c>
      <c r="N46" s="247"/>
    </row>
    <row r="47" spans="2:14" ht="18" customHeight="1" x14ac:dyDescent="0.15">
      <c r="B47" s="248"/>
      <c r="C47" s="248"/>
      <c r="D47" s="242"/>
      <c r="E47" s="242"/>
      <c r="F47" s="242"/>
      <c r="G47" s="242"/>
      <c r="H47" s="265"/>
      <c r="I47" s="242"/>
      <c r="J47" s="242"/>
      <c r="K47" s="248"/>
      <c r="L47" s="248"/>
      <c r="M47" s="248"/>
      <c r="N47" s="242"/>
    </row>
    <row r="48" spans="2:14" ht="18" customHeight="1" x14ac:dyDescent="0.15">
      <c r="B48" s="248"/>
      <c r="C48" s="248"/>
      <c r="D48" s="242"/>
      <c r="E48" s="242"/>
      <c r="F48" s="242"/>
      <c r="G48" s="242"/>
      <c r="H48" s="265"/>
      <c r="I48" s="242"/>
      <c r="J48" s="242"/>
      <c r="K48" s="248"/>
      <c r="L48" s="248"/>
      <c r="M48" s="248"/>
      <c r="N48" s="242"/>
    </row>
    <row r="49" spans="2:14" ht="18" customHeight="1" x14ac:dyDescent="0.15">
      <c r="B49" s="248"/>
      <c r="C49" s="248"/>
      <c r="D49" s="242"/>
      <c r="E49" s="242"/>
      <c r="F49" s="242"/>
      <c r="G49" s="242"/>
      <c r="H49" s="265"/>
      <c r="I49" s="242"/>
      <c r="J49" s="242"/>
      <c r="K49" s="248"/>
      <c r="L49" s="248"/>
      <c r="M49" s="248"/>
      <c r="N49" s="242"/>
    </row>
    <row r="50" spans="2:14" ht="18" customHeight="1" x14ac:dyDescent="0.15">
      <c r="B50" s="248"/>
      <c r="C50" s="248"/>
      <c r="D50" s="242"/>
      <c r="E50" s="242"/>
      <c r="F50" s="242"/>
      <c r="G50" s="242"/>
      <c r="H50" s="265"/>
      <c r="I50" s="242"/>
      <c r="J50" s="242"/>
      <c r="K50" s="248"/>
      <c r="L50" s="248"/>
      <c r="M50" s="248"/>
      <c r="N50" s="242"/>
    </row>
    <row r="51" spans="2:14" ht="18" customHeight="1" x14ac:dyDescent="0.15">
      <c r="B51" s="248"/>
      <c r="C51" s="248"/>
      <c r="D51" s="242"/>
      <c r="E51" s="242"/>
      <c r="F51" s="242"/>
      <c r="G51" s="242"/>
      <c r="H51" s="265"/>
      <c r="I51" s="242"/>
      <c r="J51" s="242"/>
      <c r="K51" s="248"/>
      <c r="L51" s="248"/>
      <c r="M51" s="248"/>
      <c r="N51" s="242"/>
    </row>
    <row r="52" spans="2:14" ht="18" customHeight="1" x14ac:dyDescent="0.15">
      <c r="B52" s="248"/>
      <c r="C52" s="248"/>
      <c r="D52" s="242"/>
      <c r="E52" s="242"/>
      <c r="F52" s="242"/>
      <c r="G52" s="242"/>
      <c r="H52" s="265"/>
      <c r="I52" s="242"/>
      <c r="J52" s="242"/>
      <c r="K52" s="248"/>
      <c r="L52" s="248"/>
      <c r="M52" s="248"/>
      <c r="N52" s="242"/>
    </row>
    <row r="53" spans="2:14" ht="18" customHeight="1" x14ac:dyDescent="0.15">
      <c r="B53" s="248"/>
      <c r="C53" s="248"/>
      <c r="D53" s="242"/>
      <c r="E53" s="242"/>
      <c r="F53" s="242"/>
      <c r="G53" s="242"/>
      <c r="H53" s="265"/>
      <c r="I53" s="242"/>
      <c r="J53" s="242"/>
      <c r="K53" s="248"/>
      <c r="L53" s="248"/>
      <c r="M53" s="248"/>
      <c r="N53" s="242"/>
    </row>
    <row r="54" spans="2:14" ht="18" customHeight="1" x14ac:dyDescent="0.15">
      <c r="B54" s="248"/>
      <c r="C54" s="248"/>
      <c r="D54" s="242"/>
      <c r="E54" s="242"/>
      <c r="F54" s="242"/>
      <c r="G54" s="242"/>
      <c r="H54" s="265"/>
      <c r="I54" s="242"/>
      <c r="J54" s="242"/>
      <c r="K54" s="248"/>
      <c r="L54" s="248"/>
      <c r="M54" s="248"/>
      <c r="N54" s="242"/>
    </row>
    <row r="55" spans="2:14" ht="18" customHeight="1" x14ac:dyDescent="0.15">
      <c r="B55" s="248"/>
      <c r="C55" s="248"/>
      <c r="D55" s="242"/>
      <c r="E55" s="242"/>
      <c r="F55" s="242"/>
      <c r="G55" s="242"/>
      <c r="H55" s="265"/>
      <c r="I55" s="242"/>
      <c r="J55" s="242"/>
      <c r="K55" s="248"/>
      <c r="L55" s="248"/>
      <c r="M55" s="248"/>
      <c r="N55" s="242"/>
    </row>
    <row r="56" spans="2:14" ht="18" customHeight="1" x14ac:dyDescent="0.15">
      <c r="B56" s="248"/>
      <c r="C56" s="248"/>
      <c r="D56" s="242"/>
      <c r="E56" s="242"/>
      <c r="F56" s="242"/>
      <c r="G56" s="242"/>
      <c r="H56" s="265"/>
      <c r="I56" s="242"/>
      <c r="J56" s="242"/>
      <c r="K56" s="248"/>
      <c r="L56" s="248"/>
      <c r="M56" s="248"/>
      <c r="N56" s="242"/>
    </row>
    <row r="57" spans="2:14" ht="18" customHeight="1" x14ac:dyDescent="0.15">
      <c r="B57" s="248"/>
      <c r="C57" s="248"/>
      <c r="D57" s="242"/>
      <c r="E57" s="242"/>
      <c r="F57" s="242"/>
      <c r="G57" s="242"/>
      <c r="H57" s="265"/>
      <c r="I57" s="242"/>
      <c r="J57" s="242"/>
      <c r="K57" s="248"/>
      <c r="L57" s="248"/>
      <c r="M57" s="248"/>
      <c r="N57" s="242"/>
    </row>
    <row r="58" spans="2:14" ht="18" customHeight="1" x14ac:dyDescent="0.15">
      <c r="B58" s="248"/>
      <c r="C58" s="248"/>
      <c r="D58" s="242"/>
      <c r="E58" s="242"/>
      <c r="F58" s="242"/>
      <c r="G58" s="242"/>
      <c r="H58" s="265"/>
      <c r="I58" s="242"/>
      <c r="J58" s="242"/>
      <c r="K58" s="248"/>
      <c r="L58" s="248"/>
      <c r="M58" s="248"/>
      <c r="N58" s="242"/>
    </row>
    <row r="59" spans="2:14" ht="18" customHeight="1" x14ac:dyDescent="0.15">
      <c r="B59" s="248"/>
      <c r="C59" s="248"/>
      <c r="D59" s="242"/>
      <c r="E59" s="242"/>
      <c r="F59" s="242"/>
      <c r="G59" s="242"/>
      <c r="H59" s="265"/>
      <c r="I59" s="242"/>
      <c r="J59" s="242"/>
      <c r="K59" s="248"/>
      <c r="L59" s="248"/>
      <c r="M59" s="248"/>
      <c r="N59" s="242"/>
    </row>
    <row r="60" spans="2:14" ht="18" customHeight="1" x14ac:dyDescent="0.15">
      <c r="B60" s="248"/>
      <c r="C60" s="248"/>
      <c r="D60" s="242"/>
      <c r="E60" s="242"/>
      <c r="F60" s="242"/>
      <c r="G60" s="242"/>
      <c r="H60" s="265"/>
      <c r="I60" s="242"/>
      <c r="J60" s="242"/>
      <c r="K60" s="248"/>
      <c r="L60" s="248"/>
      <c r="M60" s="248"/>
      <c r="N60" s="242"/>
    </row>
    <row r="61" spans="2:14" ht="18" customHeight="1" x14ac:dyDescent="0.15">
      <c r="B61" s="248"/>
      <c r="C61" s="248"/>
      <c r="D61" s="242"/>
      <c r="E61" s="242"/>
      <c r="F61" s="242"/>
      <c r="G61" s="242"/>
      <c r="H61" s="265"/>
      <c r="I61" s="242"/>
      <c r="J61" s="242"/>
      <c r="K61" s="248"/>
      <c r="L61" s="248"/>
      <c r="M61" s="248"/>
      <c r="N61" s="242"/>
    </row>
    <row r="62" spans="2:14" ht="18" customHeight="1" x14ac:dyDescent="0.15">
      <c r="B62" s="248"/>
      <c r="C62" s="248"/>
      <c r="D62" s="242"/>
      <c r="E62" s="242"/>
      <c r="F62" s="242"/>
      <c r="G62" s="242"/>
      <c r="H62" s="265"/>
      <c r="I62" s="242"/>
      <c r="J62" s="242"/>
      <c r="K62" s="248"/>
      <c r="L62" s="248"/>
      <c r="M62" s="248"/>
      <c r="N62" s="242"/>
    </row>
    <row r="63" spans="2:14" ht="18" customHeight="1" x14ac:dyDescent="0.15">
      <c r="B63" s="248"/>
      <c r="C63" s="248"/>
      <c r="D63" s="242"/>
      <c r="E63" s="242"/>
      <c r="F63" s="242"/>
      <c r="G63" s="242"/>
      <c r="H63" s="265"/>
      <c r="I63" s="242"/>
      <c r="J63" s="242"/>
      <c r="K63" s="248"/>
      <c r="L63" s="248"/>
      <c r="M63" s="248"/>
      <c r="N63" s="242"/>
    </row>
    <row r="64" spans="2:14" ht="18" customHeight="1" x14ac:dyDescent="0.15">
      <c r="B64" s="248"/>
      <c r="C64" s="248"/>
      <c r="D64" s="242"/>
      <c r="E64" s="242"/>
      <c r="F64" s="242"/>
      <c r="G64" s="242"/>
      <c r="H64" s="265"/>
      <c r="I64" s="242"/>
      <c r="J64" s="242"/>
      <c r="K64" s="248"/>
      <c r="L64" s="248"/>
      <c r="M64" s="248"/>
      <c r="N64" s="242"/>
    </row>
    <row r="65" spans="2:14" ht="18" customHeight="1" x14ac:dyDescent="0.15">
      <c r="B65" s="248"/>
      <c r="C65" s="248"/>
      <c r="D65" s="242"/>
      <c r="E65" s="242"/>
      <c r="F65" s="242"/>
      <c r="G65" s="242"/>
      <c r="H65" s="265"/>
      <c r="I65" s="242"/>
      <c r="J65" s="242"/>
      <c r="K65" s="248"/>
      <c r="L65" s="248"/>
      <c r="M65" s="248"/>
      <c r="N65" s="242"/>
    </row>
    <row r="66" spans="2:14" ht="18" customHeight="1" x14ac:dyDescent="0.15">
      <c r="B66" s="248"/>
      <c r="C66" s="248"/>
      <c r="D66" s="242"/>
      <c r="E66" s="242"/>
      <c r="F66" s="242"/>
      <c r="G66" s="242"/>
      <c r="H66" s="265"/>
      <c r="I66" s="242"/>
      <c r="J66" s="242"/>
      <c r="K66" s="248"/>
      <c r="L66" s="248"/>
      <c r="M66" s="248"/>
      <c r="N66" s="242"/>
    </row>
    <row r="67" spans="2:14" ht="18" customHeight="1" x14ac:dyDescent="0.15">
      <c r="B67" s="248"/>
      <c r="C67" s="248"/>
      <c r="D67" s="242"/>
      <c r="E67" s="242"/>
      <c r="F67" s="242"/>
      <c r="G67" s="242"/>
      <c r="H67" s="265"/>
      <c r="I67" s="242"/>
      <c r="J67" s="242"/>
      <c r="K67" s="248"/>
      <c r="L67" s="248"/>
      <c r="M67" s="248"/>
      <c r="N67" s="242"/>
    </row>
    <row r="68" spans="2:14" ht="18" customHeight="1" x14ac:dyDescent="0.15">
      <c r="B68" s="248"/>
      <c r="C68" s="248"/>
      <c r="D68" s="242"/>
      <c r="E68" s="242"/>
      <c r="F68" s="242"/>
      <c r="G68" s="242"/>
      <c r="H68" s="265"/>
      <c r="I68" s="242"/>
      <c r="J68" s="242"/>
      <c r="K68" s="248"/>
      <c r="L68" s="248"/>
      <c r="M68" s="248"/>
      <c r="N68" s="242"/>
    </row>
    <row r="69" spans="2:14" ht="18" customHeight="1" x14ac:dyDescent="0.15">
      <c r="B69" s="248"/>
      <c r="C69" s="248"/>
      <c r="D69" s="242"/>
      <c r="E69" s="242"/>
      <c r="F69" s="242"/>
      <c r="G69" s="242"/>
      <c r="H69" s="265"/>
      <c r="I69" s="242"/>
      <c r="J69" s="242"/>
      <c r="K69" s="248"/>
      <c r="L69" s="248"/>
      <c r="M69" s="248"/>
      <c r="N69" s="242"/>
    </row>
    <row r="70" spans="2:14" ht="18" customHeight="1" x14ac:dyDescent="0.15">
      <c r="B70" s="248"/>
      <c r="C70" s="248"/>
      <c r="D70" s="242"/>
      <c r="E70" s="242"/>
      <c r="F70" s="242"/>
      <c r="G70" s="242"/>
      <c r="H70" s="265"/>
      <c r="I70" s="242"/>
      <c r="J70" s="242"/>
      <c r="K70" s="248"/>
      <c r="L70" s="248"/>
      <c r="M70" s="248"/>
      <c r="N70" s="242"/>
    </row>
    <row r="71" spans="2:14" ht="18" customHeight="1" x14ac:dyDescent="0.15">
      <c r="B71" s="248"/>
      <c r="C71" s="248"/>
      <c r="D71" s="242"/>
      <c r="E71" s="242"/>
      <c r="F71" s="242"/>
      <c r="G71" s="242"/>
      <c r="H71" s="265"/>
      <c r="I71" s="242"/>
      <c r="J71" s="242"/>
      <c r="K71" s="248"/>
      <c r="L71" s="248"/>
      <c r="M71" s="248"/>
      <c r="N71" s="242"/>
    </row>
    <row r="72" spans="2:14" ht="18" customHeight="1" x14ac:dyDescent="0.15">
      <c r="B72" s="248"/>
      <c r="C72" s="248"/>
      <c r="D72" s="242"/>
      <c r="E72" s="242"/>
      <c r="F72" s="242"/>
      <c r="G72" s="242"/>
      <c r="H72" s="265"/>
      <c r="I72" s="242"/>
      <c r="J72" s="242"/>
      <c r="K72" s="248"/>
      <c r="L72" s="248"/>
      <c r="M72" s="248"/>
      <c r="N72" s="242"/>
    </row>
    <row r="73" spans="2:14" ht="18" customHeight="1" x14ac:dyDescent="0.15">
      <c r="B73" s="248"/>
      <c r="C73" s="248"/>
      <c r="D73" s="242"/>
      <c r="E73" s="242"/>
      <c r="F73" s="242"/>
      <c r="G73" s="242"/>
      <c r="H73" s="265"/>
      <c r="I73" s="242"/>
      <c r="J73" s="242"/>
      <c r="K73" s="248"/>
      <c r="L73" s="248"/>
      <c r="M73" s="248"/>
      <c r="N73" s="242"/>
    </row>
    <row r="74" spans="2:14" ht="18" customHeight="1" x14ac:dyDescent="0.15">
      <c r="B74" s="248"/>
      <c r="C74" s="248"/>
      <c r="D74" s="242"/>
      <c r="E74" s="242"/>
      <c r="F74" s="242"/>
      <c r="G74" s="242"/>
      <c r="H74" s="265"/>
      <c r="I74" s="242"/>
      <c r="J74" s="242"/>
      <c r="K74" s="248"/>
      <c r="L74" s="248"/>
      <c r="M74" s="248"/>
      <c r="N74" s="242"/>
    </row>
    <row r="75" spans="2:14" ht="18" customHeight="1" x14ac:dyDescent="0.15">
      <c r="B75" s="248"/>
      <c r="C75" s="248"/>
      <c r="D75" s="242"/>
      <c r="E75" s="242"/>
      <c r="F75" s="242"/>
      <c r="G75" s="242"/>
      <c r="H75" s="265"/>
      <c r="I75" s="242"/>
      <c r="J75" s="242"/>
      <c r="K75" s="248"/>
      <c r="L75" s="248"/>
      <c r="M75" s="248"/>
      <c r="N75" s="242"/>
    </row>
    <row r="76" spans="2:14" ht="18" customHeight="1" x14ac:dyDescent="0.15">
      <c r="B76" s="248"/>
      <c r="C76" s="248"/>
      <c r="D76" s="242"/>
      <c r="E76" s="242"/>
      <c r="F76" s="242"/>
      <c r="G76" s="242"/>
      <c r="H76" s="265"/>
      <c r="I76" s="242"/>
      <c r="J76" s="242"/>
      <c r="K76" s="248"/>
      <c r="L76" s="248"/>
      <c r="M76" s="248"/>
      <c r="N76" s="242"/>
    </row>
    <row r="77" spans="2:14" ht="18" customHeight="1" x14ac:dyDescent="0.15">
      <c r="B77" s="248"/>
      <c r="C77" s="248"/>
      <c r="D77" s="242"/>
      <c r="E77" s="242"/>
      <c r="F77" s="242"/>
      <c r="G77" s="242"/>
      <c r="H77" s="265"/>
      <c r="I77" s="242"/>
      <c r="J77" s="242"/>
      <c r="K77" s="248"/>
      <c r="L77" s="248"/>
      <c r="M77" s="248"/>
      <c r="N77" s="242"/>
    </row>
    <row r="78" spans="2:14" ht="18" customHeight="1" x14ac:dyDescent="0.15">
      <c r="B78" s="248"/>
      <c r="C78" s="248"/>
      <c r="D78" s="242"/>
      <c r="E78" s="242"/>
      <c r="F78" s="242"/>
      <c r="G78" s="242"/>
      <c r="H78" s="265"/>
      <c r="I78" s="242"/>
      <c r="J78" s="242"/>
      <c r="K78" s="248"/>
      <c r="L78" s="248"/>
      <c r="M78" s="248"/>
      <c r="N78" s="242"/>
    </row>
    <row r="79" spans="2:14" ht="18" customHeight="1" x14ac:dyDescent="0.15">
      <c r="B79" s="248"/>
      <c r="C79" s="248"/>
      <c r="D79" s="242"/>
      <c r="E79" s="242"/>
      <c r="F79" s="242"/>
      <c r="G79" s="242"/>
      <c r="H79" s="265"/>
      <c r="I79" s="242"/>
      <c r="J79" s="242"/>
      <c r="K79" s="248"/>
      <c r="L79" s="248"/>
      <c r="M79" s="248"/>
      <c r="N79" s="242"/>
    </row>
    <row r="80" spans="2:14" ht="18" customHeight="1" x14ac:dyDescent="0.15">
      <c r="B80" s="248"/>
      <c r="C80" s="248"/>
      <c r="D80" s="242"/>
      <c r="E80" s="242"/>
      <c r="F80" s="242"/>
      <c r="G80" s="242"/>
      <c r="H80" s="265"/>
      <c r="I80" s="242"/>
      <c r="J80" s="242"/>
      <c r="K80" s="248"/>
      <c r="L80" s="248"/>
      <c r="M80" s="248"/>
      <c r="N80" s="242"/>
    </row>
    <row r="81" spans="2:14" ht="18" customHeight="1" x14ac:dyDescent="0.15">
      <c r="B81" s="248"/>
      <c r="C81" s="248"/>
      <c r="D81" s="242"/>
      <c r="E81" s="242"/>
      <c r="F81" s="242"/>
      <c r="G81" s="242"/>
      <c r="H81" s="265"/>
      <c r="I81" s="242"/>
      <c r="J81" s="242"/>
      <c r="K81" s="248"/>
      <c r="L81" s="248"/>
      <c r="M81" s="248"/>
      <c r="N81" s="242"/>
    </row>
    <row r="82" spans="2:14" ht="18" customHeight="1" x14ac:dyDescent="0.15">
      <c r="B82" s="248"/>
      <c r="C82" s="248"/>
      <c r="D82" s="242"/>
      <c r="E82" s="242"/>
      <c r="F82" s="242"/>
      <c r="G82" s="242"/>
      <c r="H82" s="265"/>
      <c r="I82" s="242"/>
      <c r="J82" s="242"/>
      <c r="K82" s="248"/>
      <c r="L82" s="248"/>
      <c r="M82" s="248"/>
      <c r="N82" s="242"/>
    </row>
    <row r="83" spans="2:14" ht="18" customHeight="1" x14ac:dyDescent="0.15">
      <c r="B83" s="248"/>
      <c r="C83" s="248"/>
      <c r="D83" s="242"/>
      <c r="E83" s="242"/>
      <c r="F83" s="242"/>
      <c r="G83" s="242"/>
      <c r="H83" s="265"/>
      <c r="I83" s="242"/>
      <c r="J83" s="242"/>
      <c r="K83" s="248"/>
      <c r="L83" s="248"/>
      <c r="M83" s="248"/>
      <c r="N83" s="242"/>
    </row>
    <row r="84" spans="2:14" ht="18" customHeight="1" x14ac:dyDescent="0.15">
      <c r="B84" s="248"/>
      <c r="C84" s="248"/>
      <c r="D84" s="242"/>
      <c r="E84" s="242"/>
      <c r="F84" s="242"/>
      <c r="G84" s="242"/>
      <c r="H84" s="265"/>
      <c r="I84" s="242"/>
      <c r="J84" s="242"/>
      <c r="K84" s="248"/>
      <c r="L84" s="248"/>
      <c r="M84" s="248"/>
      <c r="N84" s="242"/>
    </row>
    <row r="85" spans="2:14" ht="18" customHeight="1" x14ac:dyDescent="0.15">
      <c r="B85" s="248"/>
      <c r="C85" s="248"/>
      <c r="D85" s="242"/>
      <c r="E85" s="242"/>
      <c r="F85" s="242"/>
      <c r="G85" s="242"/>
      <c r="H85" s="265"/>
      <c r="I85" s="242"/>
      <c r="J85" s="242"/>
      <c r="K85" s="248"/>
      <c r="L85" s="248"/>
      <c r="M85" s="248"/>
      <c r="N85" s="242"/>
    </row>
    <row r="86" spans="2:14" ht="18" customHeight="1" x14ac:dyDescent="0.15">
      <c r="B86" s="248"/>
      <c r="C86" s="248"/>
      <c r="D86" s="242"/>
      <c r="E86" s="242"/>
      <c r="F86" s="242"/>
      <c r="G86" s="242"/>
      <c r="H86" s="265"/>
      <c r="I86" s="242"/>
      <c r="J86" s="242"/>
      <c r="K86" s="248"/>
      <c r="L86" s="248"/>
      <c r="M86" s="248"/>
      <c r="N86" s="242"/>
    </row>
    <row r="87" spans="2:14" ht="18" customHeight="1" x14ac:dyDescent="0.15">
      <c r="B87" s="248"/>
      <c r="C87" s="248"/>
      <c r="D87" s="242"/>
      <c r="E87" s="242"/>
      <c r="F87" s="242"/>
      <c r="G87" s="242"/>
      <c r="H87" s="265"/>
      <c r="I87" s="242"/>
      <c r="J87" s="242"/>
      <c r="K87" s="248"/>
      <c r="L87" s="248"/>
      <c r="M87" s="248"/>
      <c r="N87" s="242"/>
    </row>
    <row r="88" spans="2:14" ht="18" customHeight="1" x14ac:dyDescent="0.15">
      <c r="B88" s="248"/>
      <c r="C88" s="248"/>
      <c r="D88" s="242"/>
      <c r="E88" s="242"/>
      <c r="F88" s="242"/>
      <c r="G88" s="242"/>
      <c r="H88" s="265"/>
      <c r="I88" s="242"/>
      <c r="J88" s="242"/>
      <c r="K88" s="248"/>
      <c r="L88" s="248"/>
      <c r="M88" s="248"/>
      <c r="N88" s="242"/>
    </row>
    <row r="89" spans="2:14" ht="18" customHeight="1" x14ac:dyDescent="0.15">
      <c r="B89" s="248"/>
      <c r="C89" s="248"/>
      <c r="D89" s="242"/>
      <c r="E89" s="242"/>
      <c r="F89" s="242"/>
      <c r="G89" s="242"/>
      <c r="H89" s="265"/>
      <c r="I89" s="242"/>
      <c r="J89" s="242"/>
      <c r="K89" s="248"/>
      <c r="L89" s="248"/>
      <c r="M89" s="248"/>
      <c r="N89" s="242"/>
    </row>
    <row r="90" spans="2:14" ht="18" customHeight="1" x14ac:dyDescent="0.15">
      <c r="B90" s="248"/>
      <c r="C90" s="248"/>
      <c r="D90" s="242"/>
      <c r="E90" s="242"/>
      <c r="F90" s="242"/>
      <c r="G90" s="242"/>
      <c r="H90" s="265"/>
      <c r="I90" s="242"/>
      <c r="J90" s="242"/>
      <c r="K90" s="248"/>
      <c r="L90" s="248"/>
      <c r="M90" s="248"/>
      <c r="N90" s="242"/>
    </row>
    <row r="91" spans="2:14" ht="18" customHeight="1" x14ac:dyDescent="0.15">
      <c r="B91" s="248"/>
      <c r="C91" s="248"/>
      <c r="D91" s="242"/>
      <c r="E91" s="242"/>
      <c r="F91" s="242"/>
      <c r="G91" s="242"/>
      <c r="H91" s="265"/>
      <c r="I91" s="242"/>
      <c r="J91" s="242"/>
      <c r="K91" s="248"/>
      <c r="L91" s="248"/>
      <c r="M91" s="248"/>
      <c r="N91" s="242"/>
    </row>
    <row r="92" spans="2:14" ht="18" customHeight="1" x14ac:dyDescent="0.15">
      <c r="B92" s="248"/>
      <c r="C92" s="248"/>
      <c r="D92" s="242"/>
      <c r="E92" s="242"/>
      <c r="F92" s="242"/>
      <c r="G92" s="242"/>
      <c r="H92" s="265"/>
      <c r="I92" s="242"/>
      <c r="J92" s="242"/>
      <c r="K92" s="248"/>
      <c r="L92" s="248"/>
      <c r="M92" s="248"/>
      <c r="N92" s="242"/>
    </row>
    <row r="93" spans="2:14" ht="18" customHeight="1" x14ac:dyDescent="0.15">
      <c r="B93" s="248"/>
      <c r="C93" s="248"/>
      <c r="D93" s="242"/>
      <c r="E93" s="242"/>
      <c r="F93" s="242"/>
      <c r="G93" s="242"/>
      <c r="H93" s="265"/>
      <c r="I93" s="242"/>
      <c r="J93" s="242"/>
      <c r="K93" s="248"/>
      <c r="L93" s="248"/>
      <c r="M93" s="248"/>
      <c r="N93" s="242"/>
    </row>
    <row r="94" spans="2:14" ht="18" customHeight="1" x14ac:dyDescent="0.15">
      <c r="B94" s="248"/>
      <c r="C94" s="248"/>
      <c r="D94" s="242"/>
      <c r="E94" s="242"/>
      <c r="F94" s="242"/>
      <c r="G94" s="242"/>
      <c r="H94" s="265"/>
      <c r="I94" s="242"/>
      <c r="J94" s="242"/>
      <c r="K94" s="248"/>
      <c r="L94" s="248"/>
      <c r="M94" s="248"/>
      <c r="N94" s="242"/>
    </row>
    <row r="95" spans="2:14" ht="18" customHeight="1" x14ac:dyDescent="0.15">
      <c r="B95" s="248"/>
      <c r="C95" s="248"/>
      <c r="D95" s="242"/>
      <c r="E95" s="242"/>
      <c r="F95" s="242"/>
      <c r="G95" s="242"/>
      <c r="H95" s="265"/>
      <c r="I95" s="242"/>
      <c r="J95" s="242"/>
      <c r="K95" s="248"/>
      <c r="L95" s="248"/>
      <c r="M95" s="248"/>
      <c r="N95" s="242"/>
    </row>
    <row r="96" spans="2:14" ht="18" customHeight="1" x14ac:dyDescent="0.15">
      <c r="B96" s="248"/>
      <c r="C96" s="248"/>
      <c r="D96" s="242"/>
      <c r="E96" s="242"/>
      <c r="F96" s="242"/>
      <c r="G96" s="242"/>
      <c r="H96" s="265"/>
      <c r="I96" s="242"/>
      <c r="J96" s="242"/>
      <c r="K96" s="248"/>
      <c r="L96" s="248"/>
      <c r="M96" s="248"/>
      <c r="N96" s="242"/>
    </row>
    <row r="97" spans="2:14" ht="18" customHeight="1" x14ac:dyDescent="0.15">
      <c r="B97" s="248"/>
      <c r="C97" s="248"/>
      <c r="D97" s="242"/>
      <c r="E97" s="242"/>
      <c r="F97" s="242"/>
      <c r="G97" s="242"/>
      <c r="H97" s="265"/>
      <c r="I97" s="242"/>
      <c r="J97" s="242"/>
      <c r="K97" s="248"/>
      <c r="L97" s="248"/>
      <c r="M97" s="248"/>
      <c r="N97" s="242"/>
    </row>
    <row r="98" spans="2:14" ht="18" customHeight="1" x14ac:dyDescent="0.15">
      <c r="B98" s="248"/>
      <c r="C98" s="248"/>
      <c r="D98" s="242"/>
      <c r="E98" s="242"/>
      <c r="F98" s="242"/>
      <c r="G98" s="242"/>
      <c r="H98" s="265"/>
      <c r="I98" s="242"/>
      <c r="J98" s="242"/>
      <c r="K98" s="248"/>
      <c r="L98" s="248"/>
      <c r="M98" s="248"/>
      <c r="N98" s="242"/>
    </row>
    <row r="99" spans="2:14" ht="18" customHeight="1" x14ac:dyDescent="0.15">
      <c r="B99" s="248"/>
      <c r="C99" s="248"/>
      <c r="D99" s="242"/>
      <c r="E99" s="242"/>
      <c r="F99" s="242"/>
      <c r="G99" s="242"/>
      <c r="H99" s="265"/>
      <c r="I99" s="242"/>
      <c r="J99" s="242"/>
      <c r="K99" s="248"/>
      <c r="L99" s="248"/>
      <c r="M99" s="248"/>
      <c r="N99" s="242"/>
    </row>
    <row r="100" spans="2:14" ht="18" customHeight="1" x14ac:dyDescent="0.15">
      <c r="B100" s="248"/>
      <c r="C100" s="248"/>
      <c r="D100" s="242"/>
      <c r="E100" s="242"/>
      <c r="F100" s="242"/>
      <c r="G100" s="242"/>
      <c r="H100" s="265"/>
      <c r="I100" s="242"/>
      <c r="J100" s="242"/>
      <c r="K100" s="248"/>
      <c r="L100" s="248"/>
      <c r="M100" s="248"/>
      <c r="N100" s="242"/>
    </row>
    <row r="101" spans="2:14" ht="18" customHeight="1" x14ac:dyDescent="0.15">
      <c r="B101" s="248"/>
      <c r="C101" s="248"/>
      <c r="D101" s="242"/>
      <c r="E101" s="242"/>
      <c r="F101" s="242"/>
      <c r="G101" s="242"/>
      <c r="H101" s="265"/>
      <c r="I101" s="242"/>
      <c r="J101" s="242"/>
      <c r="K101" s="248"/>
      <c r="L101" s="248"/>
      <c r="M101" s="248"/>
      <c r="N101" s="242"/>
    </row>
    <row r="102" spans="2:14" ht="18" customHeight="1" x14ac:dyDescent="0.15">
      <c r="B102" s="248"/>
      <c r="C102" s="248"/>
      <c r="D102" s="242"/>
      <c r="E102" s="242"/>
      <c r="F102" s="242"/>
      <c r="G102" s="242"/>
      <c r="H102" s="265"/>
      <c r="I102" s="242"/>
      <c r="J102" s="242"/>
      <c r="K102" s="248"/>
      <c r="L102" s="248"/>
      <c r="M102" s="248"/>
      <c r="N102" s="242"/>
    </row>
    <row r="103" spans="2:14" ht="18" customHeight="1" x14ac:dyDescent="0.15">
      <c r="B103" s="248"/>
      <c r="C103" s="248"/>
      <c r="D103" s="242"/>
      <c r="E103" s="242"/>
      <c r="F103" s="242"/>
      <c r="G103" s="242"/>
      <c r="H103" s="265"/>
      <c r="I103" s="242"/>
      <c r="J103" s="242"/>
      <c r="K103" s="248"/>
      <c r="L103" s="248"/>
      <c r="M103" s="248"/>
      <c r="N103" s="242"/>
    </row>
    <row r="104" spans="2:14" ht="18" customHeight="1" x14ac:dyDescent="0.15">
      <c r="B104" s="248"/>
      <c r="C104" s="248"/>
      <c r="D104" s="242"/>
      <c r="E104" s="242"/>
      <c r="F104" s="242"/>
      <c r="G104" s="242"/>
      <c r="H104" s="265"/>
      <c r="I104" s="242"/>
      <c r="J104" s="242"/>
      <c r="K104" s="248"/>
      <c r="L104" s="248"/>
      <c r="M104" s="248"/>
      <c r="N104" s="242"/>
    </row>
    <row r="105" spans="2:14" ht="18" customHeight="1" x14ac:dyDescent="0.15">
      <c r="B105" s="248"/>
      <c r="C105" s="248"/>
      <c r="D105" s="242"/>
      <c r="E105" s="242"/>
      <c r="F105" s="242"/>
      <c r="G105" s="242"/>
      <c r="H105" s="265"/>
      <c r="I105" s="242"/>
      <c r="J105" s="242"/>
      <c r="K105" s="248"/>
      <c r="L105" s="248"/>
      <c r="M105" s="248"/>
      <c r="N105" s="242"/>
    </row>
    <row r="106" spans="2:14" ht="18" customHeight="1" x14ac:dyDescent="0.15">
      <c r="B106" s="248"/>
      <c r="C106" s="248"/>
      <c r="D106" s="242"/>
      <c r="E106" s="242"/>
      <c r="F106" s="242"/>
      <c r="G106" s="242"/>
      <c r="H106" s="265"/>
      <c r="I106" s="242"/>
      <c r="J106" s="242"/>
      <c r="K106" s="248"/>
      <c r="L106" s="248"/>
      <c r="M106" s="248"/>
      <c r="N106" s="242"/>
    </row>
    <row r="107" spans="2:14" ht="18" customHeight="1" x14ac:dyDescent="0.15">
      <c r="B107" s="248"/>
      <c r="C107" s="248"/>
      <c r="D107" s="242"/>
      <c r="E107" s="242"/>
      <c r="F107" s="242"/>
      <c r="G107" s="242"/>
      <c r="H107" s="265"/>
      <c r="I107" s="242"/>
      <c r="J107" s="242"/>
      <c r="K107" s="248"/>
      <c r="L107" s="248"/>
      <c r="M107" s="248"/>
      <c r="N107" s="242"/>
    </row>
    <row r="108" spans="2:14" ht="18" customHeight="1" x14ac:dyDescent="0.15">
      <c r="B108" s="248"/>
      <c r="C108" s="248"/>
      <c r="D108" s="242"/>
      <c r="E108" s="242"/>
      <c r="F108" s="242"/>
      <c r="G108" s="242"/>
      <c r="H108" s="265"/>
      <c r="I108" s="242"/>
      <c r="J108" s="242"/>
      <c r="K108" s="248"/>
      <c r="L108" s="248"/>
      <c r="M108" s="248"/>
      <c r="N108" s="242"/>
    </row>
    <row r="109" spans="2:14" ht="18" customHeight="1" x14ac:dyDescent="0.15">
      <c r="B109" s="248"/>
      <c r="C109" s="248"/>
      <c r="D109" s="242"/>
      <c r="E109" s="242"/>
      <c r="F109" s="242"/>
      <c r="G109" s="242"/>
      <c r="H109" s="265"/>
      <c r="I109" s="242"/>
      <c r="J109" s="242"/>
      <c r="K109" s="248"/>
      <c r="L109" s="248"/>
      <c r="M109" s="248"/>
      <c r="N109" s="242"/>
    </row>
    <row r="110" spans="2:14" ht="18" customHeight="1" x14ac:dyDescent="0.15">
      <c r="B110" s="248"/>
      <c r="C110" s="248"/>
      <c r="D110" s="242"/>
      <c r="E110" s="242"/>
      <c r="F110" s="242"/>
      <c r="G110" s="242"/>
      <c r="H110" s="265"/>
      <c r="I110" s="242"/>
      <c r="J110" s="242"/>
      <c r="K110" s="248"/>
      <c r="L110" s="248"/>
      <c r="M110" s="248"/>
      <c r="N110" s="242"/>
    </row>
    <row r="111" spans="2:14" ht="18" customHeight="1" x14ac:dyDescent="0.15">
      <c r="B111" s="248"/>
      <c r="C111" s="248"/>
      <c r="D111" s="242"/>
      <c r="E111" s="242"/>
      <c r="F111" s="242"/>
      <c r="G111" s="242"/>
      <c r="H111" s="265"/>
      <c r="I111" s="242"/>
      <c r="J111" s="242"/>
      <c r="K111" s="248"/>
      <c r="L111" s="248"/>
      <c r="M111" s="248"/>
      <c r="N111" s="242"/>
    </row>
    <row r="112" spans="2:14" ht="18" customHeight="1" x14ac:dyDescent="0.15">
      <c r="B112" s="248"/>
      <c r="C112" s="248"/>
      <c r="D112" s="242"/>
      <c r="E112" s="242"/>
      <c r="F112" s="242"/>
      <c r="G112" s="242"/>
      <c r="H112" s="265"/>
      <c r="I112" s="242"/>
      <c r="J112" s="242"/>
      <c r="K112" s="248"/>
      <c r="L112" s="248"/>
      <c r="M112" s="248"/>
      <c r="N112" s="242"/>
    </row>
    <row r="113" spans="2:14" ht="18" customHeight="1" x14ac:dyDescent="0.15">
      <c r="B113" s="248"/>
      <c r="C113" s="248"/>
      <c r="D113" s="242"/>
      <c r="E113" s="242"/>
      <c r="F113" s="242"/>
      <c r="G113" s="242"/>
      <c r="H113" s="265"/>
      <c r="I113" s="242"/>
      <c r="J113" s="242"/>
      <c r="K113" s="248"/>
      <c r="L113" s="248"/>
      <c r="M113" s="248"/>
      <c r="N113" s="242"/>
    </row>
    <row r="114" spans="2:14" ht="18" customHeight="1" x14ac:dyDescent="0.15">
      <c r="B114" s="248"/>
      <c r="C114" s="248"/>
      <c r="D114" s="242"/>
      <c r="E114" s="242"/>
      <c r="F114" s="242"/>
      <c r="G114" s="242"/>
      <c r="H114" s="265"/>
      <c r="I114" s="242"/>
      <c r="J114" s="242"/>
      <c r="K114" s="248"/>
      <c r="L114" s="248"/>
      <c r="M114" s="248"/>
      <c r="N114" s="242"/>
    </row>
    <row r="115" spans="2:14" ht="18" customHeight="1" x14ac:dyDescent="0.15">
      <c r="B115" s="248"/>
      <c r="C115" s="248"/>
      <c r="D115" s="242"/>
      <c r="E115" s="242"/>
      <c r="F115" s="242"/>
      <c r="G115" s="242"/>
      <c r="H115" s="265"/>
      <c r="I115" s="242"/>
      <c r="J115" s="242"/>
      <c r="K115" s="248"/>
      <c r="L115" s="248"/>
      <c r="M115" s="248"/>
      <c r="N115" s="242"/>
    </row>
    <row r="116" spans="2:14" ht="18" customHeight="1" x14ac:dyDescent="0.15">
      <c r="B116" s="248"/>
      <c r="C116" s="248"/>
      <c r="D116" s="242"/>
      <c r="E116" s="242"/>
      <c r="F116" s="242"/>
      <c r="G116" s="242"/>
      <c r="H116" s="265"/>
      <c r="I116" s="242"/>
      <c r="J116" s="242"/>
      <c r="K116" s="248"/>
      <c r="L116" s="248"/>
      <c r="M116" s="248"/>
      <c r="N116" s="242"/>
    </row>
    <row r="117" spans="2:14" ht="18" customHeight="1" x14ac:dyDescent="0.15">
      <c r="B117" s="248"/>
      <c r="C117" s="248"/>
      <c r="D117" s="242"/>
      <c r="E117" s="242"/>
      <c r="F117" s="242"/>
      <c r="G117" s="242"/>
      <c r="H117" s="265"/>
      <c r="I117" s="242"/>
      <c r="J117" s="242"/>
      <c r="K117" s="248"/>
      <c r="L117" s="248"/>
      <c r="M117" s="248"/>
      <c r="N117" s="242"/>
    </row>
    <row r="118" spans="2:14" ht="18" customHeight="1" x14ac:dyDescent="0.15">
      <c r="B118" s="248"/>
      <c r="C118" s="248"/>
      <c r="D118" s="242"/>
      <c r="E118" s="242"/>
      <c r="F118" s="242"/>
      <c r="G118" s="242"/>
      <c r="H118" s="265"/>
      <c r="I118" s="242"/>
      <c r="J118" s="242"/>
      <c r="K118" s="248"/>
      <c r="L118" s="248"/>
      <c r="M118" s="248"/>
      <c r="N118" s="242"/>
    </row>
    <row r="119" spans="2:14" ht="18" customHeight="1" x14ac:dyDescent="0.15">
      <c r="B119" s="248"/>
      <c r="C119" s="248"/>
      <c r="D119" s="242"/>
      <c r="E119" s="242"/>
      <c r="F119" s="242"/>
      <c r="G119" s="242"/>
      <c r="H119" s="265"/>
      <c r="I119" s="242"/>
      <c r="J119" s="242"/>
      <c r="K119" s="248"/>
      <c r="L119" s="248"/>
      <c r="M119" s="248"/>
      <c r="N119" s="242"/>
    </row>
    <row r="120" spans="2:14" ht="18" customHeight="1" x14ac:dyDescent="0.15">
      <c r="B120" s="248"/>
      <c r="C120" s="248"/>
      <c r="D120" s="242"/>
      <c r="E120" s="242"/>
      <c r="F120" s="242"/>
      <c r="G120" s="242"/>
      <c r="H120" s="265"/>
      <c r="I120" s="242"/>
      <c r="J120" s="242"/>
      <c r="K120" s="248"/>
      <c r="L120" s="248"/>
      <c r="M120" s="248"/>
      <c r="N120" s="242"/>
    </row>
    <row r="121" spans="2:14" ht="18" customHeight="1" x14ac:dyDescent="0.15">
      <c r="B121" s="248"/>
      <c r="C121" s="248"/>
      <c r="D121" s="242"/>
      <c r="E121" s="242"/>
      <c r="F121" s="242"/>
      <c r="G121" s="242"/>
      <c r="H121" s="265"/>
      <c r="I121" s="242"/>
      <c r="J121" s="242"/>
      <c r="K121" s="248"/>
      <c r="L121" s="248"/>
      <c r="M121" s="248"/>
      <c r="N121" s="242"/>
    </row>
    <row r="122" spans="2:14" ht="18" customHeight="1" x14ac:dyDescent="0.15">
      <c r="B122" s="248"/>
      <c r="C122" s="248"/>
      <c r="D122" s="242"/>
      <c r="E122" s="242"/>
      <c r="F122" s="242"/>
      <c r="G122" s="242"/>
      <c r="H122" s="265"/>
      <c r="I122" s="242"/>
      <c r="J122" s="242"/>
      <c r="K122" s="248"/>
      <c r="L122" s="248"/>
      <c r="M122" s="248"/>
      <c r="N122" s="242"/>
    </row>
    <row r="123" spans="2:14" ht="18" customHeight="1" x14ac:dyDescent="0.15">
      <c r="B123" s="248"/>
      <c r="C123" s="248"/>
      <c r="D123" s="242"/>
      <c r="E123" s="242"/>
      <c r="F123" s="242"/>
      <c r="G123" s="242"/>
      <c r="H123" s="265"/>
      <c r="I123" s="242"/>
      <c r="J123" s="242"/>
      <c r="K123" s="248"/>
      <c r="L123" s="248"/>
      <c r="M123" s="248"/>
      <c r="N123" s="242"/>
    </row>
    <row r="124" spans="2:14" ht="18" customHeight="1" x14ac:dyDescent="0.15">
      <c r="B124" s="248"/>
      <c r="C124" s="248"/>
      <c r="D124" s="242"/>
      <c r="E124" s="242"/>
      <c r="F124" s="242"/>
      <c r="G124" s="242"/>
      <c r="H124" s="265"/>
      <c r="I124" s="242"/>
      <c r="J124" s="242"/>
      <c r="K124" s="248"/>
      <c r="L124" s="248"/>
      <c r="M124" s="248"/>
      <c r="N124" s="242"/>
    </row>
    <row r="125" spans="2:14" ht="18" customHeight="1" x14ac:dyDescent="0.15">
      <c r="B125" s="248"/>
      <c r="C125" s="248"/>
      <c r="D125" s="242"/>
      <c r="E125" s="242"/>
      <c r="F125" s="242"/>
      <c r="G125" s="242"/>
      <c r="H125" s="265"/>
      <c r="I125" s="242"/>
      <c r="J125" s="242"/>
      <c r="K125" s="248"/>
      <c r="L125" s="248"/>
      <c r="M125" s="248"/>
      <c r="N125" s="242"/>
    </row>
    <row r="126" spans="2:14" ht="18" customHeight="1" x14ac:dyDescent="0.15">
      <c r="B126" s="248"/>
      <c r="C126" s="248"/>
      <c r="D126" s="242"/>
      <c r="E126" s="242"/>
      <c r="F126" s="242"/>
      <c r="G126" s="242"/>
      <c r="H126" s="265"/>
      <c r="I126" s="242"/>
      <c r="J126" s="242"/>
      <c r="K126" s="248"/>
      <c r="L126" s="248"/>
      <c r="M126" s="248"/>
      <c r="N126" s="242"/>
    </row>
    <row r="127" spans="2:14" ht="18" customHeight="1" x14ac:dyDescent="0.15">
      <c r="B127" s="248"/>
      <c r="C127" s="248"/>
      <c r="D127" s="242"/>
      <c r="E127" s="242"/>
      <c r="F127" s="242"/>
      <c r="G127" s="242"/>
      <c r="H127" s="265"/>
      <c r="I127" s="242"/>
      <c r="J127" s="242"/>
      <c r="K127" s="248"/>
      <c r="L127" s="248"/>
      <c r="M127" s="248"/>
      <c r="N127" s="242"/>
    </row>
    <row r="128" spans="2:14" ht="18" customHeight="1" x14ac:dyDescent="0.15">
      <c r="B128" s="248"/>
      <c r="C128" s="248"/>
      <c r="D128" s="242"/>
      <c r="E128" s="242"/>
      <c r="F128" s="242"/>
      <c r="G128" s="242"/>
      <c r="H128" s="265"/>
      <c r="I128" s="242"/>
      <c r="J128" s="242"/>
      <c r="K128" s="248"/>
      <c r="L128" s="248"/>
      <c r="M128" s="248"/>
      <c r="N128" s="242"/>
    </row>
    <row r="129" spans="2:14" ht="18" customHeight="1" x14ac:dyDescent="0.15">
      <c r="B129" s="248"/>
      <c r="C129" s="248"/>
      <c r="D129" s="242"/>
      <c r="E129" s="242"/>
      <c r="F129" s="242"/>
      <c r="G129" s="242"/>
      <c r="H129" s="265"/>
      <c r="I129" s="242"/>
      <c r="J129" s="242"/>
      <c r="K129" s="248"/>
      <c r="L129" s="248"/>
      <c r="M129" s="248"/>
      <c r="N129" s="242"/>
    </row>
    <row r="130" spans="2:14" ht="18" customHeight="1" x14ac:dyDescent="0.15">
      <c r="B130" s="248"/>
      <c r="C130" s="248"/>
      <c r="D130" s="242"/>
      <c r="E130" s="242"/>
      <c r="F130" s="242"/>
      <c r="G130" s="242"/>
      <c r="H130" s="265"/>
      <c r="I130" s="242"/>
      <c r="J130" s="242"/>
      <c r="K130" s="248"/>
      <c r="L130" s="248"/>
      <c r="M130" s="248"/>
      <c r="N130" s="242"/>
    </row>
    <row r="131" spans="2:14" ht="18" customHeight="1" x14ac:dyDescent="0.15">
      <c r="B131" s="248"/>
      <c r="C131" s="248"/>
      <c r="D131" s="242"/>
      <c r="E131" s="242"/>
      <c r="F131" s="242"/>
      <c r="G131" s="242"/>
      <c r="H131" s="265"/>
      <c r="I131" s="242"/>
      <c r="J131" s="242"/>
      <c r="K131" s="248"/>
      <c r="L131" s="248"/>
      <c r="M131" s="248"/>
      <c r="N131" s="242"/>
    </row>
    <row r="132" spans="2:14" ht="18" customHeight="1" x14ac:dyDescent="0.15">
      <c r="B132" s="248"/>
      <c r="C132" s="248"/>
      <c r="D132" s="242"/>
      <c r="E132" s="242"/>
      <c r="F132" s="242"/>
      <c r="G132" s="242"/>
      <c r="H132" s="265"/>
      <c r="I132" s="242"/>
      <c r="J132" s="242"/>
      <c r="K132" s="248"/>
      <c r="L132" s="248"/>
      <c r="M132" s="248"/>
      <c r="N132" s="242"/>
    </row>
    <row r="133" spans="2:14" ht="18" customHeight="1" x14ac:dyDescent="0.15">
      <c r="B133" s="248"/>
      <c r="C133" s="248"/>
      <c r="D133" s="242"/>
      <c r="E133" s="242"/>
      <c r="F133" s="242"/>
      <c r="G133" s="242"/>
      <c r="H133" s="265"/>
      <c r="I133" s="242"/>
      <c r="J133" s="242"/>
      <c r="K133" s="248"/>
      <c r="L133" s="248"/>
      <c r="M133" s="248"/>
      <c r="N133" s="242"/>
    </row>
    <row r="134" spans="2:14" ht="18" customHeight="1" x14ac:dyDescent="0.15">
      <c r="B134" s="248"/>
      <c r="C134" s="248"/>
      <c r="D134" s="242"/>
      <c r="E134" s="242"/>
      <c r="F134" s="242"/>
      <c r="G134" s="242"/>
      <c r="H134" s="265"/>
      <c r="I134" s="242"/>
      <c r="J134" s="242"/>
      <c r="K134" s="248"/>
      <c r="L134" s="248"/>
      <c r="M134" s="248"/>
      <c r="N134" s="242"/>
    </row>
    <row r="135" spans="2:14" ht="18" customHeight="1" x14ac:dyDescent="0.15">
      <c r="B135" s="248"/>
      <c r="C135" s="248"/>
      <c r="D135" s="242"/>
      <c r="E135" s="242"/>
      <c r="F135" s="242"/>
      <c r="G135" s="242"/>
      <c r="H135" s="265"/>
      <c r="I135" s="242"/>
      <c r="J135" s="242"/>
      <c r="K135" s="248"/>
      <c r="L135" s="248"/>
      <c r="M135" s="248"/>
      <c r="N135" s="242"/>
    </row>
    <row r="136" spans="2:14" ht="18" customHeight="1" x14ac:dyDescent="0.15">
      <c r="B136" s="248"/>
      <c r="C136" s="248"/>
      <c r="D136" s="242"/>
      <c r="E136" s="242"/>
      <c r="F136" s="242"/>
      <c r="G136" s="242"/>
      <c r="H136" s="265"/>
      <c r="I136" s="242"/>
      <c r="J136" s="242"/>
      <c r="K136" s="248"/>
      <c r="L136" s="248"/>
      <c r="M136" s="248"/>
      <c r="N136" s="242"/>
    </row>
    <row r="137" spans="2:14" ht="18" customHeight="1" x14ac:dyDescent="0.15">
      <c r="B137" s="248"/>
      <c r="C137" s="248"/>
      <c r="D137" s="242"/>
      <c r="E137" s="242"/>
      <c r="F137" s="242"/>
      <c r="G137" s="242"/>
      <c r="H137" s="265"/>
      <c r="I137" s="242"/>
      <c r="J137" s="242"/>
      <c r="K137" s="248"/>
      <c r="L137" s="248"/>
      <c r="M137" s="248"/>
      <c r="N137" s="242"/>
    </row>
    <row r="138" spans="2:14" ht="18" customHeight="1" x14ac:dyDescent="0.15">
      <c r="B138" s="248"/>
      <c r="C138" s="248"/>
      <c r="D138" s="242"/>
      <c r="E138" s="242"/>
      <c r="F138" s="242"/>
      <c r="G138" s="242"/>
      <c r="H138" s="265"/>
      <c r="I138" s="242"/>
      <c r="J138" s="242"/>
      <c r="K138" s="248"/>
      <c r="L138" s="248"/>
      <c r="M138" s="248"/>
      <c r="N138" s="242"/>
    </row>
    <row r="139" spans="2:14" ht="18" customHeight="1" x14ac:dyDescent="0.15">
      <c r="B139" s="248"/>
      <c r="C139" s="248"/>
      <c r="D139" s="242"/>
      <c r="E139" s="242"/>
      <c r="F139" s="242"/>
      <c r="G139" s="242"/>
      <c r="H139" s="265"/>
      <c r="I139" s="242"/>
      <c r="J139" s="242"/>
      <c r="K139" s="248"/>
      <c r="L139" s="248"/>
      <c r="M139" s="248"/>
      <c r="N139" s="242"/>
    </row>
    <row r="140" spans="2:14" ht="18" customHeight="1" x14ac:dyDescent="0.15">
      <c r="B140" s="248"/>
      <c r="C140" s="248"/>
      <c r="D140" s="242"/>
      <c r="E140" s="242"/>
      <c r="F140" s="242"/>
      <c r="G140" s="242"/>
      <c r="H140" s="265"/>
      <c r="I140" s="242"/>
      <c r="J140" s="242"/>
      <c r="K140" s="248"/>
      <c r="L140" s="248"/>
      <c r="M140" s="248"/>
      <c r="N140" s="242"/>
    </row>
    <row r="141" spans="2:14" ht="18" customHeight="1" x14ac:dyDescent="0.15">
      <c r="B141" s="248"/>
      <c r="C141" s="248"/>
      <c r="D141" s="242"/>
      <c r="E141" s="242"/>
      <c r="F141" s="242"/>
      <c r="G141" s="242"/>
      <c r="H141" s="265"/>
      <c r="I141" s="242"/>
      <c r="J141" s="242"/>
      <c r="K141" s="248"/>
      <c r="L141" s="248"/>
      <c r="M141" s="248"/>
      <c r="N141" s="242"/>
    </row>
    <row r="142" spans="2:14" ht="18" customHeight="1" x14ac:dyDescent="0.15">
      <c r="B142" s="248"/>
      <c r="C142" s="248"/>
      <c r="D142" s="242"/>
      <c r="E142" s="242"/>
      <c r="F142" s="242"/>
      <c r="G142" s="242"/>
      <c r="H142" s="265"/>
      <c r="I142" s="242"/>
      <c r="J142" s="242"/>
      <c r="K142" s="248"/>
      <c r="L142" s="248"/>
      <c r="M142" s="248"/>
      <c r="N142" s="242"/>
    </row>
    <row r="143" spans="2:14" ht="18" customHeight="1" x14ac:dyDescent="0.15">
      <c r="B143" s="248"/>
      <c r="C143" s="248"/>
      <c r="D143" s="242"/>
      <c r="E143" s="242"/>
      <c r="F143" s="242"/>
      <c r="G143" s="242"/>
      <c r="H143" s="265"/>
      <c r="I143" s="242"/>
      <c r="J143" s="242"/>
      <c r="K143" s="248"/>
      <c r="L143" s="248"/>
      <c r="M143" s="248"/>
      <c r="N143" s="242"/>
    </row>
    <row r="144" spans="2:14" ht="18" customHeight="1" x14ac:dyDescent="0.15">
      <c r="B144" s="248"/>
      <c r="C144" s="248"/>
      <c r="D144" s="242"/>
      <c r="E144" s="242"/>
      <c r="F144" s="242"/>
      <c r="G144" s="242"/>
      <c r="H144" s="265"/>
      <c r="I144" s="242"/>
      <c r="J144" s="242"/>
      <c r="K144" s="248"/>
      <c r="L144" s="248"/>
      <c r="M144" s="248"/>
      <c r="N144" s="242"/>
    </row>
    <row r="145" spans="2:14" ht="18" customHeight="1" x14ac:dyDescent="0.15">
      <c r="B145" s="248"/>
      <c r="C145" s="248"/>
      <c r="D145" s="242"/>
      <c r="E145" s="242"/>
      <c r="F145" s="242"/>
      <c r="G145" s="242"/>
      <c r="H145" s="265"/>
      <c r="I145" s="242"/>
      <c r="J145" s="242"/>
      <c r="K145" s="248"/>
      <c r="L145" s="248"/>
      <c r="M145" s="248"/>
      <c r="N145" s="242"/>
    </row>
    <row r="146" spans="2:14" ht="18" customHeight="1" x14ac:dyDescent="0.15">
      <c r="B146" s="248"/>
      <c r="C146" s="248"/>
      <c r="D146" s="242"/>
      <c r="E146" s="242"/>
      <c r="F146" s="242"/>
      <c r="G146" s="242"/>
      <c r="H146" s="265"/>
      <c r="I146" s="242"/>
      <c r="J146" s="242"/>
      <c r="K146" s="248"/>
      <c r="L146" s="248"/>
      <c r="M146" s="248"/>
      <c r="N146" s="242"/>
    </row>
    <row r="147" spans="2:14" ht="18" customHeight="1" x14ac:dyDescent="0.15">
      <c r="B147" s="248"/>
      <c r="C147" s="248"/>
      <c r="D147" s="242"/>
      <c r="E147" s="242"/>
      <c r="F147" s="242"/>
      <c r="G147" s="242"/>
      <c r="H147" s="265"/>
      <c r="I147" s="242"/>
      <c r="J147" s="242"/>
      <c r="K147" s="248"/>
      <c r="L147" s="248"/>
      <c r="M147" s="248"/>
      <c r="N147" s="242"/>
    </row>
    <row r="148" spans="2:14" ht="18" customHeight="1" x14ac:dyDescent="0.15">
      <c r="B148" s="248"/>
      <c r="C148" s="248"/>
      <c r="D148" s="242"/>
      <c r="E148" s="242"/>
      <c r="F148" s="242"/>
      <c r="G148" s="242"/>
      <c r="H148" s="265"/>
      <c r="I148" s="242"/>
      <c r="J148" s="242"/>
      <c r="K148" s="248"/>
      <c r="L148" s="248"/>
      <c r="M148" s="248"/>
      <c r="N148" s="242"/>
    </row>
    <row r="149" spans="2:14" ht="18" customHeight="1" x14ac:dyDescent="0.15">
      <c r="B149" s="248"/>
      <c r="C149" s="248"/>
      <c r="D149" s="242"/>
      <c r="E149" s="242"/>
      <c r="F149" s="242"/>
      <c r="G149" s="242"/>
      <c r="H149" s="265"/>
      <c r="I149" s="242"/>
      <c r="J149" s="242"/>
      <c r="K149" s="248"/>
      <c r="L149" s="248"/>
      <c r="M149" s="248"/>
      <c r="N149" s="242"/>
    </row>
    <row r="150" spans="2:14" ht="18" customHeight="1" x14ac:dyDescent="0.15">
      <c r="B150" s="248"/>
      <c r="C150" s="248"/>
      <c r="D150" s="242"/>
      <c r="E150" s="242"/>
      <c r="F150" s="242"/>
      <c r="G150" s="242"/>
      <c r="H150" s="265"/>
      <c r="I150" s="242"/>
      <c r="J150" s="242"/>
      <c r="K150" s="248"/>
      <c r="L150" s="248"/>
      <c r="M150" s="248"/>
      <c r="N150" s="242"/>
    </row>
    <row r="151" spans="2:14" ht="18" customHeight="1" x14ac:dyDescent="0.15">
      <c r="B151" s="248"/>
      <c r="C151" s="248"/>
      <c r="D151" s="242"/>
      <c r="E151" s="242"/>
      <c r="F151" s="242"/>
      <c r="G151" s="242"/>
      <c r="H151" s="265"/>
      <c r="I151" s="242"/>
      <c r="J151" s="242"/>
      <c r="K151" s="248"/>
      <c r="L151" s="248"/>
      <c r="M151" s="248"/>
      <c r="N151" s="242"/>
    </row>
    <row r="152" spans="2:14" ht="18" customHeight="1" x14ac:dyDescent="0.15">
      <c r="B152" s="248"/>
      <c r="C152" s="248"/>
      <c r="D152" s="242"/>
      <c r="E152" s="242"/>
      <c r="F152" s="242"/>
      <c r="G152" s="242"/>
      <c r="H152" s="265"/>
      <c r="I152" s="242"/>
      <c r="J152" s="242"/>
      <c r="K152" s="248"/>
      <c r="L152" s="248"/>
      <c r="M152" s="248"/>
      <c r="N152" s="242"/>
    </row>
    <row r="153" spans="2:14" ht="18" customHeight="1" x14ac:dyDescent="0.15">
      <c r="B153" s="248"/>
      <c r="C153" s="248"/>
      <c r="D153" s="242"/>
      <c r="E153" s="242"/>
      <c r="F153" s="242"/>
      <c r="G153" s="242"/>
      <c r="H153" s="265"/>
      <c r="I153" s="242"/>
      <c r="J153" s="242"/>
      <c r="K153" s="248"/>
      <c r="L153" s="248"/>
      <c r="M153" s="248"/>
      <c r="N153" s="242"/>
    </row>
    <row r="154" spans="2:14" ht="18" customHeight="1" x14ac:dyDescent="0.15">
      <c r="B154" s="248"/>
      <c r="C154" s="248"/>
      <c r="D154" s="242"/>
      <c r="E154" s="242"/>
      <c r="F154" s="242"/>
      <c r="G154" s="242"/>
      <c r="H154" s="265"/>
      <c r="I154" s="242"/>
      <c r="J154" s="242"/>
      <c r="K154" s="248"/>
      <c r="L154" s="248"/>
      <c r="M154" s="248"/>
      <c r="N154" s="242"/>
    </row>
    <row r="155" spans="2:14" ht="18" customHeight="1" x14ac:dyDescent="0.15">
      <c r="B155" s="248"/>
      <c r="C155" s="248"/>
      <c r="D155" s="242"/>
      <c r="E155" s="242"/>
      <c r="F155" s="242"/>
      <c r="G155" s="242"/>
      <c r="H155" s="265"/>
      <c r="I155" s="242"/>
      <c r="J155" s="242"/>
      <c r="K155" s="248"/>
      <c r="L155" s="248"/>
      <c r="M155" s="248"/>
      <c r="N155" s="242"/>
    </row>
    <row r="156" spans="2:14" ht="18" customHeight="1" x14ac:dyDescent="0.15">
      <c r="B156" s="248"/>
      <c r="C156" s="248"/>
      <c r="D156" s="242"/>
      <c r="E156" s="242"/>
      <c r="F156" s="242"/>
      <c r="G156" s="242"/>
      <c r="H156" s="265"/>
      <c r="I156" s="242"/>
      <c r="J156" s="242"/>
      <c r="K156" s="248"/>
      <c r="L156" s="248"/>
      <c r="M156" s="248"/>
      <c r="N156" s="242"/>
    </row>
    <row r="157" spans="2:14" ht="18" customHeight="1" x14ac:dyDescent="0.15">
      <c r="B157" s="248"/>
      <c r="C157" s="248"/>
      <c r="D157" s="242"/>
      <c r="E157" s="242"/>
      <c r="F157" s="242"/>
      <c r="G157" s="242"/>
      <c r="H157" s="265"/>
      <c r="I157" s="242"/>
      <c r="J157" s="242"/>
      <c r="K157" s="248"/>
      <c r="L157" s="248"/>
      <c r="M157" s="248"/>
      <c r="N157" s="242"/>
    </row>
    <row r="158" spans="2:14" ht="18" customHeight="1" x14ac:dyDescent="0.15">
      <c r="B158" s="248"/>
      <c r="C158" s="248"/>
      <c r="D158" s="242"/>
      <c r="E158" s="242"/>
      <c r="F158" s="242"/>
      <c r="G158" s="242"/>
      <c r="H158" s="265"/>
      <c r="I158" s="242"/>
      <c r="J158" s="242"/>
      <c r="K158" s="248"/>
      <c r="L158" s="248"/>
      <c r="M158" s="248"/>
      <c r="N158" s="242"/>
    </row>
    <row r="159" spans="2:14" ht="18" customHeight="1" x14ac:dyDescent="0.15">
      <c r="B159" s="248"/>
      <c r="C159" s="248"/>
      <c r="D159" s="242"/>
      <c r="E159" s="242"/>
      <c r="F159" s="242"/>
      <c r="G159" s="242"/>
      <c r="H159" s="265"/>
      <c r="I159" s="242"/>
      <c r="J159" s="242"/>
      <c r="K159" s="248"/>
      <c r="L159" s="248"/>
      <c r="M159" s="248"/>
      <c r="N159" s="242"/>
    </row>
    <row r="160" spans="2:14" ht="18" customHeight="1" x14ac:dyDescent="0.15">
      <c r="B160" s="248"/>
      <c r="C160" s="248"/>
      <c r="D160" s="242"/>
      <c r="E160" s="242"/>
      <c r="F160" s="242"/>
      <c r="G160" s="242"/>
      <c r="H160" s="265"/>
      <c r="I160" s="242"/>
      <c r="J160" s="242"/>
      <c r="K160" s="248"/>
      <c r="L160" s="248"/>
      <c r="M160" s="248"/>
      <c r="N160" s="242"/>
    </row>
    <row r="161" spans="2:14" ht="18" customHeight="1" x14ac:dyDescent="0.15">
      <c r="B161" s="248"/>
      <c r="C161" s="248"/>
      <c r="D161" s="242"/>
      <c r="E161" s="242"/>
      <c r="F161" s="242"/>
      <c r="G161" s="242"/>
      <c r="H161" s="265"/>
      <c r="I161" s="242"/>
      <c r="J161" s="242"/>
      <c r="K161" s="248"/>
      <c r="L161" s="248"/>
      <c r="M161" s="248"/>
      <c r="N161" s="242"/>
    </row>
    <row r="162" spans="2:14" ht="18" customHeight="1" x14ac:dyDescent="0.15">
      <c r="B162" s="248"/>
      <c r="C162" s="248"/>
      <c r="D162" s="242"/>
      <c r="E162" s="242"/>
      <c r="F162" s="242"/>
      <c r="G162" s="242"/>
      <c r="H162" s="265"/>
      <c r="I162" s="242"/>
      <c r="J162" s="242"/>
      <c r="K162" s="248"/>
      <c r="L162" s="248"/>
      <c r="M162" s="248"/>
      <c r="N162" s="242"/>
    </row>
    <row r="163" spans="2:14" ht="18" customHeight="1" x14ac:dyDescent="0.15">
      <c r="B163" s="248"/>
      <c r="C163" s="248"/>
      <c r="D163" s="242"/>
      <c r="E163" s="242"/>
      <c r="F163" s="242"/>
      <c r="G163" s="242"/>
      <c r="H163" s="265"/>
      <c r="I163" s="242"/>
      <c r="J163" s="242"/>
      <c r="K163" s="248"/>
      <c r="L163" s="248"/>
      <c r="M163" s="248"/>
      <c r="N163" s="242"/>
    </row>
    <row r="164" spans="2:14" ht="18" customHeight="1" x14ac:dyDescent="0.15">
      <c r="B164" s="248"/>
      <c r="C164" s="248"/>
      <c r="D164" s="242"/>
      <c r="E164" s="242"/>
      <c r="F164" s="242"/>
      <c r="G164" s="242"/>
      <c r="H164" s="265"/>
      <c r="I164" s="242"/>
      <c r="J164" s="242"/>
      <c r="K164" s="248"/>
      <c r="L164" s="248"/>
      <c r="M164" s="248"/>
      <c r="N164" s="242"/>
    </row>
    <row r="165" spans="2:14" ht="18" customHeight="1" x14ac:dyDescent="0.15">
      <c r="B165" s="248"/>
      <c r="C165" s="248"/>
      <c r="D165" s="242"/>
      <c r="E165" s="242"/>
      <c r="F165" s="242"/>
      <c r="G165" s="242"/>
      <c r="H165" s="265"/>
      <c r="I165" s="242"/>
      <c r="J165" s="242"/>
      <c r="K165" s="248"/>
      <c r="L165" s="248"/>
      <c r="M165" s="248"/>
      <c r="N165" s="242"/>
    </row>
    <row r="166" spans="2:14" ht="18" customHeight="1" x14ac:dyDescent="0.15">
      <c r="B166" s="248"/>
      <c r="C166" s="248"/>
      <c r="D166" s="242"/>
      <c r="E166" s="242"/>
      <c r="F166" s="242"/>
      <c r="G166" s="242"/>
      <c r="H166" s="265"/>
      <c r="I166" s="242"/>
      <c r="J166" s="242"/>
      <c r="K166" s="248"/>
      <c r="L166" s="248"/>
      <c r="M166" s="248"/>
      <c r="N166" s="242"/>
    </row>
    <row r="167" spans="2:14" ht="18" customHeight="1" x14ac:dyDescent="0.15">
      <c r="B167" s="248"/>
      <c r="C167" s="248"/>
      <c r="D167" s="242"/>
      <c r="E167" s="242"/>
      <c r="F167" s="242"/>
      <c r="G167" s="242"/>
      <c r="H167" s="265"/>
      <c r="I167" s="242"/>
      <c r="J167" s="242"/>
      <c r="K167" s="248"/>
      <c r="L167" s="248"/>
      <c r="M167" s="248"/>
      <c r="N167" s="242"/>
    </row>
    <row r="168" spans="2:14" ht="18" customHeight="1" x14ac:dyDescent="0.15">
      <c r="B168" s="248"/>
      <c r="C168" s="248"/>
      <c r="D168" s="242"/>
      <c r="E168" s="242"/>
      <c r="F168" s="242"/>
      <c r="G168" s="242"/>
      <c r="H168" s="265"/>
      <c r="I168" s="242"/>
      <c r="J168" s="242"/>
      <c r="K168" s="248"/>
      <c r="L168" s="248"/>
      <c r="M168" s="248"/>
      <c r="N168" s="242"/>
    </row>
    <row r="169" spans="2:14" ht="18" customHeight="1" x14ac:dyDescent="0.15">
      <c r="B169" s="248"/>
      <c r="C169" s="248"/>
      <c r="D169" s="242"/>
      <c r="E169" s="242"/>
      <c r="F169" s="242"/>
      <c r="G169" s="242"/>
      <c r="H169" s="265"/>
      <c r="I169" s="242"/>
      <c r="J169" s="242"/>
      <c r="K169" s="248"/>
      <c r="L169" s="248"/>
      <c r="M169" s="248"/>
      <c r="N169" s="242"/>
    </row>
    <row r="170" spans="2:14" ht="18" customHeight="1" x14ac:dyDescent="0.15">
      <c r="B170" s="248"/>
      <c r="C170" s="248"/>
      <c r="D170" s="242"/>
      <c r="E170" s="242"/>
      <c r="F170" s="242"/>
      <c r="G170" s="242"/>
      <c r="H170" s="265"/>
      <c r="I170" s="242"/>
      <c r="J170" s="242"/>
      <c r="K170" s="248"/>
      <c r="L170" s="248"/>
      <c r="M170" s="248"/>
      <c r="N170" s="242"/>
    </row>
    <row r="171" spans="2:14" ht="18" customHeight="1" x14ac:dyDescent="0.15">
      <c r="B171" s="248"/>
      <c r="C171" s="248"/>
      <c r="D171" s="242"/>
      <c r="E171" s="242"/>
      <c r="F171" s="242"/>
      <c r="G171" s="242"/>
      <c r="H171" s="265"/>
      <c r="I171" s="242"/>
      <c r="J171" s="242"/>
      <c r="K171" s="248"/>
      <c r="L171" s="248"/>
      <c r="M171" s="248"/>
      <c r="N171" s="242"/>
    </row>
    <row r="172" spans="2:14" ht="18" customHeight="1" x14ac:dyDescent="0.15">
      <c r="B172" s="248"/>
      <c r="C172" s="248"/>
      <c r="D172" s="242"/>
      <c r="E172" s="242"/>
      <c r="F172" s="242"/>
      <c r="G172" s="242"/>
      <c r="H172" s="265"/>
      <c r="I172" s="242"/>
      <c r="J172" s="242"/>
      <c r="K172" s="248"/>
      <c r="L172" s="248"/>
      <c r="M172" s="248"/>
      <c r="N172" s="242"/>
    </row>
    <row r="173" spans="2:14" ht="18" customHeight="1" x14ac:dyDescent="0.15">
      <c r="B173" s="248"/>
      <c r="C173" s="248"/>
      <c r="D173" s="242"/>
      <c r="E173" s="242"/>
      <c r="F173" s="242"/>
      <c r="G173" s="242"/>
      <c r="H173" s="265"/>
      <c r="I173" s="242"/>
      <c r="J173" s="242"/>
      <c r="K173" s="248"/>
      <c r="L173" s="248"/>
      <c r="M173" s="248"/>
      <c r="N173" s="242"/>
    </row>
    <row r="174" spans="2:14" ht="18" customHeight="1" x14ac:dyDescent="0.15">
      <c r="B174" s="248"/>
      <c r="C174" s="248"/>
      <c r="D174" s="242"/>
      <c r="E174" s="242"/>
      <c r="F174" s="242"/>
      <c r="G174" s="242"/>
      <c r="H174" s="265"/>
      <c r="I174" s="242"/>
      <c r="J174" s="242"/>
      <c r="K174" s="248"/>
      <c r="L174" s="248"/>
      <c r="M174" s="248"/>
      <c r="N174" s="242"/>
    </row>
    <row r="175" spans="2:14" ht="18" customHeight="1" x14ac:dyDescent="0.15">
      <c r="B175" s="248"/>
      <c r="C175" s="248"/>
      <c r="D175" s="242"/>
      <c r="E175" s="242"/>
      <c r="F175" s="242"/>
      <c r="G175" s="242"/>
      <c r="H175" s="265"/>
      <c r="I175" s="242"/>
      <c r="J175" s="242"/>
      <c r="K175" s="248"/>
      <c r="L175" s="248"/>
      <c r="M175" s="248"/>
      <c r="N175" s="242"/>
    </row>
    <row r="176" spans="2:14" ht="18" customHeight="1" x14ac:dyDescent="0.15">
      <c r="B176" s="248"/>
      <c r="C176" s="248"/>
      <c r="D176" s="242"/>
      <c r="E176" s="242"/>
      <c r="F176" s="242"/>
      <c r="G176" s="242"/>
      <c r="H176" s="265"/>
      <c r="I176" s="242"/>
      <c r="J176" s="242"/>
      <c r="K176" s="248"/>
      <c r="L176" s="248"/>
      <c r="M176" s="248"/>
      <c r="N176" s="242"/>
    </row>
    <row r="177" spans="2:14" ht="18" customHeight="1" x14ac:dyDescent="0.15">
      <c r="B177" s="248"/>
      <c r="C177" s="248"/>
      <c r="D177" s="242"/>
      <c r="E177" s="242"/>
      <c r="F177" s="242"/>
      <c r="G177" s="242"/>
      <c r="H177" s="265"/>
      <c r="I177" s="242"/>
      <c r="J177" s="242"/>
      <c r="K177" s="248"/>
      <c r="L177" s="248"/>
      <c r="M177" s="248"/>
      <c r="N177" s="242"/>
    </row>
    <row r="178" spans="2:14" ht="18" customHeight="1" x14ac:dyDescent="0.15">
      <c r="B178" s="248"/>
      <c r="C178" s="248"/>
      <c r="D178" s="242"/>
      <c r="E178" s="242"/>
      <c r="F178" s="242"/>
      <c r="G178" s="242"/>
      <c r="H178" s="265"/>
      <c r="I178" s="242"/>
      <c r="J178" s="242"/>
      <c r="K178" s="248"/>
      <c r="L178" s="248"/>
      <c r="M178" s="248"/>
      <c r="N178" s="242"/>
    </row>
    <row r="179" spans="2:14" ht="18" customHeight="1" x14ac:dyDescent="0.15">
      <c r="B179" s="248"/>
      <c r="C179" s="248"/>
      <c r="D179" s="242"/>
      <c r="E179" s="242"/>
      <c r="F179" s="242"/>
      <c r="G179" s="242"/>
      <c r="H179" s="265"/>
      <c r="I179" s="242"/>
      <c r="J179" s="242"/>
      <c r="K179" s="248"/>
      <c r="L179" s="248"/>
      <c r="M179" s="248"/>
      <c r="N179" s="242"/>
    </row>
    <row r="180" spans="2:14" ht="18" customHeight="1" x14ac:dyDescent="0.15">
      <c r="B180" s="248"/>
      <c r="C180" s="248"/>
      <c r="D180" s="242"/>
      <c r="E180" s="242"/>
      <c r="F180" s="242"/>
      <c r="G180" s="242"/>
      <c r="H180" s="265"/>
      <c r="I180" s="242"/>
      <c r="J180" s="242"/>
      <c r="K180" s="248"/>
      <c r="L180" s="248"/>
      <c r="M180" s="248"/>
      <c r="N180" s="242"/>
    </row>
    <row r="181" spans="2:14" ht="18" customHeight="1" x14ac:dyDescent="0.15">
      <c r="B181" s="248"/>
      <c r="C181" s="248"/>
      <c r="D181" s="242"/>
      <c r="E181" s="242"/>
      <c r="F181" s="242"/>
      <c r="G181" s="242"/>
      <c r="H181" s="265"/>
      <c r="I181" s="242"/>
      <c r="J181" s="242"/>
      <c r="K181" s="248"/>
      <c r="L181" s="248"/>
      <c r="M181" s="248"/>
      <c r="N181" s="242"/>
    </row>
    <row r="182" spans="2:14" ht="18" customHeight="1" x14ac:dyDescent="0.15">
      <c r="B182" s="248"/>
      <c r="C182" s="248"/>
      <c r="D182" s="242"/>
      <c r="E182" s="242"/>
      <c r="F182" s="242"/>
      <c r="G182" s="242"/>
      <c r="H182" s="265"/>
      <c r="I182" s="242"/>
      <c r="J182" s="242"/>
      <c r="K182" s="248"/>
      <c r="L182" s="248"/>
      <c r="M182" s="248"/>
      <c r="N182" s="242"/>
    </row>
    <row r="183" spans="2:14" ht="18" customHeight="1" x14ac:dyDescent="0.15">
      <c r="B183" s="248"/>
      <c r="C183" s="248"/>
      <c r="D183" s="242"/>
      <c r="E183" s="242"/>
      <c r="F183" s="242"/>
      <c r="G183" s="242"/>
      <c r="H183" s="265"/>
      <c r="I183" s="242"/>
      <c r="J183" s="242"/>
      <c r="K183" s="248"/>
      <c r="L183" s="248"/>
      <c r="M183" s="248"/>
      <c r="N183" s="242"/>
    </row>
    <row r="184" spans="2:14" ht="18" customHeight="1" x14ac:dyDescent="0.15">
      <c r="B184" s="248"/>
      <c r="C184" s="248"/>
      <c r="D184" s="242"/>
      <c r="E184" s="242"/>
      <c r="F184" s="242"/>
      <c r="G184" s="242"/>
      <c r="H184" s="265"/>
      <c r="I184" s="242"/>
      <c r="J184" s="242"/>
      <c r="K184" s="248"/>
      <c r="L184" s="248"/>
      <c r="M184" s="248"/>
      <c r="N184" s="242"/>
    </row>
    <row r="185" spans="2:14" ht="18" customHeight="1" x14ac:dyDescent="0.15">
      <c r="B185" s="248"/>
      <c r="C185" s="248"/>
      <c r="D185" s="242"/>
      <c r="E185" s="242"/>
      <c r="F185" s="242"/>
      <c r="G185" s="242"/>
      <c r="H185" s="265"/>
      <c r="I185" s="242"/>
      <c r="J185" s="242"/>
      <c r="K185" s="248"/>
      <c r="L185" s="248"/>
      <c r="M185" s="248"/>
      <c r="N185" s="242"/>
    </row>
    <row r="186" spans="2:14" ht="18" customHeight="1" x14ac:dyDescent="0.15">
      <c r="B186" s="248"/>
      <c r="C186" s="248"/>
      <c r="D186" s="242"/>
      <c r="E186" s="242"/>
      <c r="F186" s="242"/>
      <c r="G186" s="242"/>
      <c r="H186" s="265"/>
      <c r="I186" s="242"/>
      <c r="J186" s="242"/>
      <c r="K186" s="248"/>
      <c r="L186" s="248"/>
      <c r="M186" s="248"/>
      <c r="N186" s="242"/>
    </row>
    <row r="187" spans="2:14" ht="18" customHeight="1" x14ac:dyDescent="0.15">
      <c r="B187" s="248"/>
      <c r="C187" s="248"/>
      <c r="D187" s="242"/>
      <c r="E187" s="242"/>
      <c r="F187" s="242"/>
      <c r="G187" s="242"/>
      <c r="H187" s="265"/>
      <c r="I187" s="242"/>
      <c r="J187" s="242"/>
      <c r="K187" s="248"/>
      <c r="L187" s="248"/>
      <c r="M187" s="248"/>
      <c r="N187" s="242"/>
    </row>
    <row r="188" spans="2:14" ht="18" customHeight="1" x14ac:dyDescent="0.15">
      <c r="B188" s="248"/>
      <c r="C188" s="248"/>
      <c r="D188" s="242"/>
      <c r="E188" s="242"/>
      <c r="F188" s="242"/>
      <c r="G188" s="242"/>
      <c r="H188" s="265"/>
      <c r="I188" s="242"/>
      <c r="J188" s="242"/>
      <c r="K188" s="248"/>
      <c r="L188" s="248"/>
      <c r="M188" s="248"/>
      <c r="N188" s="242"/>
    </row>
    <row r="189" spans="2:14" ht="18" customHeight="1" x14ac:dyDescent="0.15">
      <c r="B189" s="248"/>
      <c r="C189" s="248"/>
      <c r="D189" s="242"/>
      <c r="E189" s="242"/>
      <c r="F189" s="242"/>
      <c r="G189" s="242"/>
      <c r="H189" s="265"/>
      <c r="I189" s="242"/>
      <c r="J189" s="242"/>
      <c r="K189" s="248"/>
      <c r="L189" s="248"/>
      <c r="M189" s="248"/>
      <c r="N189" s="242"/>
    </row>
    <row r="190" spans="2:14" ht="18" customHeight="1" x14ac:dyDescent="0.15">
      <c r="B190" s="248"/>
      <c r="C190" s="248"/>
      <c r="D190" s="242"/>
      <c r="E190" s="242"/>
      <c r="F190" s="242"/>
      <c r="G190" s="242"/>
      <c r="H190" s="265"/>
      <c r="I190" s="242"/>
      <c r="J190" s="242"/>
      <c r="K190" s="248"/>
      <c r="L190" s="248"/>
      <c r="M190" s="248"/>
      <c r="N190" s="242"/>
    </row>
    <row r="191" spans="2:14" ht="18" customHeight="1" x14ac:dyDescent="0.15">
      <c r="B191" s="248"/>
      <c r="C191" s="248"/>
      <c r="D191" s="242"/>
      <c r="E191" s="242"/>
      <c r="F191" s="242"/>
      <c r="G191" s="242"/>
      <c r="H191" s="265"/>
      <c r="I191" s="242"/>
      <c r="J191" s="242"/>
      <c r="K191" s="248"/>
      <c r="L191" s="248"/>
      <c r="M191" s="248"/>
      <c r="N191" s="242"/>
    </row>
    <row r="192" spans="2:14" ht="18" customHeight="1" x14ac:dyDescent="0.15">
      <c r="B192" s="248"/>
      <c r="C192" s="248"/>
      <c r="D192" s="242"/>
      <c r="E192" s="242"/>
      <c r="F192" s="242"/>
      <c r="G192" s="242"/>
      <c r="H192" s="265"/>
      <c r="I192" s="242"/>
      <c r="J192" s="242"/>
      <c r="K192" s="248"/>
      <c r="L192" s="248"/>
      <c r="M192" s="248"/>
      <c r="N192" s="242"/>
    </row>
    <row r="193" spans="2:14" ht="18" customHeight="1" x14ac:dyDescent="0.15">
      <c r="B193" s="248"/>
      <c r="C193" s="248"/>
      <c r="D193" s="242"/>
      <c r="E193" s="242"/>
      <c r="F193" s="242"/>
      <c r="G193" s="242"/>
      <c r="H193" s="265"/>
      <c r="I193" s="242"/>
      <c r="J193" s="242"/>
      <c r="K193" s="248"/>
      <c r="L193" s="248"/>
      <c r="M193" s="248"/>
      <c r="N193" s="242"/>
    </row>
    <row r="194" spans="2:14" ht="18" customHeight="1" x14ac:dyDescent="0.15">
      <c r="B194" s="248"/>
      <c r="C194" s="248"/>
      <c r="D194" s="242"/>
      <c r="E194" s="242"/>
      <c r="F194" s="242"/>
      <c r="G194" s="242"/>
      <c r="H194" s="265"/>
      <c r="I194" s="242"/>
      <c r="J194" s="242"/>
      <c r="K194" s="248"/>
      <c r="L194" s="248"/>
      <c r="M194" s="248"/>
      <c r="N194" s="242"/>
    </row>
    <row r="195" spans="2:14" ht="18" customHeight="1" x14ac:dyDescent="0.15">
      <c r="B195" s="248"/>
      <c r="C195" s="248"/>
      <c r="D195" s="242"/>
      <c r="E195" s="242"/>
      <c r="F195" s="242"/>
      <c r="G195" s="242"/>
      <c r="H195" s="265"/>
      <c r="I195" s="242"/>
      <c r="J195" s="242"/>
      <c r="K195" s="248"/>
      <c r="L195" s="248"/>
      <c r="M195" s="248"/>
      <c r="N195" s="242"/>
    </row>
    <row r="196" spans="2:14" ht="18" customHeight="1" x14ac:dyDescent="0.15">
      <c r="B196" s="248"/>
      <c r="C196" s="248"/>
      <c r="D196" s="242"/>
      <c r="E196" s="242"/>
      <c r="F196" s="242"/>
      <c r="G196" s="242"/>
      <c r="H196" s="265"/>
      <c r="I196" s="242"/>
      <c r="J196" s="242"/>
      <c r="K196" s="248"/>
      <c r="L196" s="248"/>
      <c r="M196" s="248"/>
      <c r="N196" s="242"/>
    </row>
    <row r="197" spans="2:14" ht="18" customHeight="1" x14ac:dyDescent="0.15">
      <c r="B197" s="248"/>
      <c r="C197" s="248"/>
      <c r="D197" s="242"/>
      <c r="E197" s="242"/>
      <c r="F197" s="242"/>
      <c r="G197" s="242"/>
      <c r="H197" s="265"/>
      <c r="I197" s="242"/>
      <c r="J197" s="242"/>
      <c r="K197" s="248"/>
      <c r="L197" s="248"/>
      <c r="M197" s="248"/>
      <c r="N197" s="242"/>
    </row>
    <row r="198" spans="2:14" ht="18" customHeight="1" x14ac:dyDescent="0.15">
      <c r="B198" s="248"/>
      <c r="C198" s="248"/>
      <c r="D198" s="242"/>
      <c r="E198" s="242"/>
      <c r="F198" s="242"/>
      <c r="G198" s="242"/>
      <c r="H198" s="265"/>
      <c r="I198" s="242"/>
      <c r="J198" s="242"/>
      <c r="K198" s="248"/>
      <c r="L198" s="248"/>
      <c r="M198" s="248"/>
      <c r="N198" s="242"/>
    </row>
    <row r="199" spans="2:14" ht="18" customHeight="1" x14ac:dyDescent="0.15">
      <c r="B199" s="248"/>
      <c r="C199" s="248"/>
      <c r="D199" s="242"/>
      <c r="E199" s="242"/>
      <c r="F199" s="242"/>
      <c r="G199" s="242"/>
      <c r="H199" s="265"/>
      <c r="I199" s="242"/>
      <c r="J199" s="242"/>
      <c r="K199" s="248"/>
      <c r="L199" s="248"/>
      <c r="M199" s="248"/>
      <c r="N199" s="242"/>
    </row>
    <row r="200" spans="2:14" ht="18" customHeight="1" x14ac:dyDescent="0.15">
      <c r="B200" s="248"/>
      <c r="C200" s="248"/>
      <c r="D200" s="242"/>
      <c r="E200" s="242"/>
      <c r="F200" s="242"/>
      <c r="G200" s="242"/>
      <c r="H200" s="265"/>
      <c r="I200" s="242"/>
      <c r="J200" s="242"/>
      <c r="K200" s="248"/>
      <c r="L200" s="248"/>
      <c r="M200" s="248"/>
      <c r="N200" s="242"/>
    </row>
    <row r="201" spans="2:14" ht="18" customHeight="1" x14ac:dyDescent="0.15">
      <c r="B201" s="248"/>
      <c r="C201" s="248"/>
      <c r="D201" s="242"/>
      <c r="E201" s="242"/>
      <c r="F201" s="242"/>
      <c r="G201" s="242"/>
      <c r="H201" s="265"/>
      <c r="I201" s="242"/>
      <c r="J201" s="242"/>
      <c r="K201" s="248"/>
      <c r="L201" s="248"/>
      <c r="M201" s="248"/>
      <c r="N201" s="242"/>
    </row>
    <row r="202" spans="2:14" ht="18" customHeight="1" x14ac:dyDescent="0.15">
      <c r="B202" s="248"/>
      <c r="C202" s="248"/>
      <c r="D202" s="242"/>
      <c r="E202" s="242"/>
      <c r="F202" s="242"/>
      <c r="G202" s="242"/>
      <c r="H202" s="265"/>
      <c r="I202" s="242"/>
      <c r="J202" s="242"/>
      <c r="K202" s="248"/>
      <c r="L202" s="248"/>
      <c r="M202" s="248"/>
      <c r="N202" s="242"/>
    </row>
    <row r="203" spans="2:14" ht="18" customHeight="1" x14ac:dyDescent="0.15">
      <c r="B203" s="248"/>
      <c r="C203" s="248"/>
      <c r="D203" s="242"/>
      <c r="E203" s="242"/>
      <c r="F203" s="242"/>
      <c r="G203" s="242"/>
      <c r="H203" s="265"/>
      <c r="I203" s="242"/>
      <c r="J203" s="242"/>
      <c r="K203" s="248"/>
      <c r="L203" s="248"/>
      <c r="M203" s="248"/>
      <c r="N203" s="242"/>
    </row>
    <row r="204" spans="2:14" ht="18" customHeight="1" x14ac:dyDescent="0.15">
      <c r="B204" s="248"/>
      <c r="C204" s="248"/>
      <c r="D204" s="242"/>
      <c r="E204" s="242"/>
      <c r="F204" s="242"/>
      <c r="G204" s="242"/>
      <c r="H204" s="265"/>
      <c r="I204" s="242"/>
      <c r="J204" s="242"/>
      <c r="K204" s="248"/>
      <c r="L204" s="248"/>
      <c r="M204" s="248"/>
      <c r="N204" s="242"/>
    </row>
    <row r="205" spans="2:14" ht="18" customHeight="1" x14ac:dyDescent="0.15">
      <c r="B205" s="248"/>
      <c r="C205" s="248"/>
      <c r="D205" s="242"/>
      <c r="E205" s="242"/>
      <c r="F205" s="242"/>
      <c r="G205" s="242"/>
      <c r="H205" s="265"/>
      <c r="I205" s="242"/>
      <c r="J205" s="242"/>
      <c r="K205" s="248"/>
      <c r="L205" s="248"/>
      <c r="M205" s="248"/>
      <c r="N205" s="242"/>
    </row>
    <row r="206" spans="2:14" ht="18" customHeight="1" x14ac:dyDescent="0.15">
      <c r="B206" s="248"/>
      <c r="C206" s="248"/>
      <c r="D206" s="242"/>
      <c r="E206" s="242"/>
      <c r="F206" s="242"/>
      <c r="G206" s="242"/>
      <c r="H206" s="265"/>
      <c r="I206" s="242"/>
      <c r="J206" s="242"/>
      <c r="K206" s="248"/>
      <c r="L206" s="248"/>
      <c r="M206" s="248"/>
      <c r="N206" s="242"/>
    </row>
    <row r="207" spans="2:14" ht="18" customHeight="1" x14ac:dyDescent="0.15">
      <c r="B207" s="248"/>
      <c r="C207" s="248"/>
      <c r="D207" s="242"/>
      <c r="E207" s="242"/>
      <c r="F207" s="242"/>
      <c r="G207" s="242"/>
      <c r="H207" s="265"/>
      <c r="I207" s="242"/>
      <c r="J207" s="242"/>
      <c r="K207" s="248"/>
      <c r="L207" s="248"/>
      <c r="M207" s="248"/>
      <c r="N207" s="242"/>
    </row>
    <row r="208" spans="2:14" ht="18" customHeight="1" x14ac:dyDescent="0.15">
      <c r="B208" s="248"/>
      <c r="C208" s="248"/>
      <c r="D208" s="242"/>
      <c r="E208" s="242"/>
      <c r="F208" s="242"/>
      <c r="G208" s="242"/>
      <c r="H208" s="265"/>
      <c r="I208" s="242"/>
      <c r="J208" s="242"/>
      <c r="K208" s="248"/>
      <c r="L208" s="248"/>
      <c r="M208" s="248"/>
      <c r="N208" s="242"/>
    </row>
    <row r="209" spans="2:14" ht="18" customHeight="1" x14ac:dyDescent="0.15">
      <c r="B209" s="248"/>
      <c r="C209" s="248"/>
      <c r="D209" s="242"/>
      <c r="E209" s="242"/>
      <c r="F209" s="242"/>
      <c r="G209" s="242"/>
      <c r="H209" s="265"/>
      <c r="I209" s="242"/>
      <c r="J209" s="242"/>
      <c r="K209" s="248"/>
      <c r="L209" s="248"/>
      <c r="M209" s="248"/>
      <c r="N209" s="242"/>
    </row>
    <row r="210" spans="2:14" ht="18" customHeight="1" x14ac:dyDescent="0.15">
      <c r="B210" s="248"/>
      <c r="C210" s="248"/>
      <c r="D210" s="242"/>
      <c r="E210" s="242"/>
      <c r="F210" s="242"/>
      <c r="G210" s="242"/>
      <c r="H210" s="265"/>
      <c r="I210" s="242"/>
      <c r="J210" s="242"/>
      <c r="K210" s="248"/>
      <c r="L210" s="248"/>
      <c r="M210" s="248"/>
      <c r="N210" s="242"/>
    </row>
    <row r="211" spans="2:14" ht="18" customHeight="1" x14ac:dyDescent="0.15">
      <c r="B211" s="248"/>
      <c r="C211" s="248"/>
      <c r="D211" s="242"/>
      <c r="E211" s="242"/>
      <c r="F211" s="242"/>
      <c r="G211" s="242"/>
      <c r="H211" s="265"/>
      <c r="I211" s="242"/>
      <c r="J211" s="242"/>
      <c r="K211" s="248"/>
      <c r="L211" s="248"/>
      <c r="M211" s="248"/>
      <c r="N211" s="242"/>
    </row>
    <row r="212" spans="2:14" ht="18" customHeight="1" x14ac:dyDescent="0.15">
      <c r="B212" s="248"/>
      <c r="C212" s="248"/>
      <c r="D212" s="242"/>
      <c r="E212" s="242"/>
      <c r="F212" s="242"/>
      <c r="G212" s="242"/>
      <c r="H212" s="265"/>
      <c r="I212" s="242"/>
      <c r="J212" s="242"/>
      <c r="K212" s="248"/>
      <c r="L212" s="248"/>
      <c r="M212" s="248"/>
      <c r="N212" s="242"/>
    </row>
    <row r="213" spans="2:14" ht="18" customHeight="1" x14ac:dyDescent="0.15">
      <c r="B213" s="248"/>
      <c r="C213" s="248"/>
      <c r="D213" s="242"/>
      <c r="E213" s="242"/>
      <c r="F213" s="242"/>
      <c r="G213" s="242"/>
      <c r="H213" s="265"/>
      <c r="I213" s="242"/>
      <c r="J213" s="242"/>
      <c r="K213" s="248"/>
      <c r="L213" s="248"/>
      <c r="M213" s="248"/>
      <c r="N213" s="242"/>
    </row>
    <row r="214" spans="2:14" ht="18" customHeight="1" x14ac:dyDescent="0.15">
      <c r="B214" s="248"/>
      <c r="C214" s="248"/>
      <c r="D214" s="242"/>
      <c r="E214" s="242"/>
      <c r="F214" s="242"/>
      <c r="G214" s="242"/>
      <c r="H214" s="265"/>
      <c r="I214" s="242"/>
      <c r="J214" s="242"/>
      <c r="K214" s="248"/>
      <c r="L214" s="248"/>
      <c r="M214" s="248"/>
      <c r="N214" s="242"/>
    </row>
    <row r="215" spans="2:14" ht="18" customHeight="1" x14ac:dyDescent="0.15">
      <c r="B215" s="248"/>
      <c r="C215" s="248"/>
      <c r="D215" s="242"/>
      <c r="E215" s="242"/>
      <c r="F215" s="242"/>
      <c r="G215" s="242"/>
      <c r="H215" s="265"/>
      <c r="I215" s="242"/>
      <c r="J215" s="242"/>
      <c r="K215" s="248"/>
      <c r="L215" s="248"/>
      <c r="M215" s="248"/>
      <c r="N215" s="242"/>
    </row>
    <row r="216" spans="2:14" ht="18" customHeight="1" x14ac:dyDescent="0.15">
      <c r="B216" s="248"/>
      <c r="C216" s="248"/>
      <c r="D216" s="242"/>
      <c r="E216" s="242"/>
      <c r="F216" s="242"/>
      <c r="G216" s="242"/>
      <c r="H216" s="265"/>
      <c r="I216" s="242"/>
      <c r="J216" s="242"/>
      <c r="K216" s="248"/>
      <c r="L216" s="248"/>
      <c r="M216" s="248"/>
      <c r="N216" s="242"/>
    </row>
    <row r="217" spans="2:14" ht="18" customHeight="1" x14ac:dyDescent="0.15">
      <c r="B217" s="248"/>
      <c r="C217" s="248"/>
      <c r="D217" s="242"/>
      <c r="E217" s="242"/>
      <c r="F217" s="242"/>
      <c r="G217" s="242"/>
      <c r="H217" s="265"/>
      <c r="I217" s="242"/>
      <c r="J217" s="242"/>
      <c r="K217" s="248"/>
      <c r="L217" s="248"/>
      <c r="M217" s="248"/>
      <c r="N217" s="242"/>
    </row>
    <row r="218" spans="2:14" ht="18" customHeight="1" x14ac:dyDescent="0.15">
      <c r="B218" s="248"/>
      <c r="C218" s="248"/>
      <c r="D218" s="242"/>
      <c r="E218" s="242"/>
      <c r="F218" s="242"/>
      <c r="G218" s="242"/>
      <c r="H218" s="265"/>
      <c r="I218" s="242"/>
      <c r="J218" s="242"/>
      <c r="K218" s="248"/>
      <c r="L218" s="248"/>
      <c r="M218" s="248"/>
      <c r="N218" s="242"/>
    </row>
    <row r="219" spans="2:14" ht="18" customHeight="1" x14ac:dyDescent="0.15">
      <c r="B219" s="248"/>
      <c r="C219" s="248"/>
      <c r="D219" s="242"/>
      <c r="E219" s="242"/>
      <c r="F219" s="242"/>
      <c r="G219" s="242"/>
      <c r="H219" s="265"/>
      <c r="I219" s="242"/>
      <c r="J219" s="242"/>
      <c r="K219" s="248"/>
      <c r="L219" s="248"/>
      <c r="M219" s="248"/>
      <c r="N219" s="242"/>
    </row>
    <row r="220" spans="2:14" ht="18" customHeight="1" x14ac:dyDescent="0.15">
      <c r="B220" s="248"/>
      <c r="C220" s="248"/>
      <c r="D220" s="242"/>
      <c r="E220" s="242"/>
      <c r="F220" s="242"/>
      <c r="G220" s="242"/>
      <c r="H220" s="265"/>
      <c r="I220" s="242"/>
      <c r="J220" s="242"/>
      <c r="K220" s="248"/>
      <c r="L220" s="248"/>
      <c r="M220" s="248"/>
      <c r="N220" s="242"/>
    </row>
    <row r="221" spans="2:14" ht="18" customHeight="1" x14ac:dyDescent="0.15">
      <c r="B221" s="248"/>
      <c r="C221" s="248"/>
      <c r="D221" s="242"/>
      <c r="E221" s="242"/>
      <c r="F221" s="242"/>
      <c r="G221" s="242"/>
      <c r="H221" s="265"/>
      <c r="I221" s="242"/>
      <c r="J221" s="242"/>
      <c r="K221" s="248"/>
      <c r="L221" s="248"/>
      <c r="M221" s="248"/>
      <c r="N221" s="242"/>
    </row>
    <row r="222" spans="2:14" ht="18" customHeight="1" x14ac:dyDescent="0.15">
      <c r="B222" s="248"/>
      <c r="C222" s="248"/>
      <c r="D222" s="242"/>
      <c r="E222" s="242"/>
      <c r="F222" s="242"/>
      <c r="G222" s="242"/>
      <c r="H222" s="265"/>
      <c r="I222" s="242"/>
      <c r="J222" s="242"/>
      <c r="K222" s="248"/>
      <c r="L222" s="248"/>
      <c r="M222" s="248"/>
      <c r="N222" s="242"/>
    </row>
    <row r="223" spans="2:14" ht="18" customHeight="1" x14ac:dyDescent="0.15">
      <c r="B223" s="248"/>
      <c r="C223" s="248"/>
      <c r="D223" s="242"/>
      <c r="E223" s="242"/>
      <c r="F223" s="242"/>
      <c r="G223" s="242"/>
      <c r="H223" s="265"/>
      <c r="I223" s="242"/>
      <c r="J223" s="242"/>
      <c r="K223" s="248"/>
      <c r="L223" s="248"/>
      <c r="M223" s="248"/>
      <c r="N223" s="242"/>
    </row>
    <row r="224" spans="2:14" ht="18" customHeight="1" x14ac:dyDescent="0.15">
      <c r="B224" s="248"/>
      <c r="C224" s="248"/>
      <c r="D224" s="242"/>
      <c r="E224" s="242"/>
      <c r="F224" s="242"/>
      <c r="G224" s="242"/>
      <c r="H224" s="265"/>
      <c r="I224" s="242"/>
      <c r="J224" s="242"/>
      <c r="K224" s="248"/>
      <c r="L224" s="248"/>
      <c r="M224" s="248"/>
      <c r="N224" s="242"/>
    </row>
    <row r="225" spans="2:14" ht="18" customHeight="1" x14ac:dyDescent="0.15">
      <c r="B225" s="248"/>
      <c r="C225" s="248"/>
      <c r="D225" s="242"/>
      <c r="E225" s="242"/>
      <c r="F225" s="242"/>
      <c r="G225" s="242"/>
      <c r="H225" s="265"/>
      <c r="I225" s="242"/>
      <c r="J225" s="242"/>
      <c r="K225" s="248"/>
      <c r="L225" s="248"/>
      <c r="M225" s="248"/>
      <c r="N225" s="242"/>
    </row>
    <row r="226" spans="2:14" ht="18" customHeight="1" x14ac:dyDescent="0.15">
      <c r="B226" s="248"/>
      <c r="C226" s="248"/>
      <c r="D226" s="242"/>
      <c r="E226" s="242"/>
      <c r="F226" s="242"/>
      <c r="G226" s="242"/>
      <c r="H226" s="265"/>
      <c r="I226" s="242"/>
      <c r="J226" s="242"/>
      <c r="K226" s="248"/>
      <c r="L226" s="248"/>
      <c r="M226" s="248"/>
      <c r="N226" s="242"/>
    </row>
    <row r="227" spans="2:14" ht="18" customHeight="1" x14ac:dyDescent="0.15">
      <c r="B227" s="248"/>
      <c r="C227" s="248"/>
      <c r="D227" s="242"/>
      <c r="E227" s="242"/>
      <c r="F227" s="242"/>
      <c r="G227" s="242"/>
      <c r="H227" s="265"/>
      <c r="I227" s="242"/>
      <c r="J227" s="242"/>
      <c r="K227" s="248"/>
      <c r="L227" s="248"/>
      <c r="M227" s="248"/>
      <c r="N227" s="242"/>
    </row>
    <row r="228" spans="2:14" ht="18" customHeight="1" x14ac:dyDescent="0.15">
      <c r="B228" s="248"/>
      <c r="C228" s="248"/>
      <c r="D228" s="242"/>
      <c r="E228" s="242"/>
      <c r="F228" s="242"/>
      <c r="G228" s="242"/>
      <c r="H228" s="265"/>
      <c r="I228" s="242"/>
      <c r="J228" s="242"/>
      <c r="K228" s="248"/>
      <c r="L228" s="248"/>
      <c r="M228" s="248"/>
      <c r="N228" s="242"/>
    </row>
    <row r="229" spans="2:14" ht="18" customHeight="1" x14ac:dyDescent="0.15">
      <c r="B229" s="248"/>
      <c r="C229" s="248"/>
      <c r="D229" s="242"/>
      <c r="E229" s="242"/>
      <c r="F229" s="242"/>
      <c r="G229" s="242"/>
      <c r="H229" s="265"/>
      <c r="I229" s="242"/>
      <c r="J229" s="242"/>
      <c r="K229" s="248"/>
      <c r="L229" s="248"/>
      <c r="M229" s="248"/>
      <c r="N229" s="242"/>
    </row>
    <row r="230" spans="2:14" ht="18" customHeight="1" x14ac:dyDescent="0.15">
      <c r="B230" s="248"/>
      <c r="C230" s="248"/>
      <c r="D230" s="242"/>
      <c r="E230" s="242"/>
      <c r="F230" s="242"/>
      <c r="G230" s="242"/>
      <c r="H230" s="265"/>
      <c r="I230" s="242"/>
      <c r="J230" s="242"/>
      <c r="K230" s="248"/>
      <c r="L230" s="248"/>
      <c r="M230" s="248"/>
      <c r="N230" s="242"/>
    </row>
    <row r="231" spans="2:14" ht="18" customHeight="1" x14ac:dyDescent="0.15">
      <c r="B231" s="248"/>
      <c r="C231" s="248"/>
      <c r="D231" s="242"/>
      <c r="E231" s="242"/>
      <c r="F231" s="242"/>
      <c r="G231" s="242"/>
      <c r="H231" s="265"/>
      <c r="I231" s="242"/>
      <c r="J231" s="242"/>
      <c r="K231" s="248"/>
      <c r="L231" s="248"/>
      <c r="M231" s="248"/>
      <c r="N231" s="242"/>
    </row>
    <row r="232" spans="2:14" ht="18" customHeight="1" x14ac:dyDescent="0.15">
      <c r="B232" s="248"/>
      <c r="C232" s="248"/>
      <c r="D232" s="242"/>
      <c r="E232" s="242"/>
      <c r="F232" s="242"/>
      <c r="G232" s="242"/>
      <c r="H232" s="265"/>
      <c r="I232" s="242"/>
      <c r="J232" s="242"/>
      <c r="K232" s="248"/>
      <c r="L232" s="248"/>
      <c r="M232" s="248"/>
      <c r="N232" s="242"/>
    </row>
    <row r="233" spans="2:14" ht="18" customHeight="1" x14ac:dyDescent="0.15">
      <c r="B233" s="248"/>
      <c r="C233" s="248"/>
      <c r="D233" s="242"/>
      <c r="E233" s="242"/>
      <c r="F233" s="242"/>
      <c r="G233" s="242"/>
      <c r="H233" s="265"/>
      <c r="I233" s="242"/>
      <c r="J233" s="242"/>
      <c r="K233" s="248"/>
      <c r="L233" s="248"/>
      <c r="M233" s="248"/>
      <c r="N233" s="242"/>
    </row>
    <row r="234" spans="2:14" ht="18" customHeight="1" x14ac:dyDescent="0.15">
      <c r="B234" s="248"/>
      <c r="C234" s="248"/>
      <c r="D234" s="242"/>
      <c r="E234" s="242"/>
      <c r="F234" s="242"/>
      <c r="G234" s="242"/>
      <c r="H234" s="265"/>
      <c r="I234" s="242"/>
      <c r="J234" s="242"/>
      <c r="K234" s="248"/>
      <c r="L234" s="248"/>
      <c r="M234" s="248"/>
      <c r="N234" s="242"/>
    </row>
    <row r="235" spans="2:14" ht="18" customHeight="1" x14ac:dyDescent="0.15">
      <c r="B235" s="248"/>
      <c r="C235" s="248"/>
      <c r="D235" s="242"/>
      <c r="E235" s="242"/>
      <c r="F235" s="242"/>
      <c r="G235" s="242"/>
      <c r="H235" s="265"/>
      <c r="I235" s="242"/>
      <c r="J235" s="242"/>
      <c r="K235" s="248"/>
      <c r="L235" s="248"/>
      <c r="M235" s="248"/>
      <c r="N235" s="242"/>
    </row>
    <row r="236" spans="2:14" ht="18" customHeight="1" x14ac:dyDescent="0.15">
      <c r="B236" s="248"/>
      <c r="C236" s="248"/>
      <c r="D236" s="242"/>
      <c r="E236" s="242"/>
      <c r="F236" s="242"/>
      <c r="G236" s="242"/>
      <c r="H236" s="265"/>
      <c r="I236" s="242"/>
      <c r="J236" s="242"/>
      <c r="K236" s="248"/>
      <c r="L236" s="248"/>
      <c r="M236" s="248"/>
      <c r="N236" s="242"/>
    </row>
    <row r="237" spans="2:14" ht="18" customHeight="1" x14ac:dyDescent="0.15">
      <c r="B237" s="248"/>
      <c r="C237" s="248"/>
      <c r="D237" s="242"/>
      <c r="E237" s="242"/>
      <c r="F237" s="242"/>
      <c r="G237" s="242"/>
      <c r="H237" s="265"/>
      <c r="I237" s="242"/>
      <c r="J237" s="242"/>
      <c r="K237" s="248"/>
      <c r="L237" s="248"/>
      <c r="M237" s="248"/>
      <c r="N237" s="242"/>
    </row>
    <row r="238" spans="2:14" ht="18" customHeight="1" x14ac:dyDescent="0.15">
      <c r="B238" s="248"/>
      <c r="C238" s="248"/>
      <c r="D238" s="242"/>
      <c r="E238" s="242"/>
      <c r="F238" s="242"/>
      <c r="G238" s="242"/>
      <c r="H238" s="265"/>
      <c r="I238" s="242"/>
      <c r="J238" s="242"/>
      <c r="K238" s="248"/>
      <c r="L238" s="248"/>
      <c r="M238" s="248"/>
      <c r="N238" s="242"/>
    </row>
    <row r="239" spans="2:14" ht="18" customHeight="1" x14ac:dyDescent="0.15">
      <c r="B239" s="248"/>
      <c r="C239" s="248"/>
      <c r="D239" s="242"/>
      <c r="E239" s="242"/>
      <c r="F239" s="242"/>
      <c r="G239" s="242"/>
      <c r="H239" s="265"/>
      <c r="I239" s="242"/>
      <c r="J239" s="242"/>
      <c r="K239" s="248"/>
      <c r="L239" s="248"/>
      <c r="M239" s="248"/>
      <c r="N239" s="242"/>
    </row>
    <row r="240" spans="2:14" ht="18" customHeight="1" x14ac:dyDescent="0.15">
      <c r="B240" s="248"/>
      <c r="C240" s="248"/>
      <c r="D240" s="242"/>
      <c r="E240" s="242"/>
      <c r="F240" s="242"/>
      <c r="G240" s="242"/>
      <c r="H240" s="265"/>
      <c r="I240" s="242"/>
      <c r="J240" s="242"/>
      <c r="K240" s="248"/>
      <c r="L240" s="248"/>
      <c r="M240" s="248"/>
      <c r="N240" s="242"/>
    </row>
    <row r="241" spans="2:14" ht="18" customHeight="1" x14ac:dyDescent="0.15">
      <c r="B241" s="248"/>
      <c r="C241" s="248"/>
      <c r="D241" s="242"/>
      <c r="E241" s="242"/>
      <c r="F241" s="242"/>
      <c r="G241" s="242"/>
      <c r="H241" s="265"/>
      <c r="I241" s="242"/>
      <c r="J241" s="242"/>
      <c r="K241" s="248"/>
      <c r="L241" s="248"/>
      <c r="M241" s="248"/>
      <c r="N241" s="242"/>
    </row>
    <row r="242" spans="2:14" ht="18" customHeight="1" x14ac:dyDescent="0.15">
      <c r="B242" s="248"/>
      <c r="C242" s="248"/>
      <c r="D242" s="242"/>
      <c r="E242" s="242"/>
      <c r="F242" s="242"/>
      <c r="G242" s="242"/>
      <c r="H242" s="265"/>
      <c r="I242" s="242"/>
      <c r="J242" s="242"/>
      <c r="K242" s="248"/>
      <c r="L242" s="248"/>
      <c r="M242" s="248"/>
      <c r="N242" s="242"/>
    </row>
    <row r="243" spans="2:14" ht="18" customHeight="1" x14ac:dyDescent="0.15">
      <c r="B243" s="248"/>
      <c r="C243" s="248"/>
      <c r="D243" s="242"/>
      <c r="E243" s="242"/>
      <c r="F243" s="242"/>
      <c r="G243" s="242"/>
      <c r="H243" s="265"/>
      <c r="I243" s="242"/>
      <c r="J243" s="242"/>
      <c r="K243" s="248"/>
      <c r="L243" s="248"/>
      <c r="M243" s="248"/>
      <c r="N243" s="242"/>
    </row>
    <row r="244" spans="2:14" ht="18" customHeight="1" x14ac:dyDescent="0.15">
      <c r="B244" s="248"/>
      <c r="C244" s="248"/>
      <c r="D244" s="242"/>
      <c r="E244" s="242"/>
      <c r="F244" s="242"/>
      <c r="G244" s="242"/>
      <c r="H244" s="265"/>
      <c r="I244" s="242"/>
      <c r="J244" s="242"/>
      <c r="K244" s="248"/>
      <c r="L244" s="248"/>
      <c r="M244" s="248"/>
      <c r="N244" s="242"/>
    </row>
    <row r="245" spans="2:14" ht="18" customHeight="1" x14ac:dyDescent="0.15">
      <c r="B245" s="248"/>
      <c r="C245" s="248"/>
      <c r="D245" s="242"/>
      <c r="E245" s="242"/>
      <c r="F245" s="242"/>
      <c r="G245" s="242"/>
      <c r="H245" s="265"/>
      <c r="I245" s="242"/>
      <c r="J245" s="242"/>
      <c r="K245" s="248"/>
      <c r="L245" s="248"/>
      <c r="M245" s="248"/>
      <c r="N245" s="242"/>
    </row>
    <row r="246" spans="2:14" ht="18" customHeight="1" x14ac:dyDescent="0.15">
      <c r="B246" s="248"/>
      <c r="C246" s="248"/>
      <c r="D246" s="242"/>
      <c r="E246" s="242"/>
      <c r="F246" s="242"/>
      <c r="G246" s="242"/>
      <c r="H246" s="265"/>
      <c r="I246" s="242"/>
      <c r="J246" s="242"/>
      <c r="K246" s="248"/>
      <c r="L246" s="248"/>
      <c r="M246" s="248"/>
      <c r="N246" s="242"/>
    </row>
    <row r="247" spans="2:14" ht="18" customHeight="1" x14ac:dyDescent="0.15">
      <c r="B247" s="248"/>
      <c r="C247" s="248"/>
      <c r="D247" s="242"/>
      <c r="E247" s="242"/>
      <c r="F247" s="242"/>
      <c r="G247" s="242"/>
      <c r="H247" s="265"/>
      <c r="I247" s="242"/>
      <c r="J247" s="242"/>
      <c r="K247" s="248"/>
      <c r="L247" s="248"/>
      <c r="M247" s="248"/>
      <c r="N247" s="242"/>
    </row>
    <row r="248" spans="2:14" ht="18" customHeight="1" x14ac:dyDescent="0.15">
      <c r="B248" s="248"/>
      <c r="C248" s="248"/>
      <c r="D248" s="242"/>
      <c r="E248" s="242"/>
      <c r="F248" s="242"/>
      <c r="G248" s="242"/>
      <c r="H248" s="265"/>
      <c r="I248" s="242"/>
      <c r="J248" s="242"/>
      <c r="K248" s="248"/>
      <c r="L248" s="248"/>
      <c r="M248" s="248"/>
      <c r="N248" s="242"/>
    </row>
    <row r="249" spans="2:14" ht="18" customHeight="1" x14ac:dyDescent="0.15">
      <c r="B249" s="248"/>
      <c r="C249" s="248"/>
      <c r="D249" s="242"/>
      <c r="E249" s="242"/>
      <c r="F249" s="242"/>
      <c r="G249" s="242"/>
      <c r="H249" s="265"/>
      <c r="I249" s="242"/>
      <c r="J249" s="242"/>
      <c r="K249" s="248"/>
      <c r="L249" s="248"/>
      <c r="M249" s="248"/>
      <c r="N249" s="242"/>
    </row>
    <row r="250" spans="2:14" ht="18" customHeight="1" x14ac:dyDescent="0.15">
      <c r="B250" s="248"/>
      <c r="C250" s="248"/>
      <c r="D250" s="242"/>
      <c r="E250" s="242"/>
      <c r="F250" s="242"/>
      <c r="G250" s="242"/>
      <c r="H250" s="265"/>
      <c r="I250" s="242"/>
      <c r="J250" s="242"/>
      <c r="K250" s="248"/>
      <c r="L250" s="248"/>
      <c r="M250" s="248"/>
      <c r="N250" s="242"/>
    </row>
    <row r="251" spans="2:14" ht="18" customHeight="1" x14ac:dyDescent="0.15">
      <c r="B251" s="248"/>
      <c r="C251" s="248"/>
      <c r="D251" s="242"/>
      <c r="E251" s="242"/>
      <c r="F251" s="242"/>
      <c r="G251" s="242"/>
      <c r="H251" s="265"/>
      <c r="I251" s="242"/>
      <c r="J251" s="242"/>
      <c r="K251" s="248"/>
      <c r="L251" s="248"/>
      <c r="M251" s="248"/>
      <c r="N251" s="242"/>
    </row>
    <row r="252" spans="2:14" ht="18" customHeight="1" x14ac:dyDescent="0.15">
      <c r="B252" s="248"/>
      <c r="C252" s="248"/>
      <c r="D252" s="242"/>
      <c r="E252" s="242"/>
      <c r="F252" s="242"/>
      <c r="G252" s="242"/>
      <c r="H252" s="265"/>
      <c r="I252" s="242"/>
      <c r="J252" s="242"/>
      <c r="K252" s="248"/>
      <c r="L252" s="248"/>
      <c r="M252" s="248"/>
      <c r="N252" s="242"/>
    </row>
    <row r="253" spans="2:14" ht="18" customHeight="1" x14ac:dyDescent="0.15">
      <c r="B253" s="248"/>
      <c r="C253" s="248"/>
      <c r="D253" s="242"/>
      <c r="E253" s="242"/>
      <c r="F253" s="242"/>
      <c r="G253" s="242"/>
      <c r="H253" s="265"/>
      <c r="I253" s="242"/>
      <c r="J253" s="242"/>
      <c r="K253" s="248"/>
      <c r="L253" s="248"/>
      <c r="M253" s="248"/>
      <c r="N253" s="242"/>
    </row>
    <row r="254" spans="2:14" ht="18" customHeight="1" x14ac:dyDescent="0.15">
      <c r="B254" s="248"/>
      <c r="C254" s="248"/>
      <c r="D254" s="242"/>
      <c r="E254" s="242"/>
      <c r="F254" s="242"/>
      <c r="G254" s="242"/>
      <c r="H254" s="265"/>
      <c r="I254" s="242"/>
      <c r="J254" s="242"/>
      <c r="K254" s="248"/>
      <c r="L254" s="248"/>
      <c r="M254" s="248"/>
      <c r="N254" s="242"/>
    </row>
    <row r="255" spans="2:14" ht="18" customHeight="1" x14ac:dyDescent="0.15">
      <c r="B255" s="248"/>
      <c r="C255" s="248"/>
      <c r="D255" s="242"/>
      <c r="E255" s="242"/>
      <c r="F255" s="242"/>
      <c r="G255" s="242"/>
      <c r="H255" s="265"/>
      <c r="I255" s="242"/>
      <c r="J255" s="242"/>
      <c r="K255" s="248"/>
      <c r="L255" s="248"/>
      <c r="M255" s="248"/>
      <c r="N255" s="242"/>
    </row>
    <row r="256" spans="2:14" ht="18" customHeight="1" x14ac:dyDescent="0.15">
      <c r="B256" s="248"/>
      <c r="C256" s="248"/>
      <c r="D256" s="242"/>
      <c r="E256" s="242"/>
      <c r="F256" s="242"/>
      <c r="G256" s="242"/>
      <c r="H256" s="265"/>
      <c r="I256" s="242"/>
      <c r="J256" s="242"/>
      <c r="K256" s="248"/>
      <c r="L256" s="248"/>
      <c r="M256" s="248"/>
      <c r="N256" s="242"/>
    </row>
    <row r="257" spans="2:14" ht="18" customHeight="1" x14ac:dyDescent="0.15">
      <c r="B257" s="248"/>
      <c r="C257" s="248"/>
      <c r="D257" s="242"/>
      <c r="E257" s="242"/>
      <c r="F257" s="242"/>
      <c r="G257" s="242"/>
      <c r="H257" s="265"/>
      <c r="I257" s="242"/>
      <c r="J257" s="242"/>
      <c r="K257" s="248"/>
      <c r="L257" s="248"/>
      <c r="M257" s="248"/>
      <c r="N257" s="242"/>
    </row>
    <row r="258" spans="2:14" ht="18" customHeight="1" x14ac:dyDescent="0.15">
      <c r="B258" s="248"/>
      <c r="C258" s="248"/>
      <c r="D258" s="242"/>
      <c r="E258" s="242"/>
      <c r="F258" s="242"/>
      <c r="G258" s="242"/>
      <c r="H258" s="265"/>
      <c r="I258" s="242"/>
      <c r="J258" s="242"/>
      <c r="K258" s="248"/>
      <c r="L258" s="248"/>
      <c r="M258" s="248"/>
      <c r="N258" s="242"/>
    </row>
    <row r="259" spans="2:14" ht="18" customHeight="1" x14ac:dyDescent="0.15">
      <c r="B259" s="248"/>
      <c r="C259" s="248"/>
      <c r="D259" s="242"/>
      <c r="E259" s="242"/>
      <c r="F259" s="242"/>
      <c r="G259" s="242"/>
      <c r="H259" s="265"/>
      <c r="I259" s="242"/>
      <c r="J259" s="242"/>
      <c r="K259" s="248"/>
      <c r="L259" s="248"/>
      <c r="M259" s="248"/>
      <c r="N259" s="242"/>
    </row>
    <row r="260" spans="2:14" ht="18" customHeight="1" x14ac:dyDescent="0.15">
      <c r="B260" s="248"/>
      <c r="C260" s="248"/>
      <c r="D260" s="242"/>
      <c r="E260" s="242"/>
      <c r="F260" s="242"/>
      <c r="G260" s="242"/>
      <c r="H260" s="265"/>
      <c r="I260" s="242"/>
      <c r="J260" s="242"/>
      <c r="K260" s="248"/>
      <c r="L260" s="248"/>
      <c r="M260" s="248"/>
      <c r="N260" s="242"/>
    </row>
    <row r="261" spans="2:14" ht="18" customHeight="1" x14ac:dyDescent="0.15">
      <c r="B261" s="248"/>
      <c r="C261" s="248"/>
      <c r="D261" s="242"/>
      <c r="E261" s="242"/>
      <c r="F261" s="242"/>
      <c r="G261" s="242"/>
      <c r="H261" s="265"/>
      <c r="I261" s="242"/>
      <c r="J261" s="242"/>
      <c r="K261" s="248"/>
      <c r="L261" s="248"/>
      <c r="M261" s="248"/>
      <c r="N261" s="242"/>
    </row>
    <row r="262" spans="2:14" ht="18" customHeight="1" x14ac:dyDescent="0.15">
      <c r="B262" s="248"/>
      <c r="C262" s="248"/>
      <c r="D262" s="242"/>
      <c r="E262" s="242"/>
      <c r="F262" s="242"/>
      <c r="G262" s="242"/>
      <c r="H262" s="265"/>
      <c r="I262" s="242"/>
      <c r="J262" s="242"/>
      <c r="K262" s="248"/>
      <c r="L262" s="248"/>
      <c r="M262" s="248"/>
      <c r="N262" s="242"/>
    </row>
    <row r="263" spans="2:14" ht="18" customHeight="1" x14ac:dyDescent="0.15">
      <c r="B263" s="248"/>
      <c r="C263" s="248"/>
      <c r="D263" s="242"/>
      <c r="E263" s="242"/>
      <c r="F263" s="242"/>
      <c r="G263" s="242"/>
      <c r="H263" s="265"/>
      <c r="I263" s="242"/>
      <c r="J263" s="242"/>
      <c r="K263" s="248"/>
      <c r="L263" s="248"/>
      <c r="M263" s="248"/>
      <c r="N263" s="242"/>
    </row>
    <row r="264" spans="2:14" ht="18" customHeight="1" x14ac:dyDescent="0.15">
      <c r="B264" s="248"/>
      <c r="C264" s="248"/>
      <c r="D264" s="242"/>
      <c r="E264" s="242"/>
      <c r="F264" s="242"/>
      <c r="G264" s="242"/>
      <c r="H264" s="265"/>
      <c r="I264" s="242"/>
      <c r="J264" s="242"/>
      <c r="K264" s="248"/>
      <c r="L264" s="248"/>
      <c r="M264" s="248"/>
      <c r="N264" s="242"/>
    </row>
    <row r="265" spans="2:14" ht="18" customHeight="1" x14ac:dyDescent="0.15">
      <c r="B265" s="248"/>
      <c r="C265" s="248"/>
      <c r="D265" s="242"/>
      <c r="E265" s="242"/>
      <c r="F265" s="242"/>
      <c r="G265" s="242"/>
      <c r="H265" s="265"/>
      <c r="I265" s="242"/>
      <c r="J265" s="242"/>
      <c r="K265" s="248"/>
      <c r="L265" s="248"/>
      <c r="M265" s="248"/>
      <c r="N265" s="242"/>
    </row>
    <row r="266" spans="2:14" ht="18" customHeight="1" x14ac:dyDescent="0.15">
      <c r="B266" s="248"/>
      <c r="C266" s="248"/>
      <c r="D266" s="242"/>
      <c r="E266" s="242"/>
      <c r="F266" s="242"/>
      <c r="G266" s="242"/>
      <c r="H266" s="265"/>
      <c r="I266" s="242"/>
      <c r="J266" s="242"/>
      <c r="K266" s="248"/>
      <c r="L266" s="248"/>
      <c r="M266" s="248"/>
      <c r="N266" s="242"/>
    </row>
    <row r="267" spans="2:14" ht="18" customHeight="1" x14ac:dyDescent="0.15">
      <c r="B267" s="248"/>
      <c r="C267" s="248"/>
      <c r="D267" s="242"/>
      <c r="E267" s="242"/>
      <c r="F267" s="242"/>
      <c r="G267" s="242"/>
      <c r="H267" s="265"/>
      <c r="I267" s="242"/>
      <c r="J267" s="242"/>
      <c r="K267" s="248"/>
      <c r="L267" s="248"/>
      <c r="M267" s="248"/>
      <c r="N267" s="242"/>
    </row>
    <row r="268" spans="2:14" ht="18" customHeight="1" x14ac:dyDescent="0.15">
      <c r="B268" s="248"/>
      <c r="C268" s="248"/>
      <c r="D268" s="242"/>
      <c r="E268" s="242"/>
      <c r="F268" s="242"/>
      <c r="G268" s="242"/>
      <c r="H268" s="265"/>
      <c r="I268" s="242"/>
      <c r="J268" s="242"/>
      <c r="K268" s="248"/>
      <c r="L268" s="248"/>
      <c r="M268" s="248"/>
      <c r="N268" s="242"/>
    </row>
    <row r="269" spans="2:14" ht="18" customHeight="1" x14ac:dyDescent="0.15">
      <c r="B269" s="248"/>
      <c r="C269" s="248"/>
      <c r="D269" s="242"/>
      <c r="E269" s="242"/>
      <c r="F269" s="242"/>
      <c r="G269" s="242"/>
      <c r="H269" s="265"/>
      <c r="I269" s="242"/>
      <c r="J269" s="242"/>
      <c r="K269" s="248"/>
      <c r="L269" s="248"/>
      <c r="M269" s="248"/>
      <c r="N269" s="242"/>
    </row>
    <row r="270" spans="2:14" ht="18" customHeight="1" x14ac:dyDescent="0.15">
      <c r="B270" s="248"/>
      <c r="C270" s="248"/>
      <c r="D270" s="242"/>
      <c r="E270" s="242"/>
      <c r="F270" s="242"/>
      <c r="G270" s="242"/>
      <c r="H270" s="265"/>
      <c r="I270" s="242"/>
      <c r="J270" s="242"/>
      <c r="K270" s="248"/>
      <c r="L270" s="248"/>
      <c r="M270" s="248"/>
      <c r="N270" s="242"/>
    </row>
    <row r="271" spans="2:14" ht="18" customHeight="1" x14ac:dyDescent="0.15">
      <c r="B271" s="248"/>
      <c r="C271" s="248"/>
      <c r="D271" s="242"/>
      <c r="E271" s="242"/>
      <c r="F271" s="242"/>
      <c r="G271" s="242"/>
      <c r="H271" s="265"/>
      <c r="I271" s="242"/>
      <c r="J271" s="242"/>
      <c r="K271" s="248"/>
      <c r="L271" s="248"/>
      <c r="M271" s="248"/>
      <c r="N271" s="242"/>
    </row>
    <row r="272" spans="2:14" ht="18" customHeight="1" x14ac:dyDescent="0.15">
      <c r="B272" s="248"/>
      <c r="C272" s="248"/>
      <c r="D272" s="242"/>
      <c r="E272" s="242"/>
      <c r="F272" s="242"/>
      <c r="G272" s="242"/>
      <c r="H272" s="265"/>
      <c r="I272" s="242"/>
      <c r="J272" s="242"/>
      <c r="K272" s="248"/>
      <c r="L272" s="248"/>
      <c r="M272" s="248"/>
      <c r="N272" s="242"/>
    </row>
    <row r="273" spans="2:14" ht="18" customHeight="1" x14ac:dyDescent="0.15">
      <c r="B273" s="248"/>
      <c r="C273" s="248"/>
      <c r="D273" s="242"/>
      <c r="E273" s="242"/>
      <c r="F273" s="242"/>
      <c r="G273" s="242"/>
      <c r="H273" s="265"/>
      <c r="I273" s="242"/>
      <c r="J273" s="242"/>
      <c r="K273" s="248"/>
      <c r="L273" s="248"/>
      <c r="M273" s="248"/>
      <c r="N273" s="242"/>
    </row>
    <row r="274" spans="2:14" ht="18" customHeight="1" x14ac:dyDescent="0.15">
      <c r="B274" s="248"/>
      <c r="C274" s="248"/>
      <c r="D274" s="242"/>
      <c r="E274" s="242"/>
      <c r="F274" s="242"/>
      <c r="G274" s="242"/>
      <c r="H274" s="265"/>
      <c r="I274" s="242"/>
      <c r="J274" s="242"/>
      <c r="K274" s="248"/>
      <c r="L274" s="248"/>
      <c r="M274" s="248"/>
      <c r="N274" s="242"/>
    </row>
    <row r="275" spans="2:14" ht="18" customHeight="1" x14ac:dyDescent="0.15">
      <c r="B275" s="248"/>
      <c r="C275" s="248"/>
      <c r="D275" s="242"/>
      <c r="E275" s="242"/>
      <c r="F275" s="242"/>
      <c r="G275" s="242"/>
      <c r="H275" s="265"/>
      <c r="I275" s="242"/>
      <c r="J275" s="242"/>
      <c r="K275" s="248"/>
      <c r="L275" s="248"/>
      <c r="M275" s="248"/>
      <c r="N275" s="242"/>
    </row>
    <row r="276" spans="2:14" ht="18" customHeight="1" x14ac:dyDescent="0.15">
      <c r="B276" s="248"/>
      <c r="C276" s="248"/>
      <c r="D276" s="242"/>
      <c r="E276" s="242"/>
      <c r="F276" s="242"/>
      <c r="G276" s="242"/>
      <c r="H276" s="265"/>
      <c r="I276" s="242"/>
      <c r="J276" s="242"/>
      <c r="K276" s="248"/>
      <c r="L276" s="248"/>
      <c r="M276" s="248"/>
      <c r="N276" s="242"/>
    </row>
    <row r="277" spans="2:14" ht="18" customHeight="1" x14ac:dyDescent="0.15">
      <c r="B277" s="248"/>
      <c r="C277" s="248"/>
      <c r="D277" s="242"/>
      <c r="E277" s="242"/>
      <c r="F277" s="242"/>
      <c r="G277" s="242"/>
      <c r="H277" s="265"/>
      <c r="I277" s="242"/>
      <c r="J277" s="242"/>
      <c r="K277" s="248"/>
      <c r="L277" s="248"/>
      <c r="M277" s="248"/>
      <c r="N277" s="242"/>
    </row>
    <row r="278" spans="2:14" ht="18" customHeight="1" x14ac:dyDescent="0.15">
      <c r="B278" s="248"/>
      <c r="C278" s="248"/>
      <c r="D278" s="242"/>
      <c r="E278" s="242"/>
      <c r="F278" s="242"/>
      <c r="G278" s="242"/>
      <c r="H278" s="265"/>
      <c r="I278" s="242"/>
      <c r="J278" s="242"/>
      <c r="K278" s="248"/>
      <c r="L278" s="248"/>
      <c r="M278" s="248"/>
      <c r="N278" s="242"/>
    </row>
    <row r="279" spans="2:14" ht="18" customHeight="1" x14ac:dyDescent="0.15">
      <c r="B279" s="248"/>
      <c r="C279" s="248"/>
      <c r="D279" s="242"/>
      <c r="E279" s="242"/>
      <c r="F279" s="242"/>
      <c r="G279" s="242"/>
      <c r="H279" s="265"/>
      <c r="I279" s="242"/>
      <c r="J279" s="242"/>
      <c r="K279" s="248"/>
      <c r="L279" s="248"/>
      <c r="M279" s="248"/>
      <c r="N279" s="242"/>
    </row>
    <row r="280" spans="2:14" ht="18" customHeight="1" x14ac:dyDescent="0.15">
      <c r="B280" s="248"/>
      <c r="C280" s="248"/>
      <c r="D280" s="242"/>
      <c r="E280" s="242"/>
      <c r="F280" s="242"/>
      <c r="G280" s="242"/>
      <c r="H280" s="265"/>
      <c r="I280" s="242"/>
      <c r="J280" s="242"/>
      <c r="K280" s="248"/>
      <c r="L280" s="248"/>
      <c r="M280" s="248"/>
      <c r="N280" s="242"/>
    </row>
    <row r="281" spans="2:14" ht="18" customHeight="1" x14ac:dyDescent="0.15">
      <c r="B281" s="248"/>
      <c r="C281" s="248"/>
      <c r="D281" s="242"/>
      <c r="E281" s="242"/>
      <c r="F281" s="242"/>
      <c r="G281" s="242"/>
      <c r="H281" s="265"/>
      <c r="I281" s="242"/>
      <c r="J281" s="242"/>
      <c r="K281" s="248"/>
      <c r="L281" s="248"/>
      <c r="M281" s="248"/>
      <c r="N281" s="242"/>
    </row>
    <row r="282" spans="2:14" ht="18" customHeight="1" x14ac:dyDescent="0.15">
      <c r="B282" s="248"/>
      <c r="C282" s="248"/>
      <c r="D282" s="242"/>
      <c r="E282" s="242"/>
      <c r="F282" s="242"/>
      <c r="G282" s="242"/>
      <c r="H282" s="265"/>
      <c r="I282" s="242"/>
      <c r="J282" s="242"/>
      <c r="K282" s="248"/>
      <c r="L282" s="248"/>
      <c r="M282" s="248"/>
      <c r="N282" s="242"/>
    </row>
    <row r="283" spans="2:14" ht="18" customHeight="1" x14ac:dyDescent="0.15">
      <c r="B283" s="248"/>
      <c r="C283" s="248"/>
      <c r="D283" s="242"/>
      <c r="E283" s="242"/>
      <c r="F283" s="242"/>
      <c r="G283" s="242"/>
      <c r="H283" s="265"/>
      <c r="I283" s="242"/>
      <c r="J283" s="242"/>
      <c r="K283" s="248"/>
      <c r="L283" s="248"/>
      <c r="M283" s="248"/>
      <c r="N283" s="242"/>
    </row>
    <row r="284" spans="2:14" ht="18" customHeight="1" x14ac:dyDescent="0.15">
      <c r="B284" s="248"/>
      <c r="C284" s="248"/>
      <c r="D284" s="242"/>
      <c r="E284" s="242"/>
      <c r="F284" s="242"/>
      <c r="G284" s="242"/>
      <c r="H284" s="265"/>
      <c r="I284" s="242"/>
      <c r="J284" s="242"/>
      <c r="K284" s="248"/>
      <c r="L284" s="248"/>
      <c r="M284" s="248"/>
      <c r="N284" s="242"/>
    </row>
    <row r="285" spans="2:14" ht="18" customHeight="1" x14ac:dyDescent="0.15">
      <c r="B285" s="248"/>
      <c r="C285" s="248"/>
      <c r="D285" s="242"/>
      <c r="E285" s="242"/>
      <c r="F285" s="242"/>
      <c r="G285" s="242"/>
      <c r="H285" s="265"/>
      <c r="I285" s="242"/>
      <c r="J285" s="242"/>
      <c r="K285" s="248"/>
      <c r="L285" s="248"/>
      <c r="M285" s="248"/>
      <c r="N285" s="242"/>
    </row>
    <row r="286" spans="2:14" ht="18" customHeight="1" x14ac:dyDescent="0.15">
      <c r="B286" s="248"/>
      <c r="C286" s="248"/>
      <c r="D286" s="242"/>
      <c r="E286" s="242"/>
      <c r="F286" s="242"/>
      <c r="G286" s="242"/>
      <c r="H286" s="265"/>
      <c r="I286" s="242"/>
      <c r="J286" s="242"/>
      <c r="K286" s="248"/>
      <c r="L286" s="248"/>
      <c r="M286" s="248"/>
      <c r="N286" s="242"/>
    </row>
    <row r="287" spans="2:14" ht="18" customHeight="1" x14ac:dyDescent="0.15">
      <c r="B287" s="248"/>
      <c r="C287" s="248"/>
      <c r="D287" s="242"/>
      <c r="E287" s="242"/>
      <c r="F287" s="242"/>
      <c r="G287" s="242"/>
      <c r="H287" s="265"/>
      <c r="I287" s="242"/>
      <c r="J287" s="242"/>
      <c r="K287" s="248"/>
      <c r="L287" s="248"/>
      <c r="M287" s="248"/>
      <c r="N287" s="242"/>
    </row>
    <row r="288" spans="2:14" ht="18" customHeight="1" x14ac:dyDescent="0.15">
      <c r="B288" s="248"/>
      <c r="C288" s="248"/>
      <c r="D288" s="242"/>
      <c r="E288" s="242"/>
      <c r="F288" s="242"/>
      <c r="G288" s="242"/>
      <c r="H288" s="265"/>
      <c r="I288" s="242"/>
      <c r="J288" s="242"/>
      <c r="K288" s="248"/>
      <c r="L288" s="248"/>
      <c r="M288" s="248"/>
      <c r="N288" s="242"/>
    </row>
    <row r="289" spans="2:14" ht="18" customHeight="1" x14ac:dyDescent="0.15">
      <c r="B289" s="248"/>
      <c r="C289" s="248"/>
      <c r="D289" s="242"/>
      <c r="E289" s="242"/>
      <c r="F289" s="242"/>
      <c r="G289" s="242"/>
      <c r="H289" s="265"/>
      <c r="I289" s="242"/>
      <c r="J289" s="242"/>
      <c r="K289" s="248"/>
      <c r="L289" s="248"/>
      <c r="M289" s="248"/>
      <c r="N289" s="242"/>
    </row>
    <row r="290" spans="2:14" ht="18" customHeight="1" x14ac:dyDescent="0.15">
      <c r="B290" s="248"/>
      <c r="C290" s="248"/>
      <c r="D290" s="242"/>
      <c r="E290" s="242"/>
      <c r="F290" s="242"/>
      <c r="G290" s="242"/>
      <c r="H290" s="265"/>
      <c r="I290" s="242"/>
      <c r="J290" s="242"/>
      <c r="K290" s="248"/>
      <c r="L290" s="248"/>
      <c r="M290" s="248"/>
      <c r="N290" s="242"/>
    </row>
    <row r="291" spans="2:14" ht="18" customHeight="1" x14ac:dyDescent="0.15">
      <c r="B291" s="248"/>
      <c r="C291" s="248"/>
      <c r="D291" s="242"/>
      <c r="E291" s="242"/>
      <c r="F291" s="242"/>
      <c r="G291" s="242"/>
      <c r="H291" s="265"/>
      <c r="I291" s="242"/>
      <c r="J291" s="242"/>
      <c r="K291" s="248"/>
      <c r="L291" s="248"/>
      <c r="M291" s="248"/>
      <c r="N291" s="242"/>
    </row>
    <row r="292" spans="2:14" ht="18" customHeight="1" x14ac:dyDescent="0.15">
      <c r="B292" s="248"/>
      <c r="C292" s="248"/>
      <c r="D292" s="242"/>
      <c r="E292" s="242"/>
      <c r="F292" s="242"/>
      <c r="G292" s="242"/>
      <c r="H292" s="265"/>
      <c r="I292" s="242"/>
      <c r="J292" s="242"/>
      <c r="K292" s="248"/>
      <c r="L292" s="248"/>
      <c r="M292" s="248"/>
      <c r="N292" s="242"/>
    </row>
    <row r="293" spans="2:14" ht="18" customHeight="1" x14ac:dyDescent="0.15">
      <c r="B293" s="248"/>
      <c r="C293" s="248"/>
      <c r="D293" s="242"/>
      <c r="E293" s="242"/>
      <c r="F293" s="242"/>
      <c r="G293" s="242"/>
      <c r="H293" s="265"/>
      <c r="I293" s="242"/>
      <c r="J293" s="242"/>
      <c r="K293" s="248"/>
      <c r="L293" s="248"/>
      <c r="M293" s="248"/>
      <c r="N293" s="242"/>
    </row>
    <row r="294" spans="2:14" ht="18" customHeight="1" x14ac:dyDescent="0.15">
      <c r="B294" s="248"/>
      <c r="C294" s="248"/>
      <c r="D294" s="242"/>
      <c r="E294" s="242"/>
      <c r="F294" s="242"/>
      <c r="G294" s="242"/>
      <c r="H294" s="265"/>
      <c r="I294" s="242"/>
      <c r="J294" s="242"/>
      <c r="K294" s="248"/>
      <c r="L294" s="248"/>
      <c r="M294" s="248"/>
      <c r="N294" s="242"/>
    </row>
    <row r="295" spans="2:14" ht="18" customHeight="1" x14ac:dyDescent="0.15">
      <c r="B295" s="248"/>
      <c r="C295" s="248"/>
      <c r="D295" s="242"/>
      <c r="E295" s="242"/>
      <c r="F295" s="242"/>
      <c r="G295" s="242"/>
      <c r="H295" s="265"/>
      <c r="I295" s="242"/>
      <c r="J295" s="242"/>
      <c r="K295" s="248"/>
      <c r="L295" s="248"/>
      <c r="M295" s="248"/>
      <c r="N295" s="242"/>
    </row>
    <row r="296" spans="2:14" ht="18" customHeight="1" x14ac:dyDescent="0.15">
      <c r="B296" s="248"/>
      <c r="C296" s="248"/>
      <c r="D296" s="242"/>
      <c r="E296" s="242"/>
      <c r="F296" s="242"/>
      <c r="G296" s="242"/>
      <c r="H296" s="265"/>
      <c r="I296" s="242"/>
      <c r="J296" s="242"/>
      <c r="K296" s="248"/>
      <c r="L296" s="248"/>
      <c r="M296" s="248"/>
      <c r="N296" s="242"/>
    </row>
    <row r="297" spans="2:14" ht="18" customHeight="1" x14ac:dyDescent="0.15">
      <c r="B297" s="248"/>
      <c r="C297" s="248"/>
      <c r="D297" s="242"/>
      <c r="E297" s="242"/>
      <c r="F297" s="242"/>
      <c r="G297" s="242"/>
      <c r="H297" s="265"/>
      <c r="I297" s="242"/>
      <c r="J297" s="242"/>
      <c r="K297" s="248"/>
      <c r="L297" s="248"/>
      <c r="M297" s="248"/>
      <c r="N297" s="242"/>
    </row>
    <row r="298" spans="2:14" ht="18" customHeight="1" x14ac:dyDescent="0.15">
      <c r="B298" s="248"/>
      <c r="C298" s="248"/>
      <c r="D298" s="242"/>
      <c r="E298" s="242"/>
      <c r="F298" s="242"/>
      <c r="G298" s="242"/>
      <c r="H298" s="265"/>
      <c r="I298" s="242"/>
      <c r="J298" s="242"/>
      <c r="K298" s="248"/>
      <c r="L298" s="248"/>
      <c r="M298" s="248"/>
      <c r="N298" s="242"/>
    </row>
    <row r="299" spans="2:14" ht="18" customHeight="1" x14ac:dyDescent="0.15">
      <c r="B299" s="248"/>
      <c r="C299" s="248"/>
      <c r="D299" s="242"/>
      <c r="E299" s="242"/>
      <c r="F299" s="242"/>
      <c r="G299" s="242"/>
      <c r="H299" s="265"/>
      <c r="I299" s="242"/>
      <c r="J299" s="242"/>
      <c r="K299" s="248"/>
      <c r="L299" s="248"/>
      <c r="M299" s="248"/>
      <c r="N299" s="242"/>
    </row>
    <row r="300" spans="2:14" ht="18" customHeight="1" x14ac:dyDescent="0.15">
      <c r="B300" s="248"/>
      <c r="C300" s="248"/>
      <c r="D300" s="242"/>
      <c r="E300" s="242"/>
      <c r="F300" s="242"/>
      <c r="G300" s="242"/>
      <c r="H300" s="265"/>
      <c r="I300" s="242"/>
      <c r="J300" s="242"/>
      <c r="K300" s="248"/>
      <c r="L300" s="248"/>
      <c r="M300" s="248"/>
      <c r="N300" s="242"/>
    </row>
    <row r="301" spans="2:14" ht="18" customHeight="1" x14ac:dyDescent="0.15">
      <c r="B301" s="248"/>
      <c r="C301" s="248"/>
      <c r="D301" s="242"/>
      <c r="E301" s="242"/>
      <c r="F301" s="242"/>
      <c r="G301" s="242"/>
      <c r="H301" s="265"/>
      <c r="I301" s="242"/>
      <c r="J301" s="242"/>
      <c r="K301" s="248"/>
      <c r="L301" s="248"/>
      <c r="M301" s="248"/>
      <c r="N301" s="242"/>
    </row>
    <row r="302" spans="2:14" ht="18" customHeight="1" x14ac:dyDescent="0.15">
      <c r="B302" s="248"/>
      <c r="C302" s="248"/>
      <c r="D302" s="242"/>
      <c r="E302" s="242"/>
      <c r="F302" s="242"/>
      <c r="G302" s="242"/>
      <c r="H302" s="265"/>
      <c r="I302" s="242"/>
      <c r="J302" s="242"/>
      <c r="K302" s="248"/>
      <c r="L302" s="248"/>
      <c r="M302" s="248"/>
      <c r="N302" s="242"/>
    </row>
    <row r="303" spans="2:14" ht="18" customHeight="1" x14ac:dyDescent="0.15">
      <c r="B303" s="248"/>
      <c r="C303" s="248"/>
      <c r="D303" s="242"/>
      <c r="E303" s="242"/>
      <c r="F303" s="242"/>
      <c r="G303" s="242"/>
      <c r="H303" s="265"/>
      <c r="I303" s="242"/>
      <c r="J303" s="242"/>
      <c r="K303" s="248"/>
      <c r="L303" s="248"/>
      <c r="M303" s="248"/>
      <c r="N303" s="242"/>
    </row>
    <row r="304" spans="2:14" ht="18" customHeight="1" x14ac:dyDescent="0.15">
      <c r="B304" s="248"/>
      <c r="C304" s="248"/>
      <c r="D304" s="242"/>
      <c r="E304" s="242"/>
      <c r="F304" s="242"/>
      <c r="G304" s="242"/>
      <c r="H304" s="265"/>
      <c r="I304" s="242"/>
      <c r="J304" s="242"/>
      <c r="K304" s="248"/>
      <c r="L304" s="248"/>
      <c r="M304" s="248"/>
      <c r="N304" s="242"/>
    </row>
    <row r="305" spans="2:14" ht="18" customHeight="1" x14ac:dyDescent="0.15">
      <c r="B305" s="248"/>
      <c r="C305" s="248"/>
      <c r="D305" s="242"/>
      <c r="E305" s="242"/>
      <c r="F305" s="242"/>
      <c r="G305" s="242"/>
      <c r="H305" s="265"/>
      <c r="I305" s="242"/>
      <c r="J305" s="242"/>
      <c r="K305" s="248"/>
      <c r="L305" s="248"/>
      <c r="M305" s="248"/>
      <c r="N305" s="242"/>
    </row>
    <row r="306" spans="2:14" ht="18" customHeight="1" x14ac:dyDescent="0.15">
      <c r="B306" s="248"/>
      <c r="C306" s="248"/>
      <c r="D306" s="242"/>
      <c r="E306" s="242"/>
      <c r="F306" s="242"/>
      <c r="G306" s="242"/>
      <c r="H306" s="265"/>
      <c r="I306" s="242"/>
      <c r="J306" s="242"/>
      <c r="K306" s="248"/>
      <c r="L306" s="248"/>
      <c r="M306" s="248"/>
      <c r="N306" s="242"/>
    </row>
    <row r="307" spans="2:14" ht="18" customHeight="1" x14ac:dyDescent="0.15">
      <c r="B307" s="248"/>
      <c r="C307" s="248"/>
      <c r="D307" s="242"/>
      <c r="E307" s="242"/>
      <c r="F307" s="242"/>
      <c r="G307" s="242"/>
      <c r="H307" s="265"/>
      <c r="I307" s="242"/>
      <c r="J307" s="242"/>
      <c r="K307" s="248"/>
      <c r="L307" s="248"/>
      <c r="M307" s="248"/>
      <c r="N307" s="242"/>
    </row>
    <row r="308" spans="2:14" ht="18" customHeight="1" x14ac:dyDescent="0.15">
      <c r="B308" s="248"/>
      <c r="C308" s="248"/>
      <c r="D308" s="242"/>
      <c r="E308" s="242"/>
      <c r="F308" s="242"/>
      <c r="G308" s="242"/>
      <c r="H308" s="265"/>
      <c r="I308" s="242"/>
      <c r="J308" s="242"/>
      <c r="K308" s="248"/>
      <c r="L308" s="248"/>
      <c r="M308" s="248"/>
      <c r="N308" s="242"/>
    </row>
    <row r="309" spans="2:14" ht="18" customHeight="1" x14ac:dyDescent="0.15">
      <c r="B309" s="248"/>
      <c r="C309" s="248"/>
      <c r="D309" s="242"/>
      <c r="E309" s="242"/>
      <c r="F309" s="242"/>
      <c r="G309" s="242"/>
      <c r="H309" s="265"/>
      <c r="I309" s="242"/>
      <c r="J309" s="242"/>
      <c r="K309" s="248"/>
      <c r="L309" s="248"/>
      <c r="M309" s="248"/>
      <c r="N309" s="242"/>
    </row>
    <row r="310" spans="2:14" ht="18" customHeight="1" x14ac:dyDescent="0.15">
      <c r="B310" s="248"/>
      <c r="C310" s="248"/>
      <c r="D310" s="242"/>
      <c r="E310" s="242"/>
      <c r="F310" s="242"/>
      <c r="G310" s="242"/>
      <c r="H310" s="265"/>
      <c r="I310" s="242"/>
      <c r="J310" s="242"/>
      <c r="K310" s="248"/>
      <c r="L310" s="248"/>
      <c r="M310" s="248"/>
      <c r="N310" s="242"/>
    </row>
    <row r="311" spans="2:14" ht="18" customHeight="1" x14ac:dyDescent="0.15">
      <c r="B311" s="248"/>
      <c r="C311" s="248"/>
      <c r="D311" s="242"/>
      <c r="E311" s="242"/>
      <c r="F311" s="242"/>
      <c r="G311" s="242"/>
      <c r="H311" s="265"/>
      <c r="I311" s="242"/>
      <c r="J311" s="242"/>
      <c r="K311" s="248"/>
      <c r="L311" s="248"/>
      <c r="M311" s="248"/>
      <c r="N311" s="242"/>
    </row>
    <row r="312" spans="2:14" ht="18" customHeight="1" x14ac:dyDescent="0.15">
      <c r="B312" s="248"/>
      <c r="C312" s="248"/>
      <c r="D312" s="242"/>
      <c r="E312" s="242"/>
      <c r="F312" s="242"/>
      <c r="G312" s="242"/>
      <c r="H312" s="265"/>
      <c r="I312" s="242"/>
      <c r="J312" s="242"/>
      <c r="K312" s="248"/>
      <c r="L312" s="248"/>
      <c r="M312" s="248"/>
      <c r="N312" s="242"/>
    </row>
    <row r="313" spans="2:14" ht="18" customHeight="1" x14ac:dyDescent="0.15">
      <c r="B313" s="248"/>
      <c r="C313" s="248"/>
      <c r="D313" s="242"/>
      <c r="E313" s="242"/>
      <c r="F313" s="242"/>
      <c r="G313" s="242"/>
      <c r="H313" s="265"/>
      <c r="I313" s="242"/>
      <c r="J313" s="242"/>
      <c r="K313" s="248"/>
      <c r="L313" s="248"/>
      <c r="M313" s="248"/>
      <c r="N313" s="242"/>
    </row>
    <row r="314" spans="2:14" ht="18" customHeight="1" x14ac:dyDescent="0.15">
      <c r="B314" s="248"/>
      <c r="C314" s="248"/>
      <c r="D314" s="242"/>
      <c r="E314" s="242"/>
      <c r="F314" s="242"/>
      <c r="G314" s="242"/>
      <c r="H314" s="265"/>
      <c r="I314" s="242"/>
      <c r="J314" s="242"/>
      <c r="K314" s="248"/>
      <c r="L314" s="248"/>
      <c r="M314" s="248"/>
      <c r="N314" s="242"/>
    </row>
    <row r="315" spans="2:14" ht="18" customHeight="1" x14ac:dyDescent="0.15">
      <c r="B315" s="248"/>
      <c r="C315" s="248"/>
      <c r="D315" s="242"/>
      <c r="E315" s="242"/>
      <c r="F315" s="242"/>
      <c r="G315" s="242"/>
      <c r="H315" s="265"/>
      <c r="I315" s="242"/>
      <c r="J315" s="242"/>
      <c r="K315" s="248"/>
      <c r="L315" s="248"/>
      <c r="M315" s="248"/>
      <c r="N315" s="242"/>
    </row>
    <row r="316" spans="2:14" ht="18" customHeight="1" x14ac:dyDescent="0.15">
      <c r="B316" s="248"/>
      <c r="C316" s="248"/>
      <c r="D316" s="242"/>
      <c r="E316" s="242"/>
      <c r="F316" s="242"/>
      <c r="G316" s="242"/>
      <c r="H316" s="265"/>
      <c r="I316" s="242"/>
      <c r="J316" s="242"/>
      <c r="K316" s="248"/>
      <c r="L316" s="248"/>
      <c r="M316" s="248"/>
      <c r="N316" s="242"/>
    </row>
    <row r="317" spans="2:14" ht="18" customHeight="1" x14ac:dyDescent="0.15">
      <c r="B317" s="248"/>
      <c r="C317" s="248"/>
      <c r="D317" s="242"/>
      <c r="E317" s="242"/>
      <c r="F317" s="242"/>
      <c r="G317" s="242"/>
      <c r="H317" s="265"/>
      <c r="I317" s="242"/>
      <c r="J317" s="242"/>
      <c r="K317" s="248"/>
      <c r="L317" s="248"/>
      <c r="M317" s="248"/>
      <c r="N317" s="242"/>
    </row>
    <row r="318" spans="2:14" ht="18" customHeight="1" x14ac:dyDescent="0.15">
      <c r="B318" s="248"/>
      <c r="C318" s="248"/>
      <c r="D318" s="242"/>
      <c r="E318" s="242"/>
      <c r="F318" s="242"/>
      <c r="G318" s="242"/>
      <c r="H318" s="265"/>
      <c r="I318" s="242"/>
      <c r="J318" s="242"/>
      <c r="K318" s="248"/>
      <c r="L318" s="248"/>
      <c r="M318" s="248"/>
      <c r="N318" s="242"/>
    </row>
    <row r="319" spans="2:14" ht="18" customHeight="1" x14ac:dyDescent="0.15">
      <c r="B319" s="248"/>
      <c r="C319" s="248"/>
      <c r="D319" s="242"/>
      <c r="E319" s="242"/>
      <c r="F319" s="242"/>
      <c r="G319" s="242"/>
      <c r="H319" s="265"/>
      <c r="I319" s="242"/>
      <c r="J319" s="242"/>
      <c r="K319" s="248"/>
      <c r="L319" s="248"/>
      <c r="M319" s="248"/>
      <c r="N319" s="242"/>
    </row>
    <row r="320" spans="2:14" ht="18" customHeight="1" x14ac:dyDescent="0.15">
      <c r="B320" s="248"/>
      <c r="C320" s="248"/>
      <c r="D320" s="242"/>
      <c r="E320" s="242"/>
      <c r="F320" s="242"/>
      <c r="G320" s="242"/>
      <c r="H320" s="265"/>
      <c r="I320" s="242"/>
      <c r="J320" s="242"/>
      <c r="K320" s="248"/>
      <c r="L320" s="248"/>
      <c r="M320" s="248"/>
      <c r="N320" s="242"/>
    </row>
    <row r="321" spans="2:14" ht="18" customHeight="1" x14ac:dyDescent="0.15">
      <c r="B321" s="248"/>
      <c r="C321" s="248"/>
      <c r="D321" s="242"/>
      <c r="E321" s="242"/>
      <c r="F321" s="242"/>
      <c r="G321" s="242"/>
      <c r="H321" s="265"/>
      <c r="I321" s="242"/>
      <c r="J321" s="242"/>
      <c r="K321" s="248"/>
      <c r="L321" s="248"/>
      <c r="M321" s="248"/>
      <c r="N321" s="242"/>
    </row>
    <row r="322" spans="2:14" ht="18" customHeight="1" x14ac:dyDescent="0.15">
      <c r="B322" s="248"/>
      <c r="C322" s="248"/>
      <c r="D322" s="242"/>
      <c r="E322" s="242"/>
      <c r="F322" s="242"/>
      <c r="G322" s="242"/>
      <c r="H322" s="265"/>
      <c r="I322" s="242"/>
      <c r="J322" s="242"/>
      <c r="K322" s="248"/>
      <c r="L322" s="248"/>
      <c r="M322" s="248"/>
      <c r="N322" s="242"/>
    </row>
    <row r="323" spans="2:14" ht="18" customHeight="1" x14ac:dyDescent="0.15">
      <c r="B323" s="248"/>
      <c r="C323" s="248"/>
      <c r="D323" s="242"/>
      <c r="E323" s="242"/>
      <c r="F323" s="242"/>
      <c r="G323" s="242"/>
      <c r="H323" s="265"/>
      <c r="I323" s="242"/>
      <c r="J323" s="242"/>
      <c r="K323" s="248"/>
      <c r="L323" s="248"/>
      <c r="M323" s="248"/>
      <c r="N323" s="242"/>
    </row>
    <row r="324" spans="2:14" ht="18" customHeight="1" x14ac:dyDescent="0.15">
      <c r="B324" s="248"/>
      <c r="C324" s="248"/>
      <c r="D324" s="242"/>
      <c r="E324" s="242"/>
      <c r="F324" s="242"/>
      <c r="G324" s="242"/>
      <c r="H324" s="265"/>
      <c r="I324" s="242"/>
      <c r="J324" s="242"/>
      <c r="K324" s="248"/>
      <c r="L324" s="248"/>
      <c r="M324" s="248"/>
      <c r="N324" s="242"/>
    </row>
    <row r="325" spans="2:14" ht="18" customHeight="1" x14ac:dyDescent="0.15">
      <c r="B325" s="248"/>
      <c r="C325" s="248"/>
      <c r="D325" s="242"/>
      <c r="E325" s="242"/>
      <c r="F325" s="242"/>
      <c r="G325" s="242"/>
      <c r="H325" s="265"/>
      <c r="I325" s="242"/>
      <c r="J325" s="242"/>
      <c r="K325" s="248"/>
      <c r="L325" s="248"/>
      <c r="M325" s="248"/>
      <c r="N325" s="242"/>
    </row>
    <row r="326" spans="2:14" ht="18" customHeight="1" x14ac:dyDescent="0.15">
      <c r="B326" s="248"/>
      <c r="C326" s="248"/>
      <c r="D326" s="242"/>
      <c r="E326" s="242"/>
      <c r="F326" s="242"/>
      <c r="G326" s="242"/>
      <c r="H326" s="265"/>
      <c r="I326" s="242"/>
      <c r="J326" s="242"/>
      <c r="K326" s="248"/>
      <c r="L326" s="248"/>
      <c r="M326" s="248"/>
      <c r="N326" s="242"/>
    </row>
    <row r="327" spans="2:14" ht="18" customHeight="1" x14ac:dyDescent="0.15">
      <c r="B327" s="248"/>
      <c r="C327" s="248"/>
      <c r="D327" s="242"/>
      <c r="E327" s="242"/>
      <c r="F327" s="242"/>
      <c r="G327" s="242"/>
      <c r="H327" s="265"/>
      <c r="I327" s="242"/>
      <c r="J327" s="242"/>
      <c r="K327" s="248"/>
      <c r="L327" s="248"/>
      <c r="M327" s="248"/>
      <c r="N327" s="242"/>
    </row>
    <row r="328" spans="2:14" ht="18" customHeight="1" x14ac:dyDescent="0.15">
      <c r="B328" s="248"/>
      <c r="C328" s="248"/>
      <c r="D328" s="242"/>
      <c r="E328" s="242"/>
      <c r="F328" s="242"/>
      <c r="G328" s="242"/>
      <c r="H328" s="265"/>
      <c r="I328" s="242"/>
      <c r="J328" s="242"/>
      <c r="K328" s="248"/>
      <c r="L328" s="248"/>
      <c r="M328" s="248"/>
      <c r="N328" s="242"/>
    </row>
    <row r="329" spans="2:14" ht="18" customHeight="1" x14ac:dyDescent="0.15">
      <c r="B329" s="248"/>
      <c r="C329" s="248"/>
      <c r="D329" s="242"/>
      <c r="E329" s="242"/>
      <c r="F329" s="242"/>
      <c r="G329" s="242"/>
      <c r="H329" s="265"/>
      <c r="I329" s="242"/>
      <c r="J329" s="242"/>
      <c r="K329" s="248"/>
      <c r="L329" s="248"/>
      <c r="M329" s="248"/>
      <c r="N329" s="242"/>
    </row>
    <row r="330" spans="2:14" ht="18" customHeight="1" x14ac:dyDescent="0.15">
      <c r="B330" s="248"/>
      <c r="C330" s="248"/>
      <c r="D330" s="242"/>
      <c r="E330" s="242"/>
      <c r="F330" s="242"/>
      <c r="G330" s="242"/>
      <c r="H330" s="265"/>
      <c r="I330" s="242"/>
      <c r="J330" s="242"/>
      <c r="K330" s="248"/>
      <c r="L330" s="248"/>
      <c r="M330" s="248"/>
      <c r="N330" s="242"/>
    </row>
    <row r="331" spans="2:14" ht="18" customHeight="1" x14ac:dyDescent="0.15">
      <c r="B331" s="248"/>
      <c r="C331" s="248"/>
      <c r="D331" s="242"/>
      <c r="E331" s="242"/>
      <c r="F331" s="242"/>
      <c r="G331" s="242"/>
      <c r="H331" s="265"/>
      <c r="I331" s="242"/>
      <c r="J331" s="242"/>
      <c r="K331" s="248"/>
      <c r="L331" s="248"/>
      <c r="M331" s="248"/>
      <c r="N331" s="242"/>
    </row>
    <row r="332" spans="2:14" ht="18" customHeight="1" x14ac:dyDescent="0.15">
      <c r="B332" s="248"/>
      <c r="C332" s="248"/>
      <c r="D332" s="242"/>
      <c r="E332" s="242"/>
      <c r="F332" s="242"/>
      <c r="G332" s="242"/>
      <c r="H332" s="265"/>
      <c r="I332" s="242"/>
      <c r="J332" s="242"/>
      <c r="K332" s="248"/>
      <c r="L332" s="248"/>
      <c r="M332" s="248"/>
      <c r="N332" s="242"/>
    </row>
    <row r="333" spans="2:14" ht="18" customHeight="1" x14ac:dyDescent="0.15">
      <c r="B333" s="248"/>
      <c r="C333" s="248"/>
      <c r="D333" s="242"/>
      <c r="E333" s="242"/>
      <c r="F333" s="242"/>
      <c r="G333" s="242"/>
      <c r="H333" s="265"/>
      <c r="I333" s="242"/>
      <c r="J333" s="242"/>
      <c r="K333" s="248"/>
      <c r="L333" s="248"/>
      <c r="M333" s="248"/>
      <c r="N333" s="242"/>
    </row>
    <row r="334" spans="2:14" ht="18" customHeight="1" x14ac:dyDescent="0.15">
      <c r="B334" s="248"/>
      <c r="C334" s="248"/>
      <c r="D334" s="242"/>
      <c r="E334" s="242"/>
      <c r="F334" s="242"/>
      <c r="G334" s="242"/>
      <c r="H334" s="265"/>
      <c r="I334" s="242"/>
      <c r="J334" s="242"/>
      <c r="K334" s="248"/>
      <c r="L334" s="248"/>
      <c r="M334" s="248"/>
      <c r="N334" s="242"/>
    </row>
    <row r="335" spans="2:14" ht="18" customHeight="1" x14ac:dyDescent="0.15">
      <c r="B335" s="248"/>
      <c r="C335" s="248"/>
      <c r="D335" s="242"/>
      <c r="E335" s="242"/>
      <c r="F335" s="242"/>
      <c r="G335" s="242"/>
      <c r="H335" s="265"/>
      <c r="I335" s="242"/>
      <c r="J335" s="242"/>
      <c r="K335" s="248"/>
      <c r="L335" s="248"/>
      <c r="M335" s="248"/>
      <c r="N335" s="242"/>
    </row>
    <row r="336" spans="2:14" ht="18" customHeight="1" x14ac:dyDescent="0.15">
      <c r="B336" s="248"/>
      <c r="C336" s="248"/>
      <c r="D336" s="242"/>
      <c r="E336" s="242"/>
      <c r="F336" s="242"/>
      <c r="G336" s="242"/>
      <c r="H336" s="265"/>
      <c r="I336" s="242"/>
      <c r="J336" s="242"/>
      <c r="K336" s="248"/>
      <c r="L336" s="248"/>
      <c r="M336" s="248"/>
      <c r="N336" s="242"/>
    </row>
    <row r="337" spans="2:14" ht="18" customHeight="1" x14ac:dyDescent="0.15">
      <c r="B337" s="248"/>
      <c r="C337" s="248"/>
      <c r="D337" s="242"/>
      <c r="E337" s="242"/>
      <c r="F337" s="242"/>
      <c r="G337" s="242"/>
      <c r="H337" s="265"/>
      <c r="I337" s="242"/>
      <c r="J337" s="242"/>
      <c r="K337" s="248"/>
      <c r="L337" s="248"/>
      <c r="M337" s="248"/>
      <c r="N337" s="242"/>
    </row>
    <row r="338" spans="2:14" ht="18" customHeight="1" x14ac:dyDescent="0.15">
      <c r="B338" s="248"/>
      <c r="C338" s="248"/>
      <c r="D338" s="242"/>
      <c r="E338" s="242"/>
      <c r="F338" s="242"/>
      <c r="G338" s="242"/>
      <c r="H338" s="265"/>
      <c r="I338" s="242"/>
      <c r="J338" s="242"/>
      <c r="K338" s="248"/>
      <c r="L338" s="248"/>
      <c r="M338" s="248"/>
      <c r="N338" s="242"/>
    </row>
    <row r="339" spans="2:14" ht="18" customHeight="1" x14ac:dyDescent="0.15">
      <c r="B339" s="248"/>
      <c r="C339" s="248"/>
      <c r="D339" s="242"/>
      <c r="E339" s="242"/>
      <c r="F339" s="242"/>
      <c r="G339" s="242"/>
      <c r="H339" s="265"/>
      <c r="I339" s="242"/>
      <c r="J339" s="242"/>
      <c r="K339" s="248"/>
      <c r="L339" s="248"/>
      <c r="M339" s="248"/>
      <c r="N339" s="242"/>
    </row>
    <row r="340" spans="2:14" ht="18" customHeight="1" x14ac:dyDescent="0.15">
      <c r="B340" s="248"/>
      <c r="C340" s="248"/>
      <c r="D340" s="242"/>
      <c r="E340" s="242"/>
      <c r="F340" s="242"/>
      <c r="G340" s="242"/>
      <c r="H340" s="265"/>
      <c r="I340" s="242"/>
      <c r="J340" s="242"/>
      <c r="K340" s="248"/>
      <c r="L340" s="248"/>
      <c r="M340" s="248"/>
      <c r="N340" s="242"/>
    </row>
    <row r="341" spans="2:14" ht="18" customHeight="1" x14ac:dyDescent="0.15">
      <c r="B341" s="248"/>
      <c r="C341" s="248"/>
      <c r="D341" s="242"/>
      <c r="E341" s="242"/>
      <c r="F341" s="242"/>
      <c r="G341" s="242"/>
      <c r="H341" s="265"/>
      <c r="I341" s="242"/>
      <c r="J341" s="242"/>
      <c r="K341" s="248"/>
      <c r="L341" s="248"/>
      <c r="M341" s="248"/>
      <c r="N341" s="242"/>
    </row>
    <row r="342" spans="2:14" ht="18" customHeight="1" x14ac:dyDescent="0.15">
      <c r="B342" s="248"/>
      <c r="C342" s="248"/>
      <c r="D342" s="242"/>
      <c r="E342" s="242"/>
      <c r="F342" s="242"/>
      <c r="G342" s="242"/>
      <c r="H342" s="265"/>
      <c r="I342" s="242"/>
      <c r="J342" s="242"/>
      <c r="K342" s="248"/>
      <c r="L342" s="248"/>
      <c r="M342" s="248"/>
      <c r="N342" s="242"/>
    </row>
    <row r="343" spans="2:14" ht="18" customHeight="1" x14ac:dyDescent="0.15">
      <c r="B343" s="248"/>
      <c r="C343" s="248"/>
      <c r="D343" s="242"/>
      <c r="E343" s="242"/>
      <c r="F343" s="242"/>
      <c r="G343" s="242"/>
      <c r="H343" s="265"/>
      <c r="I343" s="242"/>
      <c r="J343" s="242"/>
      <c r="K343" s="248"/>
      <c r="L343" s="248"/>
      <c r="M343" s="248"/>
      <c r="N343" s="242"/>
    </row>
    <row r="344" spans="2:14" ht="18" customHeight="1" x14ac:dyDescent="0.15">
      <c r="B344" s="248"/>
      <c r="C344" s="248"/>
      <c r="D344" s="242"/>
      <c r="E344" s="242"/>
      <c r="F344" s="242"/>
      <c r="G344" s="242"/>
      <c r="H344" s="265"/>
      <c r="I344" s="242"/>
      <c r="J344" s="242"/>
      <c r="K344" s="248"/>
      <c r="L344" s="248"/>
      <c r="M344" s="248"/>
      <c r="N344" s="242"/>
    </row>
    <row r="345" spans="2:14" ht="18" customHeight="1" x14ac:dyDescent="0.15">
      <c r="B345" s="248"/>
      <c r="C345" s="248"/>
      <c r="D345" s="242"/>
      <c r="E345" s="242"/>
      <c r="F345" s="242"/>
      <c r="G345" s="242"/>
      <c r="H345" s="265"/>
      <c r="I345" s="242"/>
      <c r="J345" s="242"/>
      <c r="K345" s="248"/>
      <c r="L345" s="248"/>
      <c r="M345" s="248"/>
      <c r="N345" s="242"/>
    </row>
    <row r="346" spans="2:14" ht="18" customHeight="1" x14ac:dyDescent="0.15">
      <c r="B346" s="248"/>
      <c r="C346" s="248"/>
      <c r="D346" s="242"/>
      <c r="E346" s="242"/>
      <c r="F346" s="242"/>
      <c r="G346" s="242"/>
      <c r="H346" s="265"/>
      <c r="I346" s="242"/>
      <c r="J346" s="242"/>
      <c r="K346" s="248"/>
      <c r="L346" s="248"/>
      <c r="M346" s="248"/>
      <c r="N346" s="242"/>
    </row>
    <row r="347" spans="2:14" ht="18" customHeight="1" x14ac:dyDescent="0.15">
      <c r="B347" s="248"/>
      <c r="C347" s="248"/>
      <c r="D347" s="242"/>
      <c r="E347" s="242"/>
      <c r="F347" s="242"/>
      <c r="G347" s="242"/>
      <c r="H347" s="265"/>
      <c r="I347" s="242"/>
      <c r="J347" s="242"/>
      <c r="K347" s="248"/>
      <c r="L347" s="248"/>
      <c r="M347" s="248"/>
      <c r="N347" s="242"/>
    </row>
    <row r="348" spans="2:14" ht="18" customHeight="1" x14ac:dyDescent="0.15">
      <c r="B348" s="248"/>
      <c r="C348" s="248"/>
      <c r="D348" s="242"/>
      <c r="E348" s="242"/>
      <c r="F348" s="242"/>
      <c r="G348" s="242"/>
      <c r="H348" s="265"/>
      <c r="I348" s="242"/>
      <c r="J348" s="242"/>
      <c r="K348" s="248"/>
      <c r="L348" s="248"/>
      <c r="M348" s="248"/>
      <c r="N348" s="242"/>
    </row>
    <row r="349" spans="2:14" ht="18" customHeight="1" x14ac:dyDescent="0.15">
      <c r="B349" s="248"/>
      <c r="C349" s="248"/>
      <c r="D349" s="242"/>
      <c r="E349" s="242"/>
      <c r="F349" s="242"/>
      <c r="G349" s="242"/>
      <c r="H349" s="265"/>
      <c r="I349" s="242"/>
      <c r="J349" s="242"/>
      <c r="K349" s="248"/>
      <c r="L349" s="248"/>
      <c r="M349" s="248"/>
      <c r="N349" s="242"/>
    </row>
    <row r="350" spans="2:14" ht="18" customHeight="1" x14ac:dyDescent="0.15">
      <c r="B350" s="248"/>
      <c r="C350" s="248"/>
      <c r="D350" s="242"/>
      <c r="E350" s="242"/>
      <c r="F350" s="242"/>
      <c r="G350" s="242"/>
      <c r="H350" s="265"/>
      <c r="I350" s="242"/>
      <c r="J350" s="242"/>
      <c r="K350" s="248"/>
      <c r="L350" s="248"/>
      <c r="M350" s="248"/>
      <c r="N350" s="242"/>
    </row>
    <row r="351" spans="2:14" ht="18" customHeight="1" x14ac:dyDescent="0.15">
      <c r="B351" s="248"/>
      <c r="C351" s="248"/>
      <c r="D351" s="242"/>
      <c r="E351" s="242"/>
      <c r="F351" s="242"/>
      <c r="G351" s="242"/>
      <c r="H351" s="265"/>
      <c r="I351" s="242"/>
      <c r="J351" s="242"/>
      <c r="K351" s="248"/>
      <c r="L351" s="248"/>
      <c r="M351" s="248"/>
      <c r="N351" s="242"/>
    </row>
    <row r="352" spans="2:14" ht="18" customHeight="1" x14ac:dyDescent="0.15">
      <c r="B352" s="248"/>
      <c r="C352" s="248"/>
      <c r="D352" s="242"/>
      <c r="E352" s="242"/>
      <c r="F352" s="242"/>
      <c r="G352" s="242"/>
      <c r="H352" s="265"/>
      <c r="I352" s="242"/>
      <c r="J352" s="242"/>
      <c r="K352" s="248"/>
      <c r="L352" s="248"/>
      <c r="M352" s="248"/>
      <c r="N352" s="242"/>
    </row>
    <row r="353" spans="2:14" ht="18" customHeight="1" x14ac:dyDescent="0.15">
      <c r="B353" s="248"/>
      <c r="C353" s="248"/>
      <c r="D353" s="242"/>
      <c r="E353" s="242"/>
      <c r="F353" s="242"/>
      <c r="G353" s="242"/>
      <c r="H353" s="265"/>
      <c r="I353" s="242"/>
      <c r="J353" s="242"/>
      <c r="K353" s="248"/>
      <c r="L353" s="248"/>
      <c r="M353" s="248"/>
      <c r="N353" s="242"/>
    </row>
    <row r="354" spans="2:14" ht="18" customHeight="1" x14ac:dyDescent="0.15">
      <c r="B354" s="248"/>
      <c r="C354" s="248"/>
      <c r="D354" s="242"/>
      <c r="E354" s="242"/>
      <c r="F354" s="242"/>
      <c r="G354" s="242"/>
      <c r="H354" s="265"/>
      <c r="I354" s="242"/>
      <c r="J354" s="242"/>
      <c r="K354" s="248"/>
      <c r="L354" s="248"/>
      <c r="M354" s="248"/>
      <c r="N354" s="242"/>
    </row>
    <row r="355" spans="2:14" ht="18" customHeight="1" x14ac:dyDescent="0.15">
      <c r="B355" s="248"/>
      <c r="C355" s="248"/>
      <c r="D355" s="242"/>
      <c r="E355" s="242"/>
      <c r="F355" s="242"/>
      <c r="G355" s="242"/>
      <c r="H355" s="265"/>
      <c r="I355" s="242"/>
      <c r="J355" s="242"/>
      <c r="K355" s="248"/>
      <c r="L355" s="248"/>
      <c r="M355" s="248"/>
      <c r="N355" s="242"/>
    </row>
    <row r="356" spans="2:14" ht="18" customHeight="1" x14ac:dyDescent="0.15">
      <c r="B356" s="248"/>
      <c r="C356" s="248"/>
      <c r="D356" s="242"/>
      <c r="E356" s="242"/>
      <c r="F356" s="242"/>
      <c r="G356" s="242"/>
      <c r="H356" s="265"/>
      <c r="I356" s="242"/>
      <c r="J356" s="242"/>
      <c r="K356" s="248"/>
      <c r="L356" s="248"/>
      <c r="M356" s="248"/>
      <c r="N356" s="242"/>
    </row>
    <row r="357" spans="2:14" ht="18" customHeight="1" x14ac:dyDescent="0.15">
      <c r="B357" s="248"/>
      <c r="C357" s="248"/>
      <c r="D357" s="242"/>
      <c r="E357" s="242"/>
      <c r="F357" s="242"/>
      <c r="G357" s="242"/>
      <c r="H357" s="265"/>
      <c r="I357" s="242"/>
      <c r="J357" s="242"/>
      <c r="K357" s="248"/>
      <c r="L357" s="248"/>
      <c r="M357" s="248"/>
      <c r="N357" s="242"/>
    </row>
    <row r="358" spans="2:14" ht="18" customHeight="1" x14ac:dyDescent="0.15">
      <c r="B358" s="248"/>
      <c r="C358" s="248"/>
      <c r="D358" s="242"/>
      <c r="E358" s="242"/>
      <c r="F358" s="242"/>
      <c r="G358" s="242"/>
      <c r="H358" s="265"/>
      <c r="I358" s="242"/>
      <c r="J358" s="242"/>
      <c r="K358" s="248"/>
      <c r="L358" s="248"/>
      <c r="M358" s="248"/>
      <c r="N358" s="242"/>
    </row>
    <row r="359" spans="2:14" ht="18" customHeight="1" x14ac:dyDescent="0.15">
      <c r="B359" s="248"/>
      <c r="C359" s="248"/>
      <c r="D359" s="242"/>
      <c r="E359" s="242"/>
      <c r="F359" s="242"/>
      <c r="G359" s="242"/>
      <c r="H359" s="265"/>
      <c r="I359" s="242"/>
      <c r="J359" s="242"/>
      <c r="K359" s="248"/>
      <c r="L359" s="248"/>
      <c r="M359" s="248"/>
      <c r="N359" s="242"/>
    </row>
    <row r="360" spans="2:14" ht="18" customHeight="1" x14ac:dyDescent="0.15">
      <c r="B360" s="248"/>
      <c r="C360" s="248"/>
      <c r="D360" s="242"/>
      <c r="E360" s="242"/>
      <c r="F360" s="242"/>
      <c r="G360" s="242"/>
      <c r="H360" s="265"/>
      <c r="I360" s="242"/>
      <c r="J360" s="242"/>
      <c r="K360" s="248"/>
      <c r="L360" s="248"/>
      <c r="M360" s="248"/>
      <c r="N360" s="242"/>
    </row>
    <row r="361" spans="2:14" ht="18" customHeight="1" x14ac:dyDescent="0.15">
      <c r="B361" s="248"/>
      <c r="C361" s="248"/>
      <c r="D361" s="242"/>
      <c r="E361" s="242"/>
      <c r="F361" s="242"/>
      <c r="G361" s="242"/>
      <c r="H361" s="265"/>
      <c r="I361" s="242"/>
      <c r="J361" s="242"/>
      <c r="K361" s="248"/>
      <c r="L361" s="248"/>
      <c r="M361" s="248"/>
      <c r="N361" s="242"/>
    </row>
    <row r="362" spans="2:14" ht="18" customHeight="1" x14ac:dyDescent="0.15">
      <c r="B362" s="248"/>
      <c r="C362" s="248"/>
      <c r="D362" s="242"/>
      <c r="E362" s="242"/>
      <c r="F362" s="242"/>
      <c r="G362" s="242"/>
      <c r="H362" s="265"/>
      <c r="I362" s="242"/>
      <c r="J362" s="242"/>
      <c r="K362" s="248"/>
      <c r="L362" s="248"/>
      <c r="M362" s="248"/>
      <c r="N362" s="242"/>
    </row>
    <row r="363" spans="2:14" ht="18" customHeight="1" x14ac:dyDescent="0.15">
      <c r="B363" s="248"/>
      <c r="C363" s="248"/>
      <c r="D363" s="242"/>
      <c r="E363" s="242"/>
      <c r="F363" s="242"/>
      <c r="G363" s="242"/>
      <c r="H363" s="265"/>
      <c r="I363" s="242"/>
      <c r="J363" s="242"/>
      <c r="K363" s="248"/>
      <c r="L363" s="248"/>
      <c r="M363" s="248"/>
      <c r="N363" s="242"/>
    </row>
    <row r="364" spans="2:14" ht="18" customHeight="1" x14ac:dyDescent="0.15">
      <c r="B364" s="248"/>
      <c r="C364" s="248"/>
      <c r="D364" s="242"/>
      <c r="E364" s="242"/>
      <c r="F364" s="242"/>
      <c r="G364" s="242"/>
      <c r="H364" s="265"/>
      <c r="I364" s="242"/>
      <c r="J364" s="242"/>
      <c r="K364" s="248"/>
      <c r="L364" s="248"/>
      <c r="M364" s="248"/>
      <c r="N364" s="242"/>
    </row>
    <row r="365" spans="2:14" ht="18" customHeight="1" x14ac:dyDescent="0.15">
      <c r="B365" s="248"/>
      <c r="C365" s="248"/>
      <c r="D365" s="242"/>
      <c r="E365" s="242"/>
      <c r="F365" s="242"/>
      <c r="G365" s="242"/>
      <c r="H365" s="265"/>
      <c r="I365" s="242"/>
      <c r="J365" s="242"/>
      <c r="K365" s="248"/>
      <c r="L365" s="248"/>
      <c r="M365" s="248"/>
      <c r="N365" s="242"/>
    </row>
    <row r="366" spans="2:14" ht="18" customHeight="1" x14ac:dyDescent="0.15">
      <c r="B366" s="248"/>
      <c r="C366" s="248"/>
      <c r="D366" s="242"/>
      <c r="E366" s="242"/>
      <c r="F366" s="242"/>
      <c r="G366" s="242"/>
      <c r="H366" s="265"/>
      <c r="I366" s="242"/>
      <c r="J366" s="242"/>
      <c r="K366" s="248"/>
      <c r="L366" s="248"/>
      <c r="M366" s="248"/>
      <c r="N366" s="242"/>
    </row>
    <row r="367" spans="2:14" ht="18" customHeight="1" x14ac:dyDescent="0.15">
      <c r="B367" s="248"/>
      <c r="C367" s="248"/>
      <c r="D367" s="242"/>
      <c r="E367" s="242"/>
      <c r="F367" s="242"/>
      <c r="G367" s="242"/>
      <c r="H367" s="265"/>
      <c r="I367" s="242"/>
      <c r="J367" s="242"/>
      <c r="K367" s="248"/>
      <c r="L367" s="248"/>
      <c r="M367" s="248"/>
      <c r="N367" s="242"/>
    </row>
    <row r="368" spans="2:14" ht="18" customHeight="1" x14ac:dyDescent="0.15">
      <c r="B368" s="248"/>
      <c r="C368" s="248"/>
      <c r="D368" s="242"/>
      <c r="E368" s="242"/>
      <c r="F368" s="242"/>
      <c r="G368" s="242"/>
      <c r="H368" s="265"/>
      <c r="I368" s="242"/>
      <c r="J368" s="242"/>
      <c r="K368" s="248"/>
      <c r="L368" s="248"/>
      <c r="M368" s="248"/>
      <c r="N368" s="242"/>
    </row>
    <row r="369" spans="2:14" ht="18" customHeight="1" x14ac:dyDescent="0.15">
      <c r="B369" s="248"/>
      <c r="C369" s="248"/>
      <c r="D369" s="242"/>
      <c r="E369" s="242"/>
      <c r="F369" s="242"/>
      <c r="G369" s="242"/>
      <c r="H369" s="265"/>
      <c r="I369" s="242"/>
      <c r="J369" s="242"/>
      <c r="K369" s="248"/>
      <c r="L369" s="248"/>
      <c r="M369" s="248"/>
      <c r="N369" s="242"/>
    </row>
    <row r="370" spans="2:14" ht="18" customHeight="1" x14ac:dyDescent="0.15">
      <c r="B370" s="248"/>
      <c r="C370" s="248"/>
      <c r="D370" s="242"/>
      <c r="E370" s="242"/>
      <c r="F370" s="242"/>
      <c r="G370" s="242"/>
      <c r="H370" s="265"/>
      <c r="I370" s="242"/>
      <c r="J370" s="242"/>
      <c r="K370" s="248"/>
      <c r="L370" s="248"/>
      <c r="M370" s="248"/>
      <c r="N370" s="242"/>
    </row>
    <row r="371" spans="2:14" ht="18" customHeight="1" x14ac:dyDescent="0.15">
      <c r="B371" s="248"/>
      <c r="C371" s="248"/>
      <c r="D371" s="242"/>
      <c r="E371" s="242"/>
      <c r="F371" s="242"/>
      <c r="G371" s="242"/>
      <c r="H371" s="265"/>
      <c r="I371" s="242"/>
      <c r="J371" s="242"/>
      <c r="K371" s="248"/>
      <c r="L371" s="248"/>
      <c r="M371" s="248"/>
      <c r="N371" s="242"/>
    </row>
    <row r="372" spans="2:14" ht="18" customHeight="1" x14ac:dyDescent="0.15">
      <c r="B372" s="248"/>
      <c r="C372" s="248"/>
      <c r="D372" s="242"/>
      <c r="E372" s="242"/>
      <c r="F372" s="242"/>
      <c r="G372" s="242"/>
      <c r="H372" s="265"/>
      <c r="I372" s="242"/>
      <c r="J372" s="242"/>
      <c r="K372" s="248"/>
      <c r="L372" s="248"/>
      <c r="M372" s="248"/>
      <c r="N372" s="242"/>
    </row>
    <row r="373" spans="2:14" ht="18" customHeight="1" x14ac:dyDescent="0.15">
      <c r="B373" s="248"/>
      <c r="C373" s="248"/>
      <c r="D373" s="242"/>
      <c r="E373" s="242"/>
      <c r="F373" s="242"/>
      <c r="G373" s="242"/>
      <c r="H373" s="265"/>
      <c r="I373" s="242"/>
      <c r="J373" s="242"/>
      <c r="K373" s="248"/>
      <c r="L373" s="248"/>
      <c r="M373" s="248"/>
      <c r="N373" s="242"/>
    </row>
    <row r="374" spans="2:14" ht="18" customHeight="1" x14ac:dyDescent="0.15">
      <c r="B374" s="248"/>
      <c r="C374" s="248"/>
      <c r="D374" s="242"/>
      <c r="E374" s="242"/>
      <c r="F374" s="242"/>
      <c r="G374" s="242"/>
      <c r="H374" s="265"/>
      <c r="I374" s="242"/>
      <c r="J374" s="242"/>
      <c r="K374" s="248"/>
      <c r="L374" s="248"/>
      <c r="M374" s="248"/>
      <c r="N374" s="242"/>
    </row>
    <row r="375" spans="2:14" ht="18" customHeight="1" x14ac:dyDescent="0.15">
      <c r="B375" s="248"/>
      <c r="C375" s="248"/>
      <c r="D375" s="242"/>
      <c r="E375" s="242"/>
      <c r="F375" s="242"/>
      <c r="G375" s="242"/>
      <c r="H375" s="265"/>
      <c r="I375" s="242"/>
      <c r="J375" s="242"/>
      <c r="K375" s="248"/>
      <c r="L375" s="248"/>
      <c r="M375" s="248"/>
      <c r="N375" s="242"/>
    </row>
    <row r="376" spans="2:14" ht="18" customHeight="1" x14ac:dyDescent="0.15">
      <c r="B376" s="248"/>
      <c r="C376" s="248"/>
      <c r="D376" s="242"/>
      <c r="E376" s="242"/>
      <c r="F376" s="242"/>
      <c r="G376" s="242"/>
      <c r="H376" s="265"/>
      <c r="I376" s="242"/>
      <c r="J376" s="242"/>
      <c r="K376" s="248"/>
      <c r="L376" s="248"/>
      <c r="M376" s="248"/>
      <c r="N376" s="242"/>
    </row>
    <row r="377" spans="2:14" ht="18" customHeight="1" x14ac:dyDescent="0.15">
      <c r="B377" s="248"/>
      <c r="C377" s="248"/>
      <c r="D377" s="242"/>
      <c r="E377" s="242"/>
      <c r="F377" s="242"/>
      <c r="G377" s="242"/>
      <c r="H377" s="265"/>
      <c r="I377" s="242"/>
      <c r="J377" s="242"/>
      <c r="K377" s="248"/>
      <c r="L377" s="248"/>
      <c r="M377" s="248"/>
      <c r="N377" s="242"/>
    </row>
    <row r="378" spans="2:14" ht="18" customHeight="1" x14ac:dyDescent="0.15">
      <c r="B378" s="248"/>
      <c r="C378" s="248"/>
      <c r="D378" s="242"/>
      <c r="E378" s="242"/>
      <c r="F378" s="242"/>
      <c r="G378" s="242"/>
      <c r="H378" s="265"/>
      <c r="I378" s="242"/>
      <c r="J378" s="242"/>
      <c r="K378" s="248"/>
      <c r="L378" s="248"/>
      <c r="M378" s="248"/>
      <c r="N378" s="242"/>
    </row>
    <row r="379" spans="2:14" ht="18" customHeight="1" x14ac:dyDescent="0.15">
      <c r="B379" s="248"/>
      <c r="C379" s="248"/>
      <c r="D379" s="242"/>
      <c r="E379" s="242"/>
      <c r="F379" s="242"/>
      <c r="G379" s="242"/>
      <c r="H379" s="265"/>
      <c r="I379" s="242"/>
      <c r="J379" s="242"/>
      <c r="K379" s="248"/>
      <c r="L379" s="248"/>
      <c r="M379" s="248"/>
      <c r="N379" s="242"/>
    </row>
    <row r="380" spans="2:14" ht="18" customHeight="1" x14ac:dyDescent="0.15">
      <c r="B380" s="248"/>
      <c r="C380" s="248"/>
      <c r="D380" s="242"/>
      <c r="E380" s="242"/>
      <c r="F380" s="242"/>
      <c r="G380" s="242"/>
      <c r="H380" s="265"/>
      <c r="I380" s="242"/>
      <c r="J380" s="242"/>
      <c r="K380" s="248"/>
      <c r="L380" s="248"/>
      <c r="M380" s="248"/>
      <c r="N380" s="242"/>
    </row>
    <row r="381" spans="2:14" ht="18" customHeight="1" x14ac:dyDescent="0.15">
      <c r="B381" s="248"/>
      <c r="C381" s="248"/>
      <c r="D381" s="242"/>
      <c r="E381" s="242"/>
      <c r="F381" s="242"/>
      <c r="G381" s="242"/>
      <c r="H381" s="265"/>
      <c r="I381" s="242"/>
      <c r="J381" s="242"/>
      <c r="K381" s="248"/>
      <c r="L381" s="248"/>
      <c r="M381" s="248"/>
      <c r="N381" s="242"/>
    </row>
    <row r="382" spans="2:14" ht="18" customHeight="1" x14ac:dyDescent="0.15">
      <c r="B382" s="248"/>
      <c r="C382" s="248"/>
      <c r="D382" s="242"/>
      <c r="E382" s="242"/>
      <c r="F382" s="242"/>
      <c r="G382" s="242"/>
      <c r="H382" s="265"/>
      <c r="I382" s="242"/>
      <c r="J382" s="242"/>
      <c r="K382" s="248"/>
      <c r="L382" s="248"/>
      <c r="M382" s="248"/>
      <c r="N382" s="242"/>
    </row>
    <row r="383" spans="2:14" ht="18" customHeight="1" x14ac:dyDescent="0.15">
      <c r="B383" s="248"/>
      <c r="C383" s="248"/>
      <c r="D383" s="242"/>
      <c r="E383" s="242"/>
      <c r="F383" s="242"/>
      <c r="G383" s="242"/>
      <c r="H383" s="265"/>
      <c r="I383" s="242"/>
      <c r="J383" s="242"/>
      <c r="K383" s="248"/>
      <c r="L383" s="248"/>
      <c r="M383" s="248"/>
      <c r="N383" s="242"/>
    </row>
    <row r="384" spans="2:14" ht="18" customHeight="1" x14ac:dyDescent="0.15">
      <c r="B384" s="248"/>
      <c r="C384" s="248"/>
      <c r="D384" s="242"/>
      <c r="E384" s="242"/>
      <c r="F384" s="242"/>
      <c r="G384" s="242"/>
      <c r="H384" s="265"/>
      <c r="I384" s="242"/>
      <c r="J384" s="242"/>
      <c r="K384" s="248"/>
      <c r="L384" s="248"/>
      <c r="M384" s="248"/>
      <c r="N384" s="242"/>
    </row>
    <row r="385" spans="2:14" ht="18" customHeight="1" x14ac:dyDescent="0.15">
      <c r="B385" s="248"/>
      <c r="C385" s="248"/>
      <c r="D385" s="242"/>
      <c r="E385" s="242"/>
      <c r="F385" s="242"/>
      <c r="G385" s="242"/>
      <c r="H385" s="265"/>
      <c r="I385" s="242"/>
      <c r="J385" s="242"/>
      <c r="K385" s="248"/>
      <c r="L385" s="248"/>
      <c r="M385" s="248"/>
      <c r="N385" s="242"/>
    </row>
    <row r="386" spans="2:14" ht="18" customHeight="1" x14ac:dyDescent="0.15">
      <c r="B386" s="248"/>
      <c r="C386" s="248"/>
      <c r="D386" s="242"/>
      <c r="E386" s="242"/>
      <c r="F386" s="242"/>
      <c r="G386" s="242"/>
      <c r="H386" s="265"/>
      <c r="I386" s="242"/>
      <c r="J386" s="242"/>
      <c r="K386" s="248"/>
      <c r="L386" s="248"/>
      <c r="M386" s="248"/>
      <c r="N386" s="242"/>
    </row>
    <row r="387" spans="2:14" ht="18" customHeight="1" x14ac:dyDescent="0.15">
      <c r="B387" s="248"/>
      <c r="C387" s="248"/>
      <c r="D387" s="242"/>
      <c r="E387" s="242"/>
      <c r="F387" s="242"/>
      <c r="G387" s="242"/>
      <c r="H387" s="265"/>
      <c r="I387" s="242"/>
      <c r="J387" s="242"/>
      <c r="K387" s="248"/>
      <c r="L387" s="248"/>
      <c r="M387" s="248"/>
      <c r="N387" s="242"/>
    </row>
    <row r="388" spans="2:14" ht="18" customHeight="1" x14ac:dyDescent="0.15">
      <c r="B388" s="248"/>
      <c r="C388" s="248"/>
      <c r="D388" s="242"/>
      <c r="E388" s="242"/>
      <c r="F388" s="242"/>
      <c r="G388" s="242"/>
      <c r="H388" s="265"/>
      <c r="I388" s="242"/>
      <c r="J388" s="242"/>
      <c r="K388" s="248"/>
      <c r="L388" s="248"/>
      <c r="M388" s="248"/>
      <c r="N388" s="242"/>
    </row>
    <row r="389" spans="2:14" ht="18" customHeight="1" x14ac:dyDescent="0.15">
      <c r="B389" s="248"/>
      <c r="C389" s="248"/>
      <c r="D389" s="242"/>
      <c r="E389" s="242"/>
      <c r="F389" s="242"/>
      <c r="G389" s="242"/>
      <c r="H389" s="265"/>
      <c r="I389" s="242"/>
      <c r="J389" s="242"/>
      <c r="K389" s="248"/>
      <c r="L389" s="248"/>
      <c r="M389" s="248"/>
      <c r="N389" s="242"/>
    </row>
    <row r="390" spans="2:14" ht="18" customHeight="1" x14ac:dyDescent="0.15">
      <c r="B390" s="248"/>
      <c r="C390" s="248"/>
      <c r="D390" s="242"/>
      <c r="E390" s="242"/>
      <c r="F390" s="242"/>
      <c r="G390" s="242"/>
      <c r="H390" s="265"/>
      <c r="I390" s="242"/>
      <c r="J390" s="242"/>
      <c r="K390" s="248"/>
      <c r="L390" s="248"/>
      <c r="M390" s="248"/>
      <c r="N390" s="242"/>
    </row>
    <row r="391" spans="2:14" ht="18" customHeight="1" x14ac:dyDescent="0.15">
      <c r="B391" s="248"/>
      <c r="C391" s="248"/>
      <c r="D391" s="242"/>
      <c r="E391" s="242"/>
      <c r="F391" s="242"/>
      <c r="G391" s="242"/>
      <c r="H391" s="265"/>
      <c r="I391" s="242"/>
      <c r="J391" s="242"/>
      <c r="K391" s="248"/>
      <c r="L391" s="248"/>
      <c r="M391" s="248"/>
      <c r="N391" s="242"/>
    </row>
    <row r="392" spans="2:14" ht="18" customHeight="1" x14ac:dyDescent="0.15">
      <c r="B392" s="248"/>
      <c r="C392" s="248"/>
      <c r="D392" s="242"/>
      <c r="E392" s="242"/>
      <c r="F392" s="242"/>
      <c r="G392" s="242"/>
      <c r="H392" s="265"/>
      <c r="I392" s="242"/>
      <c r="J392" s="242"/>
      <c r="K392" s="248"/>
      <c r="L392" s="248"/>
      <c r="M392" s="248"/>
      <c r="N392" s="242"/>
    </row>
    <row r="393" spans="2:14" ht="18" customHeight="1" x14ac:dyDescent="0.15">
      <c r="B393" s="248"/>
      <c r="C393" s="248"/>
      <c r="D393" s="242"/>
      <c r="E393" s="242"/>
      <c r="F393" s="242"/>
      <c r="G393" s="242"/>
      <c r="H393" s="265"/>
      <c r="I393" s="242"/>
      <c r="J393" s="242"/>
      <c r="K393" s="248"/>
      <c r="L393" s="248"/>
      <c r="M393" s="248"/>
      <c r="N393" s="242"/>
    </row>
    <row r="394" spans="2:14" ht="18" customHeight="1" x14ac:dyDescent="0.15">
      <c r="B394" s="248"/>
      <c r="C394" s="248"/>
      <c r="D394" s="242"/>
      <c r="E394" s="242"/>
      <c r="F394" s="242"/>
      <c r="G394" s="242"/>
      <c r="H394" s="265"/>
      <c r="I394" s="242"/>
      <c r="J394" s="242"/>
      <c r="K394" s="248"/>
      <c r="L394" s="248"/>
      <c r="M394" s="248"/>
      <c r="N394" s="242"/>
    </row>
    <row r="395" spans="2:14" ht="18" customHeight="1" x14ac:dyDescent="0.15">
      <c r="B395" s="248"/>
      <c r="C395" s="248"/>
      <c r="D395" s="242"/>
      <c r="E395" s="242"/>
      <c r="F395" s="242"/>
      <c r="G395" s="242"/>
      <c r="H395" s="265"/>
      <c r="I395" s="242"/>
      <c r="J395" s="242"/>
      <c r="K395" s="248"/>
      <c r="L395" s="248"/>
      <c r="M395" s="248"/>
      <c r="N395" s="242"/>
    </row>
    <row r="396" spans="2:14" ht="18" customHeight="1" x14ac:dyDescent="0.15">
      <c r="B396" s="248"/>
      <c r="C396" s="248"/>
      <c r="D396" s="242"/>
      <c r="E396" s="242"/>
      <c r="F396" s="242"/>
      <c r="G396" s="242"/>
      <c r="H396" s="265"/>
      <c r="I396" s="242"/>
      <c r="J396" s="242"/>
      <c r="K396" s="248"/>
      <c r="L396" s="248"/>
      <c r="M396" s="248"/>
      <c r="N396" s="242"/>
    </row>
    <row r="397" spans="2:14" ht="18" customHeight="1" x14ac:dyDescent="0.15">
      <c r="B397" s="248"/>
      <c r="C397" s="248"/>
      <c r="D397" s="242"/>
      <c r="E397" s="242"/>
      <c r="F397" s="242"/>
      <c r="G397" s="242"/>
      <c r="H397" s="265"/>
      <c r="I397" s="242"/>
      <c r="J397" s="242"/>
      <c r="K397" s="248"/>
      <c r="L397" s="248"/>
      <c r="M397" s="248"/>
      <c r="N397" s="242"/>
    </row>
    <row r="398" spans="2:14" ht="18" customHeight="1" x14ac:dyDescent="0.15">
      <c r="B398" s="248"/>
      <c r="C398" s="248"/>
      <c r="D398" s="242"/>
      <c r="E398" s="242"/>
      <c r="F398" s="242"/>
      <c r="G398" s="242"/>
      <c r="H398" s="265"/>
      <c r="I398" s="242"/>
      <c r="J398" s="242"/>
      <c r="K398" s="248"/>
      <c r="L398" s="248"/>
      <c r="M398" s="248"/>
      <c r="N398" s="242"/>
    </row>
    <row r="399" spans="2:14" ht="18" customHeight="1" x14ac:dyDescent="0.15">
      <c r="B399" s="248"/>
      <c r="C399" s="248"/>
      <c r="D399" s="242"/>
      <c r="E399" s="242"/>
      <c r="F399" s="242"/>
      <c r="G399" s="242"/>
      <c r="H399" s="265"/>
      <c r="I399" s="242"/>
      <c r="J399" s="242"/>
      <c r="K399" s="248"/>
      <c r="L399" s="248"/>
      <c r="M399" s="248"/>
      <c r="N399" s="242"/>
    </row>
    <row r="400" spans="2:14" ht="18" customHeight="1" x14ac:dyDescent="0.15">
      <c r="B400" s="248"/>
      <c r="C400" s="248"/>
      <c r="D400" s="242"/>
      <c r="E400" s="242"/>
      <c r="F400" s="242"/>
      <c r="G400" s="242"/>
      <c r="H400" s="265"/>
      <c r="I400" s="242"/>
      <c r="J400" s="242"/>
      <c r="K400" s="248"/>
      <c r="L400" s="248"/>
      <c r="M400" s="248"/>
      <c r="N400" s="242"/>
    </row>
    <row r="401" spans="2:14" ht="18" customHeight="1" x14ac:dyDescent="0.15">
      <c r="B401" s="248"/>
      <c r="C401" s="248"/>
      <c r="D401" s="242"/>
      <c r="E401" s="242"/>
      <c r="F401" s="242"/>
      <c r="G401" s="242"/>
      <c r="H401" s="265"/>
      <c r="I401" s="242"/>
      <c r="J401" s="242"/>
      <c r="K401" s="248"/>
      <c r="L401" s="248"/>
      <c r="M401" s="248"/>
      <c r="N401" s="242"/>
    </row>
    <row r="402" spans="2:14" ht="18" customHeight="1" x14ac:dyDescent="0.15">
      <c r="B402" s="248"/>
      <c r="C402" s="248"/>
      <c r="D402" s="242"/>
      <c r="E402" s="242"/>
      <c r="F402" s="242"/>
      <c r="G402" s="242"/>
      <c r="H402" s="265"/>
      <c r="I402" s="242"/>
      <c r="J402" s="242"/>
      <c r="K402" s="248"/>
      <c r="L402" s="248"/>
      <c r="M402" s="248"/>
      <c r="N402" s="242"/>
    </row>
    <row r="403" spans="2:14" ht="18" customHeight="1" x14ac:dyDescent="0.15">
      <c r="B403" s="248"/>
      <c r="C403" s="248"/>
      <c r="D403" s="242"/>
      <c r="E403" s="242"/>
      <c r="F403" s="242"/>
      <c r="G403" s="242"/>
      <c r="H403" s="265"/>
      <c r="I403" s="242"/>
      <c r="J403" s="242"/>
      <c r="K403" s="248"/>
      <c r="L403" s="248"/>
      <c r="M403" s="248"/>
      <c r="N403" s="242"/>
    </row>
    <row r="404" spans="2:14" ht="18" customHeight="1" x14ac:dyDescent="0.15">
      <c r="B404" s="248"/>
      <c r="C404" s="248"/>
      <c r="D404" s="242"/>
      <c r="E404" s="242"/>
      <c r="F404" s="242"/>
      <c r="G404" s="242"/>
      <c r="H404" s="265"/>
      <c r="I404" s="242"/>
      <c r="J404" s="242"/>
      <c r="K404" s="248"/>
      <c r="L404" s="248"/>
      <c r="M404" s="248"/>
      <c r="N404" s="242"/>
    </row>
    <row r="405" spans="2:14" ht="18" customHeight="1" x14ac:dyDescent="0.15">
      <c r="B405" s="248"/>
      <c r="C405" s="248"/>
      <c r="D405" s="242"/>
      <c r="E405" s="242"/>
      <c r="F405" s="242"/>
      <c r="G405" s="242"/>
      <c r="H405" s="265"/>
      <c r="I405" s="242"/>
      <c r="J405" s="242"/>
      <c r="K405" s="248"/>
      <c r="L405" s="248"/>
      <c r="M405" s="248"/>
      <c r="N405" s="242"/>
    </row>
    <row r="406" spans="2:14" ht="18" customHeight="1" x14ac:dyDescent="0.15">
      <c r="B406" s="248"/>
      <c r="C406" s="248"/>
      <c r="D406" s="242"/>
      <c r="E406" s="242"/>
      <c r="F406" s="242"/>
      <c r="G406" s="242"/>
      <c r="H406" s="265"/>
      <c r="I406" s="242"/>
      <c r="J406" s="242"/>
      <c r="K406" s="248"/>
      <c r="L406" s="248"/>
      <c r="M406" s="248"/>
      <c r="N406" s="242"/>
    </row>
    <row r="407" spans="2:14" ht="18" customHeight="1" x14ac:dyDescent="0.15">
      <c r="B407" s="248"/>
      <c r="C407" s="248"/>
      <c r="D407" s="242"/>
      <c r="E407" s="242"/>
      <c r="F407" s="242"/>
      <c r="G407" s="242"/>
      <c r="H407" s="265"/>
      <c r="I407" s="242"/>
      <c r="J407" s="242"/>
      <c r="K407" s="248"/>
      <c r="L407" s="248"/>
      <c r="M407" s="248"/>
      <c r="N407" s="242"/>
    </row>
    <row r="408" spans="2:14" ht="18" customHeight="1" x14ac:dyDescent="0.15">
      <c r="B408" s="248"/>
      <c r="C408" s="248"/>
      <c r="D408" s="242"/>
      <c r="E408" s="242"/>
      <c r="F408" s="242"/>
      <c r="G408" s="242"/>
      <c r="H408" s="265"/>
      <c r="I408" s="242"/>
      <c r="J408" s="242"/>
      <c r="K408" s="248"/>
      <c r="L408" s="248"/>
      <c r="M408" s="248"/>
      <c r="N408" s="242"/>
    </row>
    <row r="409" spans="2:14" ht="18" customHeight="1" x14ac:dyDescent="0.15">
      <c r="B409" s="248"/>
      <c r="C409" s="248"/>
      <c r="D409" s="242"/>
      <c r="E409" s="242"/>
      <c r="F409" s="242"/>
      <c r="G409" s="242"/>
      <c r="H409" s="265"/>
      <c r="I409" s="242"/>
      <c r="J409" s="242"/>
      <c r="K409" s="248"/>
      <c r="L409" s="248"/>
      <c r="M409" s="248"/>
      <c r="N409" s="242"/>
    </row>
    <row r="410" spans="2:14" ht="18" customHeight="1" x14ac:dyDescent="0.15">
      <c r="B410" s="248"/>
      <c r="C410" s="248"/>
      <c r="D410" s="242"/>
      <c r="E410" s="242"/>
      <c r="F410" s="242"/>
      <c r="G410" s="242"/>
      <c r="H410" s="265"/>
      <c r="I410" s="242"/>
      <c r="J410" s="242"/>
      <c r="K410" s="248"/>
      <c r="L410" s="248"/>
      <c r="M410" s="248"/>
      <c r="N410" s="242"/>
    </row>
    <row r="411" spans="2:14" ht="18" customHeight="1" x14ac:dyDescent="0.15">
      <c r="B411" s="248"/>
      <c r="C411" s="248"/>
      <c r="D411" s="242"/>
      <c r="E411" s="242"/>
      <c r="F411" s="242"/>
      <c r="G411" s="242"/>
      <c r="H411" s="265"/>
      <c r="I411" s="242"/>
      <c r="J411" s="242"/>
      <c r="K411" s="248"/>
      <c r="L411" s="248"/>
      <c r="M411" s="248"/>
      <c r="N411" s="242"/>
    </row>
    <row r="412" spans="2:14" ht="18" customHeight="1" x14ac:dyDescent="0.15">
      <c r="B412" s="248"/>
      <c r="C412" s="248"/>
      <c r="D412" s="242"/>
      <c r="E412" s="242"/>
      <c r="F412" s="242"/>
      <c r="G412" s="242"/>
      <c r="H412" s="265"/>
      <c r="I412" s="242"/>
      <c r="J412" s="242"/>
      <c r="K412" s="248"/>
      <c r="L412" s="248"/>
      <c r="M412" s="248"/>
      <c r="N412" s="242"/>
    </row>
    <row r="413" spans="2:14" ht="18" customHeight="1" x14ac:dyDescent="0.15">
      <c r="B413" s="248"/>
      <c r="C413" s="248"/>
      <c r="D413" s="242"/>
      <c r="E413" s="242"/>
      <c r="F413" s="242"/>
      <c r="G413" s="242"/>
      <c r="H413" s="265"/>
      <c r="I413" s="242"/>
      <c r="J413" s="242"/>
      <c r="K413" s="248"/>
      <c r="L413" s="248"/>
      <c r="M413" s="248"/>
      <c r="N413" s="242"/>
    </row>
    <row r="414" spans="2:14" ht="18" customHeight="1" x14ac:dyDescent="0.15">
      <c r="B414" s="248"/>
      <c r="C414" s="248"/>
      <c r="D414" s="242"/>
      <c r="E414" s="242"/>
      <c r="F414" s="242"/>
      <c r="G414" s="242"/>
      <c r="H414" s="265"/>
      <c r="I414" s="242"/>
      <c r="J414" s="242"/>
      <c r="K414" s="248"/>
      <c r="L414" s="248"/>
      <c r="M414" s="248"/>
      <c r="N414" s="242"/>
    </row>
    <row r="415" spans="2:14" ht="18" customHeight="1" x14ac:dyDescent="0.15">
      <c r="B415" s="248"/>
      <c r="C415" s="248"/>
      <c r="D415" s="242"/>
      <c r="E415" s="242"/>
      <c r="F415" s="242"/>
      <c r="G415" s="242"/>
      <c r="H415" s="265"/>
      <c r="I415" s="242"/>
      <c r="J415" s="242"/>
      <c r="K415" s="248"/>
      <c r="L415" s="248"/>
      <c r="M415" s="248"/>
      <c r="N415" s="242"/>
    </row>
    <row r="416" spans="2:14" ht="18" customHeight="1" x14ac:dyDescent="0.15">
      <c r="B416" s="248"/>
      <c r="C416" s="248"/>
      <c r="D416" s="242"/>
      <c r="E416" s="242"/>
      <c r="F416" s="242"/>
      <c r="G416" s="242"/>
      <c r="H416" s="265"/>
      <c r="I416" s="242"/>
      <c r="J416" s="242"/>
      <c r="K416" s="248"/>
      <c r="L416" s="248"/>
      <c r="M416" s="248"/>
      <c r="N416" s="242"/>
    </row>
    <row r="417" spans="2:14" ht="18" customHeight="1" x14ac:dyDescent="0.15">
      <c r="B417" s="248"/>
      <c r="C417" s="248"/>
      <c r="D417" s="242"/>
      <c r="E417" s="242"/>
      <c r="F417" s="242"/>
      <c r="G417" s="242"/>
      <c r="H417" s="265"/>
      <c r="I417" s="242"/>
      <c r="J417" s="242"/>
      <c r="K417" s="248"/>
      <c r="L417" s="248"/>
      <c r="M417" s="248"/>
      <c r="N417" s="242"/>
    </row>
    <row r="418" spans="2:14" ht="18" customHeight="1" x14ac:dyDescent="0.15">
      <c r="B418" s="248"/>
      <c r="C418" s="248"/>
      <c r="D418" s="242"/>
      <c r="E418" s="242"/>
      <c r="F418" s="242"/>
      <c r="G418" s="242"/>
      <c r="H418" s="265"/>
      <c r="I418" s="242"/>
      <c r="J418" s="242"/>
      <c r="K418" s="248"/>
      <c r="L418" s="248"/>
      <c r="M418" s="248"/>
      <c r="N418" s="242"/>
    </row>
    <row r="419" spans="2:14" ht="18" customHeight="1" x14ac:dyDescent="0.15">
      <c r="B419" s="248"/>
      <c r="C419" s="248"/>
      <c r="D419" s="242"/>
      <c r="E419" s="242"/>
      <c r="F419" s="242"/>
      <c r="G419" s="242"/>
      <c r="H419" s="265"/>
      <c r="I419" s="242"/>
      <c r="J419" s="242"/>
      <c r="K419" s="248"/>
      <c r="L419" s="248"/>
      <c r="M419" s="248"/>
      <c r="N419" s="242"/>
    </row>
    <row r="420" spans="2:14" ht="18" customHeight="1" x14ac:dyDescent="0.15">
      <c r="B420" s="248"/>
      <c r="C420" s="248"/>
      <c r="D420" s="242"/>
      <c r="E420" s="242"/>
      <c r="F420" s="242"/>
      <c r="G420" s="242"/>
      <c r="H420" s="265"/>
      <c r="I420" s="242"/>
      <c r="J420" s="242"/>
      <c r="K420" s="248"/>
      <c r="L420" s="248"/>
      <c r="M420" s="248"/>
      <c r="N420" s="242"/>
    </row>
    <row r="421" spans="2:14" ht="18" customHeight="1" x14ac:dyDescent="0.15">
      <c r="B421" s="248"/>
      <c r="C421" s="248"/>
      <c r="D421" s="242"/>
      <c r="E421" s="242"/>
      <c r="F421" s="242"/>
      <c r="G421" s="242"/>
      <c r="H421" s="265"/>
      <c r="I421" s="242"/>
      <c r="J421" s="242"/>
      <c r="K421" s="248"/>
      <c r="L421" s="248"/>
      <c r="M421" s="248"/>
      <c r="N421" s="242"/>
    </row>
    <row r="422" spans="2:14" ht="18" customHeight="1" x14ac:dyDescent="0.15">
      <c r="B422" s="248"/>
      <c r="C422" s="248"/>
      <c r="D422" s="242"/>
      <c r="E422" s="242"/>
      <c r="F422" s="242"/>
      <c r="G422" s="242"/>
      <c r="H422" s="265"/>
      <c r="I422" s="242"/>
      <c r="J422" s="242"/>
      <c r="K422" s="248"/>
      <c r="L422" s="248"/>
      <c r="M422" s="248"/>
      <c r="N422" s="242"/>
    </row>
    <row r="423" spans="2:14" ht="18" customHeight="1" x14ac:dyDescent="0.15">
      <c r="B423" s="248"/>
      <c r="C423" s="248"/>
      <c r="D423" s="242"/>
      <c r="E423" s="242"/>
      <c r="F423" s="242"/>
      <c r="G423" s="242"/>
      <c r="H423" s="265"/>
      <c r="I423" s="242"/>
      <c r="J423" s="242"/>
      <c r="K423" s="248"/>
      <c r="L423" s="248"/>
      <c r="M423" s="248"/>
      <c r="N423" s="242"/>
    </row>
    <row r="424" spans="2:14" ht="18" customHeight="1" x14ac:dyDescent="0.15">
      <c r="B424" s="248"/>
      <c r="C424" s="248"/>
      <c r="D424" s="242"/>
      <c r="E424" s="242"/>
      <c r="F424" s="242"/>
      <c r="G424" s="242"/>
      <c r="H424" s="265"/>
      <c r="I424" s="242"/>
      <c r="J424" s="242"/>
      <c r="K424" s="248"/>
      <c r="L424" s="248"/>
      <c r="M424" s="248"/>
      <c r="N424" s="242"/>
    </row>
    <row r="425" spans="2:14" ht="18" customHeight="1" x14ac:dyDescent="0.15">
      <c r="B425" s="248"/>
      <c r="C425" s="248"/>
      <c r="D425" s="242"/>
      <c r="E425" s="242"/>
      <c r="F425" s="242"/>
      <c r="G425" s="242"/>
      <c r="H425" s="265"/>
      <c r="I425" s="242"/>
      <c r="J425" s="242"/>
      <c r="K425" s="248"/>
      <c r="L425" s="248"/>
      <c r="M425" s="248"/>
      <c r="N425" s="242"/>
    </row>
    <row r="426" spans="2:14" ht="18" customHeight="1" x14ac:dyDescent="0.15">
      <c r="B426" s="248"/>
      <c r="C426" s="248"/>
      <c r="D426" s="242"/>
      <c r="E426" s="242"/>
      <c r="F426" s="242"/>
      <c r="G426" s="242"/>
      <c r="H426" s="265"/>
      <c r="I426" s="242"/>
      <c r="J426" s="242"/>
      <c r="K426" s="248"/>
      <c r="L426" s="248"/>
      <c r="M426" s="248"/>
      <c r="N426" s="242"/>
    </row>
    <row r="427" spans="2:14" ht="18" customHeight="1" x14ac:dyDescent="0.15">
      <c r="B427" s="248"/>
      <c r="C427" s="248"/>
      <c r="D427" s="242"/>
      <c r="E427" s="242"/>
      <c r="F427" s="242"/>
      <c r="G427" s="242"/>
      <c r="H427" s="265"/>
      <c r="I427" s="242"/>
      <c r="J427" s="242"/>
      <c r="K427" s="248"/>
      <c r="L427" s="248"/>
      <c r="M427" s="248"/>
      <c r="N427" s="242"/>
    </row>
    <row r="428" spans="2:14" ht="18" customHeight="1" x14ac:dyDescent="0.15">
      <c r="B428" s="248"/>
      <c r="C428" s="248"/>
      <c r="D428" s="242"/>
      <c r="E428" s="242"/>
      <c r="F428" s="242"/>
      <c r="G428" s="242"/>
      <c r="H428" s="265"/>
      <c r="I428" s="242"/>
      <c r="J428" s="242"/>
      <c r="K428" s="248"/>
      <c r="L428" s="248"/>
      <c r="M428" s="248"/>
      <c r="N428" s="242"/>
    </row>
    <row r="429" spans="2:14" ht="18" customHeight="1" x14ac:dyDescent="0.15">
      <c r="B429" s="248"/>
      <c r="C429" s="248"/>
      <c r="D429" s="242"/>
      <c r="E429" s="242"/>
      <c r="F429" s="242"/>
      <c r="G429" s="242"/>
      <c r="H429" s="265"/>
      <c r="I429" s="242"/>
      <c r="J429" s="242"/>
      <c r="K429" s="248"/>
      <c r="L429" s="248"/>
      <c r="M429" s="248"/>
      <c r="N429" s="242"/>
    </row>
    <row r="430" spans="2:14" ht="18" customHeight="1" x14ac:dyDescent="0.15">
      <c r="B430" s="248"/>
      <c r="C430" s="248"/>
      <c r="D430" s="242"/>
      <c r="E430" s="242"/>
      <c r="F430" s="242"/>
      <c r="G430" s="242"/>
      <c r="H430" s="265"/>
      <c r="I430" s="242"/>
      <c r="J430" s="242"/>
      <c r="K430" s="248"/>
      <c r="L430" s="248"/>
      <c r="M430" s="248"/>
      <c r="N430" s="242"/>
    </row>
    <row r="431" spans="2:14" ht="18" customHeight="1" x14ac:dyDescent="0.15">
      <c r="B431" s="248"/>
      <c r="C431" s="248"/>
      <c r="D431" s="242"/>
      <c r="E431" s="242"/>
      <c r="F431" s="242"/>
      <c r="G431" s="242"/>
      <c r="H431" s="265"/>
      <c r="I431" s="242"/>
      <c r="J431" s="242"/>
      <c r="K431" s="248"/>
      <c r="L431" s="248"/>
      <c r="M431" s="248"/>
      <c r="N431" s="242"/>
    </row>
    <row r="432" spans="2:14" ht="18" customHeight="1" x14ac:dyDescent="0.15">
      <c r="B432" s="248"/>
      <c r="C432" s="248"/>
      <c r="D432" s="242"/>
      <c r="E432" s="242"/>
      <c r="F432" s="242"/>
      <c r="G432" s="242"/>
      <c r="H432" s="265"/>
      <c r="I432" s="242"/>
      <c r="J432" s="242"/>
      <c r="K432" s="248"/>
      <c r="L432" s="248"/>
      <c r="M432" s="248"/>
      <c r="N432" s="242"/>
    </row>
    <row r="433" spans="2:14" ht="18" customHeight="1" x14ac:dyDescent="0.15">
      <c r="B433" s="248"/>
      <c r="C433" s="248"/>
      <c r="D433" s="242"/>
      <c r="E433" s="242"/>
      <c r="F433" s="242"/>
      <c r="G433" s="242"/>
      <c r="H433" s="265"/>
      <c r="I433" s="242"/>
      <c r="J433" s="242"/>
      <c r="K433" s="248"/>
      <c r="L433" s="248"/>
      <c r="M433" s="248"/>
      <c r="N433" s="242"/>
    </row>
    <row r="434" spans="2:14" ht="18" customHeight="1" x14ac:dyDescent="0.15">
      <c r="B434" s="248"/>
      <c r="C434" s="248"/>
      <c r="D434" s="242"/>
      <c r="E434" s="242"/>
      <c r="F434" s="242"/>
      <c r="G434" s="242"/>
      <c r="H434" s="265"/>
      <c r="I434" s="242"/>
      <c r="J434" s="242"/>
      <c r="K434" s="248"/>
      <c r="L434" s="248"/>
      <c r="M434" s="248"/>
      <c r="N434" s="242"/>
    </row>
    <row r="435" spans="2:14" ht="18" customHeight="1" x14ac:dyDescent="0.15">
      <c r="B435" s="248"/>
      <c r="C435" s="248"/>
      <c r="D435" s="242"/>
      <c r="E435" s="242"/>
      <c r="F435" s="242"/>
      <c r="G435" s="242"/>
      <c r="H435" s="265"/>
      <c r="I435" s="242"/>
      <c r="J435" s="242"/>
      <c r="K435" s="248"/>
      <c r="L435" s="248"/>
      <c r="M435" s="248"/>
      <c r="N435" s="242"/>
    </row>
    <row r="436" spans="2:14" ht="18" customHeight="1" x14ac:dyDescent="0.15">
      <c r="B436" s="248"/>
      <c r="C436" s="248"/>
      <c r="D436" s="242"/>
      <c r="E436" s="242"/>
      <c r="F436" s="242"/>
      <c r="G436" s="242"/>
      <c r="H436" s="265"/>
      <c r="I436" s="242"/>
      <c r="J436" s="242"/>
      <c r="K436" s="248"/>
      <c r="L436" s="248"/>
      <c r="M436" s="248"/>
      <c r="N436" s="242"/>
    </row>
    <row r="437" spans="2:14" ht="18" customHeight="1" x14ac:dyDescent="0.15">
      <c r="B437" s="248"/>
      <c r="C437" s="248"/>
      <c r="D437" s="242"/>
      <c r="E437" s="242"/>
      <c r="F437" s="242"/>
      <c r="G437" s="242"/>
      <c r="H437" s="265"/>
      <c r="I437" s="242"/>
      <c r="J437" s="242"/>
      <c r="K437" s="248"/>
      <c r="L437" s="248"/>
      <c r="M437" s="248"/>
      <c r="N437" s="242"/>
    </row>
    <row r="438" spans="2:14" ht="18" customHeight="1" x14ac:dyDescent="0.15">
      <c r="B438" s="248"/>
      <c r="C438" s="248"/>
      <c r="D438" s="242"/>
      <c r="E438" s="242"/>
      <c r="F438" s="242"/>
      <c r="G438" s="242"/>
      <c r="H438" s="265"/>
      <c r="I438" s="242"/>
      <c r="J438" s="242"/>
      <c r="K438" s="248"/>
      <c r="L438" s="248"/>
      <c r="M438" s="248"/>
      <c r="N438" s="242"/>
    </row>
    <row r="439" spans="2:14" ht="18" customHeight="1" x14ac:dyDescent="0.15">
      <c r="B439" s="248"/>
      <c r="C439" s="248"/>
      <c r="D439" s="242"/>
      <c r="E439" s="242"/>
      <c r="F439" s="242"/>
      <c r="G439" s="242"/>
      <c r="H439" s="265"/>
      <c r="I439" s="242"/>
      <c r="J439" s="242"/>
      <c r="K439" s="248"/>
      <c r="L439" s="248"/>
      <c r="M439" s="248"/>
      <c r="N439" s="242"/>
    </row>
    <row r="440" spans="2:14" ht="18" customHeight="1" x14ac:dyDescent="0.15">
      <c r="B440" s="248"/>
      <c r="C440" s="248"/>
      <c r="D440" s="242"/>
      <c r="E440" s="242"/>
      <c r="F440" s="242"/>
      <c r="G440" s="242"/>
      <c r="H440" s="265"/>
      <c r="I440" s="242"/>
      <c r="J440" s="242"/>
      <c r="K440" s="248"/>
      <c r="L440" s="248"/>
      <c r="M440" s="248"/>
      <c r="N440" s="242"/>
    </row>
    <row r="441" spans="2:14" ht="18" customHeight="1" x14ac:dyDescent="0.15">
      <c r="B441" s="248"/>
      <c r="C441" s="248"/>
      <c r="D441" s="242"/>
      <c r="E441" s="242"/>
      <c r="F441" s="242"/>
      <c r="G441" s="242"/>
      <c r="H441" s="265"/>
      <c r="I441" s="242"/>
      <c r="J441" s="242"/>
      <c r="K441" s="248"/>
      <c r="L441" s="248"/>
      <c r="M441" s="248"/>
      <c r="N441" s="242"/>
    </row>
    <row r="442" spans="2:14" ht="18" customHeight="1" x14ac:dyDescent="0.15">
      <c r="B442" s="248"/>
      <c r="C442" s="248"/>
      <c r="D442" s="242"/>
      <c r="E442" s="242"/>
      <c r="F442" s="242"/>
      <c r="G442" s="242"/>
      <c r="H442" s="265"/>
      <c r="I442" s="242"/>
      <c r="J442" s="242"/>
      <c r="K442" s="248"/>
      <c r="L442" s="248"/>
      <c r="M442" s="248"/>
      <c r="N442" s="242"/>
    </row>
    <row r="443" spans="2:14" ht="18" customHeight="1" x14ac:dyDescent="0.15">
      <c r="B443" s="248"/>
      <c r="C443" s="248"/>
      <c r="D443" s="242"/>
      <c r="E443" s="242"/>
      <c r="F443" s="242"/>
      <c r="G443" s="242"/>
      <c r="H443" s="265"/>
      <c r="I443" s="242"/>
      <c r="J443" s="242"/>
      <c r="K443" s="248"/>
      <c r="L443" s="248"/>
      <c r="M443" s="248"/>
      <c r="N443" s="242"/>
    </row>
    <row r="444" spans="2:14" ht="18" customHeight="1" x14ac:dyDescent="0.15">
      <c r="B444" s="248"/>
      <c r="C444" s="248"/>
      <c r="D444" s="242"/>
      <c r="E444" s="242"/>
      <c r="F444" s="242"/>
      <c r="G444" s="242"/>
      <c r="H444" s="265"/>
      <c r="I444" s="242"/>
      <c r="J444" s="242"/>
      <c r="K444" s="248"/>
      <c r="L444" s="248"/>
      <c r="M444" s="248"/>
      <c r="N444" s="242"/>
    </row>
    <row r="445" spans="2:14" ht="18" customHeight="1" x14ac:dyDescent="0.15">
      <c r="B445" s="248"/>
      <c r="C445" s="248"/>
      <c r="D445" s="242"/>
      <c r="E445" s="242"/>
      <c r="F445" s="242"/>
      <c r="G445" s="242"/>
      <c r="H445" s="265"/>
      <c r="I445" s="242"/>
      <c r="J445" s="242"/>
      <c r="K445" s="248"/>
      <c r="L445" s="248"/>
      <c r="M445" s="248"/>
      <c r="N445" s="242"/>
    </row>
    <row r="446" spans="2:14" ht="18" customHeight="1" x14ac:dyDescent="0.15">
      <c r="B446" s="248"/>
      <c r="C446" s="248"/>
      <c r="D446" s="242"/>
      <c r="E446" s="242"/>
      <c r="F446" s="242"/>
      <c r="G446" s="242"/>
      <c r="H446" s="265"/>
      <c r="I446" s="242"/>
      <c r="J446" s="242"/>
      <c r="K446" s="248"/>
      <c r="L446" s="248"/>
      <c r="M446" s="248"/>
      <c r="N446" s="242"/>
    </row>
    <row r="447" spans="2:14" ht="18" customHeight="1" x14ac:dyDescent="0.15">
      <c r="B447" s="248"/>
      <c r="C447" s="248"/>
      <c r="D447" s="242"/>
      <c r="E447" s="242"/>
      <c r="F447" s="242"/>
      <c r="G447" s="242"/>
      <c r="H447" s="265"/>
      <c r="I447" s="242"/>
      <c r="J447" s="242"/>
      <c r="K447" s="248"/>
      <c r="L447" s="248"/>
      <c r="M447" s="248"/>
      <c r="N447" s="242"/>
    </row>
    <row r="448" spans="2:14" ht="18" customHeight="1" x14ac:dyDescent="0.15">
      <c r="B448" s="248"/>
      <c r="C448" s="248"/>
      <c r="D448" s="242"/>
      <c r="E448" s="242"/>
      <c r="F448" s="242"/>
      <c r="G448" s="242"/>
      <c r="H448" s="265"/>
      <c r="I448" s="242"/>
      <c r="J448" s="242"/>
      <c r="K448" s="248"/>
      <c r="L448" s="248"/>
      <c r="M448" s="248"/>
      <c r="N448" s="242"/>
    </row>
    <row r="449" spans="2:14" ht="18" customHeight="1" x14ac:dyDescent="0.15">
      <c r="B449" s="248"/>
      <c r="C449" s="248"/>
      <c r="D449" s="242"/>
      <c r="E449" s="242"/>
      <c r="F449" s="242"/>
      <c r="G449" s="242"/>
      <c r="H449" s="265"/>
      <c r="I449" s="242"/>
      <c r="J449" s="242"/>
      <c r="K449" s="248"/>
      <c r="L449" s="248"/>
      <c r="M449" s="248"/>
      <c r="N449" s="242"/>
    </row>
    <row r="450" spans="2:14" ht="18" customHeight="1" x14ac:dyDescent="0.15">
      <c r="B450" s="248"/>
      <c r="C450" s="248"/>
      <c r="D450" s="242"/>
      <c r="E450" s="242"/>
      <c r="F450" s="242"/>
      <c r="G450" s="242"/>
      <c r="H450" s="265"/>
      <c r="I450" s="242"/>
      <c r="J450" s="242"/>
      <c r="K450" s="248"/>
      <c r="L450" s="248"/>
      <c r="M450" s="248"/>
      <c r="N450" s="242"/>
    </row>
    <row r="451" spans="2:14" ht="18" customHeight="1" x14ac:dyDescent="0.15">
      <c r="B451" s="248"/>
      <c r="C451" s="248"/>
      <c r="D451" s="242"/>
      <c r="E451" s="242"/>
      <c r="F451" s="242"/>
      <c r="G451" s="242"/>
      <c r="H451" s="265"/>
      <c r="I451" s="242"/>
      <c r="J451" s="242"/>
      <c r="K451" s="248"/>
      <c r="L451" s="248"/>
      <c r="M451" s="248"/>
      <c r="N451" s="242"/>
    </row>
    <row r="452" spans="2:14" ht="18" customHeight="1" x14ac:dyDescent="0.15">
      <c r="B452" s="248"/>
      <c r="C452" s="248"/>
      <c r="D452" s="242"/>
      <c r="E452" s="242"/>
      <c r="F452" s="242"/>
      <c r="G452" s="242"/>
      <c r="H452" s="265"/>
      <c r="I452" s="242"/>
      <c r="J452" s="242"/>
      <c r="K452" s="248"/>
      <c r="L452" s="248"/>
      <c r="M452" s="248"/>
      <c r="N452" s="242"/>
    </row>
    <row r="453" spans="2:14" ht="18" customHeight="1" x14ac:dyDescent="0.15">
      <c r="B453" s="248"/>
      <c r="C453" s="248"/>
      <c r="D453" s="242"/>
      <c r="E453" s="242"/>
      <c r="F453" s="242"/>
      <c r="G453" s="242"/>
      <c r="H453" s="265"/>
      <c r="I453" s="242"/>
      <c r="J453" s="242"/>
      <c r="K453" s="248"/>
      <c r="L453" s="248"/>
      <c r="M453" s="248"/>
      <c r="N453" s="242"/>
    </row>
    <row r="454" spans="2:14" ht="18" customHeight="1" x14ac:dyDescent="0.15">
      <c r="B454" s="248"/>
      <c r="C454" s="248"/>
      <c r="D454" s="242"/>
      <c r="E454" s="242"/>
      <c r="F454" s="242"/>
      <c r="G454" s="242"/>
      <c r="H454" s="265"/>
      <c r="I454" s="242"/>
      <c r="J454" s="242"/>
      <c r="K454" s="248"/>
      <c r="L454" s="248"/>
      <c r="M454" s="248"/>
      <c r="N454" s="242"/>
    </row>
    <row r="455" spans="2:14" ht="18" customHeight="1" x14ac:dyDescent="0.15">
      <c r="B455" s="248"/>
      <c r="C455" s="248"/>
      <c r="D455" s="242"/>
      <c r="E455" s="242"/>
      <c r="F455" s="242"/>
      <c r="G455" s="242"/>
      <c r="H455" s="265"/>
      <c r="I455" s="242"/>
      <c r="J455" s="242"/>
      <c r="K455" s="248"/>
      <c r="L455" s="248"/>
      <c r="M455" s="248"/>
      <c r="N455" s="242"/>
    </row>
    <row r="456" spans="2:14" ht="18" customHeight="1" x14ac:dyDescent="0.15">
      <c r="B456" s="248"/>
      <c r="C456" s="248"/>
      <c r="D456" s="242"/>
      <c r="E456" s="242"/>
      <c r="F456" s="242"/>
      <c r="G456" s="242"/>
      <c r="H456" s="265"/>
      <c r="I456" s="242"/>
      <c r="J456" s="242"/>
      <c r="K456" s="248"/>
      <c r="L456" s="248"/>
      <c r="M456" s="248"/>
      <c r="N456" s="242"/>
    </row>
    <row r="457" spans="2:14" ht="18" customHeight="1" x14ac:dyDescent="0.15">
      <c r="B457" s="248"/>
      <c r="C457" s="248"/>
      <c r="D457" s="242"/>
      <c r="E457" s="242"/>
      <c r="F457" s="242"/>
      <c r="G457" s="242"/>
      <c r="H457" s="265"/>
      <c r="I457" s="242"/>
      <c r="J457" s="242"/>
      <c r="K457" s="248"/>
      <c r="L457" s="248"/>
      <c r="M457" s="248"/>
      <c r="N457" s="242"/>
    </row>
    <row r="458" spans="2:14" ht="18" customHeight="1" x14ac:dyDescent="0.15">
      <c r="B458" s="248"/>
      <c r="C458" s="248"/>
      <c r="D458" s="242"/>
      <c r="E458" s="242"/>
      <c r="F458" s="242"/>
      <c r="G458" s="242"/>
      <c r="H458" s="265"/>
      <c r="I458" s="242"/>
      <c r="J458" s="242"/>
      <c r="K458" s="248"/>
      <c r="L458" s="248"/>
      <c r="M458" s="248"/>
      <c r="N458" s="242"/>
    </row>
    <row r="459" spans="2:14" ht="18" customHeight="1" x14ac:dyDescent="0.15">
      <c r="B459" s="248"/>
      <c r="C459" s="248"/>
      <c r="D459" s="242"/>
      <c r="E459" s="242"/>
      <c r="F459" s="242"/>
      <c r="G459" s="242"/>
      <c r="H459" s="265"/>
      <c r="I459" s="242"/>
      <c r="J459" s="242"/>
      <c r="K459" s="248"/>
      <c r="L459" s="248"/>
      <c r="M459" s="248"/>
      <c r="N459" s="242"/>
    </row>
    <row r="460" spans="2:14" ht="18" customHeight="1" x14ac:dyDescent="0.15">
      <c r="B460" s="248"/>
      <c r="C460" s="248"/>
      <c r="D460" s="242"/>
      <c r="E460" s="242"/>
      <c r="F460" s="242"/>
      <c r="G460" s="242"/>
      <c r="H460" s="265"/>
      <c r="I460" s="242"/>
      <c r="J460" s="242"/>
      <c r="K460" s="248"/>
      <c r="L460" s="248"/>
      <c r="M460" s="248"/>
      <c r="N460" s="242"/>
    </row>
    <row r="461" spans="2:14" ht="18" customHeight="1" x14ac:dyDescent="0.15">
      <c r="B461" s="248"/>
      <c r="C461" s="248"/>
      <c r="D461" s="242"/>
      <c r="E461" s="242"/>
      <c r="F461" s="242"/>
      <c r="G461" s="242"/>
      <c r="H461" s="265"/>
      <c r="I461" s="242"/>
      <c r="J461" s="242"/>
      <c r="K461" s="248"/>
      <c r="L461" s="248"/>
      <c r="M461" s="248"/>
      <c r="N461" s="242"/>
    </row>
    <row r="462" spans="2:14" ht="18" customHeight="1" x14ac:dyDescent="0.15">
      <c r="B462" s="248"/>
      <c r="C462" s="248"/>
      <c r="D462" s="242"/>
      <c r="E462" s="242"/>
      <c r="F462" s="242"/>
      <c r="G462" s="242"/>
      <c r="H462" s="265"/>
      <c r="I462" s="242"/>
      <c r="J462" s="242"/>
      <c r="K462" s="248"/>
      <c r="L462" s="248"/>
      <c r="M462" s="248"/>
      <c r="N462" s="242"/>
    </row>
    <row r="463" spans="2:14" ht="18" customHeight="1" x14ac:dyDescent="0.15">
      <c r="B463" s="248"/>
      <c r="C463" s="248"/>
      <c r="D463" s="242"/>
      <c r="E463" s="242"/>
      <c r="F463" s="242"/>
      <c r="G463" s="242"/>
      <c r="H463" s="265"/>
      <c r="I463" s="242"/>
      <c r="J463" s="242"/>
      <c r="K463" s="248"/>
      <c r="L463" s="248"/>
      <c r="M463" s="248"/>
      <c r="N463" s="242"/>
    </row>
    <row r="464" spans="2:14" ht="18" customHeight="1" x14ac:dyDescent="0.15">
      <c r="B464" s="248"/>
      <c r="C464" s="248"/>
      <c r="D464" s="242"/>
      <c r="E464" s="242"/>
      <c r="F464" s="242"/>
      <c r="G464" s="242"/>
      <c r="H464" s="265"/>
      <c r="I464" s="242"/>
      <c r="J464" s="242"/>
      <c r="K464" s="248"/>
      <c r="L464" s="248"/>
      <c r="M464" s="248"/>
      <c r="N464" s="242"/>
    </row>
    <row r="465" spans="2:14" ht="18" customHeight="1" x14ac:dyDescent="0.15">
      <c r="B465" s="248"/>
      <c r="C465" s="248"/>
      <c r="D465" s="242"/>
      <c r="E465" s="242"/>
      <c r="F465" s="242"/>
      <c r="G465" s="242"/>
      <c r="H465" s="265"/>
      <c r="I465" s="242"/>
      <c r="J465" s="242"/>
      <c r="K465" s="248"/>
      <c r="L465" s="248"/>
      <c r="M465" s="248"/>
      <c r="N465" s="242"/>
    </row>
    <row r="466" spans="2:14" ht="18" customHeight="1" x14ac:dyDescent="0.15">
      <c r="B466" s="248"/>
      <c r="C466" s="248"/>
      <c r="D466" s="242"/>
      <c r="E466" s="242"/>
      <c r="F466" s="242"/>
      <c r="G466" s="242"/>
      <c r="H466" s="265"/>
      <c r="I466" s="242"/>
      <c r="J466" s="242"/>
      <c r="K466" s="248"/>
      <c r="L466" s="248"/>
      <c r="M466" s="248"/>
      <c r="N466" s="242"/>
    </row>
    <row r="467" spans="2:14" ht="18" customHeight="1" x14ac:dyDescent="0.15">
      <c r="B467" s="248"/>
      <c r="C467" s="248"/>
      <c r="D467" s="242"/>
      <c r="E467" s="242"/>
      <c r="F467" s="242"/>
      <c r="G467" s="242"/>
      <c r="H467" s="265"/>
      <c r="I467" s="242"/>
      <c r="J467" s="242"/>
      <c r="K467" s="248"/>
      <c r="L467" s="248"/>
      <c r="M467" s="248"/>
      <c r="N467" s="242"/>
    </row>
    <row r="468" spans="2:14" ht="18" customHeight="1" x14ac:dyDescent="0.15">
      <c r="B468" s="248"/>
      <c r="C468" s="248"/>
      <c r="D468" s="242"/>
      <c r="E468" s="242"/>
      <c r="F468" s="242"/>
      <c r="G468" s="242"/>
      <c r="H468" s="265"/>
      <c r="I468" s="242"/>
      <c r="J468" s="242"/>
      <c r="K468" s="248"/>
      <c r="L468" s="248"/>
      <c r="M468" s="248"/>
      <c r="N468" s="242"/>
    </row>
    <row r="469" spans="2:14" ht="18" customHeight="1" x14ac:dyDescent="0.15">
      <c r="B469" s="248"/>
      <c r="C469" s="248"/>
      <c r="D469" s="242"/>
      <c r="E469" s="242"/>
      <c r="F469" s="242"/>
      <c r="G469" s="242"/>
      <c r="H469" s="265"/>
      <c r="I469" s="242"/>
      <c r="J469" s="242"/>
      <c r="K469" s="248"/>
      <c r="L469" s="248"/>
      <c r="M469" s="248"/>
      <c r="N469" s="242"/>
    </row>
    <row r="470" spans="2:14" ht="18" customHeight="1" x14ac:dyDescent="0.15">
      <c r="B470" s="248"/>
      <c r="C470" s="248"/>
      <c r="D470" s="242"/>
      <c r="E470" s="242"/>
      <c r="F470" s="242"/>
      <c r="G470" s="242"/>
      <c r="H470" s="265"/>
      <c r="I470" s="242"/>
      <c r="J470" s="242"/>
      <c r="K470" s="248"/>
      <c r="L470" s="248"/>
      <c r="M470" s="248"/>
      <c r="N470" s="242"/>
    </row>
    <row r="471" spans="2:14" ht="18" customHeight="1" x14ac:dyDescent="0.15">
      <c r="B471" s="248"/>
      <c r="C471" s="248"/>
      <c r="D471" s="242"/>
      <c r="E471" s="242"/>
      <c r="F471" s="242"/>
      <c r="G471" s="242"/>
      <c r="H471" s="265"/>
      <c r="I471" s="242"/>
      <c r="J471" s="242"/>
      <c r="K471" s="248"/>
      <c r="L471" s="248"/>
      <c r="M471" s="248"/>
      <c r="N471" s="242"/>
    </row>
    <row r="472" spans="2:14" ht="18" customHeight="1" x14ac:dyDescent="0.15">
      <c r="B472" s="248"/>
      <c r="C472" s="248"/>
      <c r="D472" s="242"/>
      <c r="E472" s="242"/>
      <c r="F472" s="242"/>
      <c r="G472" s="242"/>
      <c r="H472" s="265"/>
      <c r="I472" s="242"/>
      <c r="J472" s="242"/>
      <c r="K472" s="248"/>
      <c r="L472" s="248"/>
      <c r="M472" s="248"/>
      <c r="N472" s="242"/>
    </row>
    <row r="473" spans="2:14" ht="18" customHeight="1" x14ac:dyDescent="0.15">
      <c r="B473" s="248"/>
      <c r="C473" s="248"/>
      <c r="D473" s="242"/>
      <c r="E473" s="242"/>
      <c r="F473" s="242"/>
      <c r="G473" s="242"/>
      <c r="H473" s="265"/>
      <c r="I473" s="242"/>
      <c r="J473" s="242"/>
      <c r="K473" s="248"/>
      <c r="L473" s="248"/>
      <c r="M473" s="248"/>
      <c r="N473" s="242"/>
    </row>
    <row r="474" spans="2:14" ht="18" customHeight="1" x14ac:dyDescent="0.15">
      <c r="B474" s="248"/>
      <c r="C474" s="248"/>
      <c r="D474" s="242"/>
      <c r="E474" s="242"/>
      <c r="F474" s="242"/>
      <c r="G474" s="242"/>
      <c r="H474" s="265"/>
      <c r="I474" s="242"/>
      <c r="J474" s="242"/>
      <c r="K474" s="248"/>
      <c r="L474" s="248"/>
      <c r="M474" s="248"/>
      <c r="N474" s="242"/>
    </row>
    <row r="475" spans="2:14" ht="18" customHeight="1" x14ac:dyDescent="0.15">
      <c r="B475" s="248"/>
      <c r="C475" s="248"/>
      <c r="D475" s="242"/>
      <c r="E475" s="242"/>
      <c r="F475" s="242"/>
      <c r="G475" s="242"/>
      <c r="H475" s="265"/>
      <c r="I475" s="242"/>
      <c r="J475" s="242"/>
      <c r="K475" s="248"/>
      <c r="L475" s="248"/>
      <c r="M475" s="248"/>
      <c r="N475" s="242"/>
    </row>
    <row r="476" spans="2:14" ht="18" customHeight="1" x14ac:dyDescent="0.15">
      <c r="B476" s="248"/>
      <c r="C476" s="248"/>
      <c r="D476" s="242"/>
      <c r="E476" s="242"/>
      <c r="F476" s="242"/>
      <c r="G476" s="242"/>
      <c r="H476" s="265"/>
      <c r="I476" s="242"/>
      <c r="J476" s="242"/>
      <c r="K476" s="248"/>
      <c r="L476" s="248"/>
      <c r="M476" s="248"/>
      <c r="N476" s="242"/>
    </row>
    <row r="477" spans="2:14" ht="18" customHeight="1" x14ac:dyDescent="0.15">
      <c r="B477" s="248"/>
      <c r="C477" s="248"/>
      <c r="D477" s="242"/>
      <c r="E477" s="242"/>
      <c r="F477" s="242"/>
      <c r="G477" s="242"/>
      <c r="H477" s="265"/>
      <c r="I477" s="242"/>
      <c r="J477" s="242"/>
      <c r="K477" s="248"/>
      <c r="L477" s="248"/>
      <c r="M477" s="248"/>
      <c r="N477" s="242"/>
    </row>
    <row r="478" spans="2:14" ht="18" customHeight="1" x14ac:dyDescent="0.15">
      <c r="B478" s="248"/>
      <c r="C478" s="248"/>
      <c r="D478" s="242"/>
      <c r="E478" s="242"/>
      <c r="F478" s="242"/>
      <c r="G478" s="242"/>
      <c r="H478" s="265"/>
      <c r="I478" s="242"/>
      <c r="J478" s="242"/>
      <c r="K478" s="248"/>
      <c r="L478" s="248"/>
      <c r="M478" s="248"/>
      <c r="N478" s="242"/>
    </row>
    <row r="479" spans="2:14" ht="18" customHeight="1" x14ac:dyDescent="0.15">
      <c r="B479" s="248"/>
      <c r="C479" s="248"/>
      <c r="D479" s="242"/>
      <c r="E479" s="242"/>
      <c r="F479" s="242"/>
      <c r="G479" s="242"/>
      <c r="H479" s="265"/>
      <c r="I479" s="242"/>
      <c r="J479" s="242"/>
      <c r="K479" s="248"/>
      <c r="L479" s="248"/>
      <c r="M479" s="248"/>
      <c r="N479" s="242"/>
    </row>
    <row r="480" spans="2:14" ht="18" customHeight="1" x14ac:dyDescent="0.15">
      <c r="B480" s="248"/>
      <c r="C480" s="248"/>
      <c r="D480" s="242"/>
      <c r="E480" s="242"/>
      <c r="F480" s="242"/>
      <c r="G480" s="242"/>
      <c r="H480" s="265"/>
      <c r="I480" s="242"/>
      <c r="J480" s="242"/>
      <c r="K480" s="248"/>
      <c r="L480" s="248"/>
      <c r="M480" s="248"/>
      <c r="N480" s="242"/>
    </row>
    <row r="481" spans="2:14" ht="18" customHeight="1" x14ac:dyDescent="0.15">
      <c r="B481" s="248"/>
      <c r="C481" s="248"/>
      <c r="D481" s="242"/>
      <c r="E481" s="242"/>
      <c r="F481" s="242"/>
      <c r="G481" s="242"/>
      <c r="H481" s="265"/>
      <c r="I481" s="242"/>
      <c r="J481" s="242"/>
      <c r="K481" s="248"/>
      <c r="L481" s="248"/>
      <c r="M481" s="248"/>
      <c r="N481" s="242"/>
    </row>
    <row r="482" spans="2:14" ht="18" customHeight="1" x14ac:dyDescent="0.15">
      <c r="B482" s="248"/>
      <c r="C482" s="248"/>
      <c r="D482" s="242"/>
      <c r="E482" s="242"/>
      <c r="F482" s="242"/>
      <c r="G482" s="242"/>
      <c r="H482" s="265"/>
      <c r="I482" s="242"/>
      <c r="J482" s="242"/>
      <c r="K482" s="248"/>
      <c r="L482" s="248"/>
      <c r="M482" s="248"/>
      <c r="N482" s="242"/>
    </row>
    <row r="483" spans="2:14" ht="18" customHeight="1" x14ac:dyDescent="0.15">
      <c r="B483" s="248"/>
      <c r="C483" s="248"/>
      <c r="D483" s="242"/>
      <c r="E483" s="242"/>
      <c r="F483" s="242"/>
      <c r="G483" s="242"/>
      <c r="H483" s="265"/>
      <c r="I483" s="242"/>
      <c r="J483" s="242"/>
      <c r="K483" s="248"/>
      <c r="L483" s="248"/>
      <c r="M483" s="248"/>
      <c r="N483" s="242"/>
    </row>
    <row r="484" spans="2:14" ht="18" customHeight="1" x14ac:dyDescent="0.15">
      <c r="B484" s="248"/>
      <c r="C484" s="248"/>
      <c r="D484" s="242"/>
      <c r="E484" s="242"/>
      <c r="F484" s="242"/>
      <c r="G484" s="242"/>
      <c r="H484" s="265"/>
      <c r="I484" s="242"/>
      <c r="J484" s="242"/>
      <c r="K484" s="248"/>
      <c r="L484" s="248"/>
      <c r="M484" s="248"/>
      <c r="N484" s="242"/>
    </row>
    <row r="485" spans="2:14" ht="18" customHeight="1" x14ac:dyDescent="0.15">
      <c r="B485" s="248"/>
      <c r="C485" s="248"/>
      <c r="D485" s="242"/>
      <c r="E485" s="242"/>
      <c r="F485" s="242"/>
      <c r="G485" s="242"/>
      <c r="H485" s="265"/>
      <c r="I485" s="242"/>
      <c r="J485" s="242"/>
      <c r="K485" s="248"/>
      <c r="L485" s="248"/>
      <c r="M485" s="248"/>
      <c r="N485" s="242"/>
    </row>
    <row r="486" spans="2:14" ht="18" customHeight="1" x14ac:dyDescent="0.15">
      <c r="B486" s="248"/>
      <c r="C486" s="248"/>
      <c r="D486" s="242"/>
      <c r="E486" s="242"/>
      <c r="F486" s="242"/>
      <c r="G486" s="242"/>
      <c r="H486" s="265"/>
      <c r="I486" s="242"/>
      <c r="J486" s="242"/>
      <c r="K486" s="248"/>
      <c r="L486" s="248"/>
      <c r="M486" s="248"/>
      <c r="N486" s="242"/>
    </row>
    <row r="487" spans="2:14" ht="18" customHeight="1" x14ac:dyDescent="0.15">
      <c r="B487" s="248"/>
      <c r="C487" s="248"/>
      <c r="D487" s="242"/>
      <c r="E487" s="242"/>
      <c r="F487" s="242"/>
      <c r="G487" s="242"/>
      <c r="H487" s="265"/>
      <c r="I487" s="242"/>
      <c r="J487" s="242"/>
      <c r="K487" s="248"/>
      <c r="L487" s="248"/>
      <c r="M487" s="248"/>
      <c r="N487" s="242"/>
    </row>
    <row r="488" spans="2:14" ht="18" customHeight="1" x14ac:dyDescent="0.15">
      <c r="B488" s="248"/>
      <c r="C488" s="248"/>
      <c r="D488" s="242"/>
      <c r="E488" s="242"/>
      <c r="F488" s="242"/>
      <c r="G488" s="242"/>
      <c r="H488" s="265"/>
      <c r="I488" s="242"/>
      <c r="J488" s="242"/>
      <c r="K488" s="248"/>
      <c r="L488" s="248"/>
      <c r="M488" s="248"/>
      <c r="N488" s="242"/>
    </row>
    <row r="489" spans="2:14" ht="18" customHeight="1" x14ac:dyDescent="0.15">
      <c r="B489" s="248"/>
      <c r="C489" s="248"/>
      <c r="D489" s="242"/>
      <c r="E489" s="242"/>
      <c r="F489" s="242"/>
      <c r="G489" s="242"/>
      <c r="H489" s="265"/>
      <c r="I489" s="242"/>
      <c r="J489" s="242"/>
      <c r="K489" s="248"/>
      <c r="L489" s="248"/>
      <c r="M489" s="248"/>
      <c r="N489" s="242"/>
    </row>
    <row r="490" spans="2:14" ht="18" customHeight="1" x14ac:dyDescent="0.15">
      <c r="B490" s="248"/>
      <c r="C490" s="248"/>
      <c r="D490" s="242"/>
      <c r="E490" s="242"/>
      <c r="F490" s="242"/>
      <c r="G490" s="242"/>
      <c r="H490" s="265"/>
      <c r="I490" s="242"/>
      <c r="J490" s="242"/>
      <c r="K490" s="248"/>
      <c r="L490" s="248"/>
      <c r="M490" s="248"/>
      <c r="N490" s="242"/>
    </row>
    <row r="491" spans="2:14" ht="18" customHeight="1" x14ac:dyDescent="0.15">
      <c r="B491" s="248"/>
      <c r="C491" s="248"/>
      <c r="D491" s="242"/>
      <c r="E491" s="242"/>
      <c r="F491" s="242"/>
      <c r="G491" s="242"/>
      <c r="H491" s="265"/>
      <c r="I491" s="242"/>
      <c r="J491" s="242"/>
      <c r="K491" s="248"/>
      <c r="L491" s="248"/>
      <c r="M491" s="248"/>
      <c r="N491" s="242"/>
    </row>
    <row r="492" spans="2:14" ht="18" customHeight="1" x14ac:dyDescent="0.15">
      <c r="B492" s="248"/>
      <c r="C492" s="248"/>
      <c r="D492" s="242"/>
      <c r="E492" s="242"/>
      <c r="F492" s="242"/>
      <c r="G492" s="242"/>
      <c r="H492" s="265"/>
      <c r="I492" s="242"/>
      <c r="J492" s="242"/>
      <c r="K492" s="248"/>
      <c r="L492" s="248"/>
      <c r="M492" s="248"/>
      <c r="N492" s="242"/>
    </row>
    <row r="493" spans="2:14" ht="18" customHeight="1" x14ac:dyDescent="0.15">
      <c r="B493" s="248"/>
      <c r="C493" s="248"/>
      <c r="D493" s="242"/>
      <c r="E493" s="242"/>
      <c r="F493" s="242"/>
      <c r="G493" s="242"/>
      <c r="H493" s="265"/>
      <c r="I493" s="242"/>
      <c r="J493" s="242"/>
      <c r="K493" s="248"/>
      <c r="L493" s="248"/>
      <c r="M493" s="248"/>
      <c r="N493" s="242"/>
    </row>
    <row r="494" spans="2:14" ht="18" customHeight="1" x14ac:dyDescent="0.15">
      <c r="B494" s="248"/>
      <c r="C494" s="248"/>
      <c r="D494" s="242"/>
      <c r="E494" s="242"/>
      <c r="F494" s="242"/>
      <c r="G494" s="242"/>
      <c r="H494" s="265"/>
      <c r="I494" s="242"/>
      <c r="J494" s="242"/>
      <c r="K494" s="248"/>
      <c r="L494" s="248"/>
      <c r="M494" s="248"/>
      <c r="N494" s="242"/>
    </row>
    <row r="495" spans="2:14" ht="18" customHeight="1" x14ac:dyDescent="0.15">
      <c r="B495" s="248"/>
      <c r="C495" s="248"/>
      <c r="D495" s="242"/>
      <c r="E495" s="242"/>
      <c r="F495" s="242"/>
      <c r="G495" s="242"/>
      <c r="H495" s="265"/>
      <c r="I495" s="242"/>
      <c r="J495" s="242"/>
      <c r="K495" s="248"/>
      <c r="L495" s="248"/>
      <c r="M495" s="248"/>
      <c r="N495" s="242"/>
    </row>
    <row r="496" spans="2:14" ht="18" customHeight="1" x14ac:dyDescent="0.15">
      <c r="B496" s="248"/>
      <c r="C496" s="248"/>
      <c r="D496" s="242"/>
      <c r="E496" s="242"/>
      <c r="F496" s="242"/>
      <c r="G496" s="242"/>
      <c r="H496" s="265"/>
      <c r="I496" s="242"/>
      <c r="J496" s="242"/>
      <c r="K496" s="248"/>
      <c r="L496" s="248"/>
      <c r="M496" s="248"/>
      <c r="N496" s="242"/>
    </row>
    <row r="497" spans="2:14" ht="18" customHeight="1" x14ac:dyDescent="0.15">
      <c r="B497" s="248"/>
      <c r="C497" s="248"/>
      <c r="D497" s="242"/>
      <c r="E497" s="242"/>
      <c r="F497" s="242"/>
      <c r="G497" s="242"/>
      <c r="H497" s="265"/>
      <c r="I497" s="242"/>
      <c r="J497" s="242"/>
      <c r="K497" s="248"/>
      <c r="L497" s="248"/>
      <c r="M497" s="248"/>
      <c r="N497" s="242"/>
    </row>
    <row r="498" spans="2:14" ht="18" customHeight="1" x14ac:dyDescent="0.15">
      <c r="B498" s="248"/>
      <c r="C498" s="248"/>
      <c r="D498" s="242"/>
      <c r="E498" s="242"/>
      <c r="F498" s="242"/>
      <c r="G498" s="242"/>
      <c r="H498" s="265"/>
      <c r="I498" s="242"/>
      <c r="J498" s="242"/>
      <c r="K498" s="248"/>
      <c r="L498" s="248"/>
      <c r="M498" s="248"/>
      <c r="N498" s="242"/>
    </row>
    <row r="499" spans="2:14" ht="18" customHeight="1" x14ac:dyDescent="0.15">
      <c r="B499" s="248"/>
      <c r="C499" s="248"/>
      <c r="D499" s="242"/>
      <c r="E499" s="242"/>
      <c r="F499" s="242"/>
      <c r="G499" s="242"/>
      <c r="H499" s="265"/>
      <c r="I499" s="242"/>
      <c r="J499" s="242"/>
      <c r="K499" s="248"/>
      <c r="L499" s="248"/>
      <c r="M499" s="248"/>
      <c r="N499" s="242"/>
    </row>
    <row r="500" spans="2:14" ht="18" customHeight="1" x14ac:dyDescent="0.15">
      <c r="B500" s="248"/>
      <c r="C500" s="248"/>
      <c r="D500" s="242"/>
      <c r="E500" s="242"/>
      <c r="F500" s="242"/>
      <c r="G500" s="242"/>
      <c r="H500" s="265"/>
      <c r="I500" s="242"/>
      <c r="J500" s="242"/>
      <c r="K500" s="248"/>
      <c r="L500" s="248"/>
      <c r="M500" s="248"/>
      <c r="N500" s="242"/>
    </row>
    <row r="501" spans="2:14" ht="18" customHeight="1" x14ac:dyDescent="0.15">
      <c r="B501" s="248"/>
      <c r="C501" s="248"/>
      <c r="D501" s="242"/>
      <c r="E501" s="242"/>
      <c r="F501" s="242"/>
      <c r="G501" s="242"/>
      <c r="H501" s="265"/>
      <c r="I501" s="242"/>
      <c r="J501" s="242"/>
      <c r="K501" s="248"/>
      <c r="L501" s="248"/>
      <c r="M501" s="248"/>
      <c r="N501" s="242"/>
    </row>
    <row r="502" spans="2:14" ht="18" customHeight="1" x14ac:dyDescent="0.15">
      <c r="B502" s="248"/>
      <c r="C502" s="248"/>
      <c r="D502" s="242"/>
      <c r="E502" s="242"/>
      <c r="F502" s="242"/>
      <c r="G502" s="242"/>
      <c r="H502" s="265"/>
      <c r="I502" s="242"/>
      <c r="J502" s="242"/>
      <c r="K502" s="248"/>
      <c r="L502" s="248"/>
      <c r="M502" s="248"/>
      <c r="N502" s="242"/>
    </row>
    <row r="503" spans="2:14" ht="18" customHeight="1" x14ac:dyDescent="0.15">
      <c r="B503" s="248"/>
      <c r="C503" s="248"/>
      <c r="D503" s="242"/>
      <c r="E503" s="242"/>
      <c r="F503" s="242"/>
      <c r="G503" s="242"/>
      <c r="H503" s="265"/>
      <c r="I503" s="242"/>
      <c r="J503" s="242"/>
      <c r="K503" s="248"/>
      <c r="L503" s="248"/>
      <c r="M503" s="248"/>
      <c r="N503" s="242"/>
    </row>
    <row r="504" spans="2:14" ht="18" customHeight="1" x14ac:dyDescent="0.15">
      <c r="B504" s="248"/>
      <c r="C504" s="248"/>
      <c r="D504" s="242"/>
      <c r="E504" s="242"/>
      <c r="F504" s="242"/>
      <c r="G504" s="242"/>
      <c r="H504" s="265"/>
      <c r="I504" s="242"/>
      <c r="J504" s="242"/>
      <c r="K504" s="248"/>
      <c r="L504" s="248"/>
      <c r="M504" s="248"/>
      <c r="N504" s="242"/>
    </row>
    <row r="505" spans="2:14" ht="18" customHeight="1" x14ac:dyDescent="0.15">
      <c r="B505" s="248"/>
      <c r="C505" s="248"/>
      <c r="D505" s="242"/>
      <c r="E505" s="242"/>
      <c r="F505" s="242"/>
      <c r="G505" s="242"/>
      <c r="H505" s="265"/>
      <c r="I505" s="242"/>
      <c r="J505" s="242"/>
      <c r="K505" s="248"/>
      <c r="L505" s="248"/>
      <c r="M505" s="248"/>
      <c r="N505" s="242"/>
    </row>
    <row r="506" spans="2:14" ht="18" customHeight="1" x14ac:dyDescent="0.15">
      <c r="B506" s="248"/>
      <c r="C506" s="248"/>
      <c r="D506" s="242"/>
      <c r="E506" s="242"/>
      <c r="F506" s="242"/>
      <c r="G506" s="242"/>
      <c r="H506" s="265"/>
      <c r="I506" s="242"/>
      <c r="J506" s="242"/>
      <c r="K506" s="248"/>
      <c r="L506" s="248"/>
      <c r="M506" s="248"/>
      <c r="N506" s="242"/>
    </row>
    <row r="507" spans="2:14" ht="18" customHeight="1" x14ac:dyDescent="0.15">
      <c r="B507" s="248"/>
      <c r="C507" s="248"/>
      <c r="D507" s="242"/>
      <c r="E507" s="242"/>
      <c r="F507" s="242"/>
      <c r="G507" s="242"/>
      <c r="H507" s="265"/>
      <c r="I507" s="242"/>
      <c r="J507" s="242"/>
      <c r="K507" s="248"/>
      <c r="L507" s="248"/>
      <c r="M507" s="248"/>
      <c r="N507" s="242"/>
    </row>
    <row r="508" spans="2:14" ht="18" customHeight="1" x14ac:dyDescent="0.15">
      <c r="B508" s="248"/>
      <c r="C508" s="248"/>
      <c r="D508" s="242"/>
      <c r="E508" s="242"/>
      <c r="F508" s="242"/>
      <c r="G508" s="242"/>
      <c r="H508" s="265"/>
      <c r="I508" s="242"/>
      <c r="J508" s="242"/>
      <c r="K508" s="248"/>
      <c r="L508" s="248"/>
      <c r="M508" s="248"/>
      <c r="N508" s="242"/>
    </row>
    <row r="509" spans="2:14" ht="18" customHeight="1" x14ac:dyDescent="0.15">
      <c r="B509" s="248"/>
      <c r="C509" s="248"/>
      <c r="D509" s="242"/>
      <c r="E509" s="242"/>
      <c r="F509" s="242"/>
      <c r="G509" s="242"/>
      <c r="H509" s="265"/>
      <c r="I509" s="242"/>
      <c r="J509" s="242"/>
      <c r="K509" s="248"/>
      <c r="L509" s="248"/>
      <c r="M509" s="248"/>
      <c r="N509" s="242"/>
    </row>
    <row r="510" spans="2:14" ht="18" customHeight="1" x14ac:dyDescent="0.15">
      <c r="B510" s="248"/>
      <c r="C510" s="248"/>
      <c r="D510" s="242"/>
      <c r="E510" s="242"/>
      <c r="F510" s="242"/>
      <c r="G510" s="242"/>
      <c r="H510" s="265"/>
      <c r="I510" s="242"/>
      <c r="J510" s="242"/>
      <c r="K510" s="248"/>
      <c r="L510" s="248"/>
      <c r="M510" s="248"/>
      <c r="N510" s="242"/>
    </row>
    <row r="511" spans="2:14" ht="18" customHeight="1" x14ac:dyDescent="0.15">
      <c r="B511" s="248"/>
      <c r="C511" s="248"/>
      <c r="D511" s="242"/>
      <c r="E511" s="242"/>
      <c r="F511" s="242"/>
      <c r="G511" s="242"/>
      <c r="H511" s="265"/>
      <c r="I511" s="242"/>
      <c r="J511" s="242"/>
      <c r="K511" s="248"/>
      <c r="L511" s="248"/>
      <c r="M511" s="248"/>
      <c r="N511" s="242"/>
    </row>
    <row r="512" spans="2:14" ht="18" customHeight="1" x14ac:dyDescent="0.15">
      <c r="B512" s="248"/>
      <c r="C512" s="248"/>
      <c r="D512" s="242"/>
      <c r="E512" s="242"/>
      <c r="F512" s="242"/>
      <c r="G512" s="242"/>
      <c r="H512" s="265"/>
      <c r="I512" s="242"/>
      <c r="J512" s="242"/>
      <c r="K512" s="248"/>
      <c r="L512" s="248"/>
      <c r="M512" s="248"/>
      <c r="N512" s="242"/>
    </row>
    <row r="513" spans="2:14" ht="18" customHeight="1" x14ac:dyDescent="0.15">
      <c r="B513" s="248"/>
      <c r="C513" s="248"/>
      <c r="D513" s="242"/>
      <c r="E513" s="242"/>
      <c r="F513" s="242"/>
      <c r="G513" s="242"/>
      <c r="H513" s="265"/>
      <c r="I513" s="242"/>
      <c r="J513" s="242"/>
      <c r="K513" s="248"/>
      <c r="L513" s="248"/>
      <c r="M513" s="248"/>
      <c r="N513" s="242"/>
    </row>
    <row r="514" spans="2:14" ht="18" customHeight="1" x14ac:dyDescent="0.15">
      <c r="B514" s="248"/>
      <c r="C514" s="248"/>
      <c r="D514" s="242"/>
      <c r="E514" s="242"/>
      <c r="F514" s="242"/>
      <c r="G514" s="242"/>
      <c r="H514" s="265"/>
      <c r="I514" s="242"/>
      <c r="J514" s="242"/>
      <c r="K514" s="248"/>
      <c r="L514" s="248"/>
      <c r="M514" s="248"/>
      <c r="N514" s="242"/>
    </row>
    <row r="515" spans="2:14" ht="18" customHeight="1" x14ac:dyDescent="0.15">
      <c r="B515" s="248"/>
      <c r="C515" s="248"/>
      <c r="D515" s="242"/>
      <c r="E515" s="242"/>
      <c r="F515" s="242"/>
      <c r="G515" s="242"/>
      <c r="H515" s="265"/>
      <c r="I515" s="242"/>
      <c r="J515" s="242"/>
      <c r="K515" s="248"/>
      <c r="L515" s="248"/>
      <c r="M515" s="248"/>
      <c r="N515" s="242"/>
    </row>
    <row r="516" spans="2:14" ht="18" customHeight="1" x14ac:dyDescent="0.15">
      <c r="B516" s="248"/>
      <c r="C516" s="248"/>
      <c r="D516" s="242"/>
      <c r="E516" s="242"/>
      <c r="F516" s="242"/>
      <c r="G516" s="242"/>
      <c r="H516" s="265"/>
      <c r="I516" s="242"/>
      <c r="J516" s="242"/>
      <c r="K516" s="248"/>
      <c r="L516" s="248"/>
      <c r="M516" s="248"/>
      <c r="N516" s="242"/>
    </row>
    <row r="517" spans="2:14" ht="18" customHeight="1" x14ac:dyDescent="0.15">
      <c r="B517" s="248"/>
      <c r="C517" s="248"/>
      <c r="D517" s="242"/>
      <c r="E517" s="242"/>
      <c r="F517" s="242"/>
      <c r="G517" s="242"/>
      <c r="H517" s="265"/>
      <c r="I517" s="242"/>
      <c r="J517" s="242"/>
      <c r="K517" s="248"/>
      <c r="L517" s="248"/>
      <c r="M517" s="248"/>
      <c r="N517" s="242"/>
    </row>
    <row r="518" spans="2:14" ht="18" customHeight="1" x14ac:dyDescent="0.15">
      <c r="B518" s="248"/>
      <c r="C518" s="248"/>
      <c r="D518" s="242"/>
      <c r="E518" s="242"/>
      <c r="F518" s="242"/>
      <c r="G518" s="242"/>
      <c r="H518" s="265"/>
      <c r="I518" s="242"/>
      <c r="J518" s="242"/>
      <c r="K518" s="248"/>
      <c r="L518" s="248"/>
      <c r="M518" s="248"/>
      <c r="N518" s="242"/>
    </row>
    <row r="519" spans="2:14" ht="18" customHeight="1" x14ac:dyDescent="0.15">
      <c r="B519" s="248"/>
      <c r="C519" s="248"/>
      <c r="D519" s="242"/>
      <c r="E519" s="242"/>
      <c r="F519" s="242"/>
      <c r="G519" s="242"/>
      <c r="H519" s="265"/>
      <c r="I519" s="242"/>
      <c r="J519" s="242"/>
      <c r="K519" s="248"/>
      <c r="L519" s="248"/>
      <c r="M519" s="248"/>
      <c r="N519" s="242"/>
    </row>
  </sheetData>
  <sheetProtection algorithmName="SHA-512" hashValue="SXLMg/Kkj9bSSatBwC0HLXxVnNpnkMN17aka33Hwgd8yusrb95bzs9XHJ4PncJOYYKuA+PdU5tWRKfELOJDZtA==" saltValue="QWmfgRNAeKdspbuMFaaW0w==" spinCount="100000" sheet="1" scenarios="1" formatCells="0" formatColumns="0" formatRows="0" insertColumns="0" insertRows="0" deleteColumns="0" deleteRows="0" sort="0" autoFilter="0" pivotTables="0"/>
  <protectedRanges>
    <protectedRange sqref="B1:XFD2 B14:F26 Q3:XFD26 B3:G13 H3:O26 G14:G25 B27:XFD1048576" name="Range1"/>
    <protectedRange sqref="P14:P26 G26" name="Range1_1"/>
  </protectedRanges>
  <conditionalFormatting sqref="C29:C46 C27">
    <cfRule type="expression" dxfId="326" priority="794">
      <formula>MATCH($C$27,$C$29:$C$46,0)</formula>
    </cfRule>
  </conditionalFormatting>
  <dataValidations count="8">
    <dataValidation type="list" allowBlank="1" showInputMessage="1" showErrorMessage="1" sqref="E27 E29:E46" xr:uid="{691D3E39-A59A-401F-8C2A-B74E0B3196AE}">
      <formula1>"THU, CHI"</formula1>
    </dataValidation>
    <dataValidation type="list" allowBlank="1" showInputMessage="1" showErrorMessage="1" sqref="I27" xr:uid="{6E7C4119-01D1-43BA-BA6E-97060F64699A}">
      <formula1>MaTaiKhoan</formula1>
    </dataValidation>
    <dataValidation type="list" allowBlank="1" showInputMessage="1" showErrorMessage="1" sqref="F27 F29:F46" xr:uid="{DB1C6876-A521-45FF-B4DB-B2F543075A2C}">
      <formula1>NoiDungGDKD</formula1>
    </dataValidation>
    <dataValidation type="list" allowBlank="1" showInputMessage="1" showErrorMessage="1" sqref="G27" xr:uid="{38343B69-0B62-4A12-BBE7-49A13D51735F}">
      <formula1>$G$14:$G$26</formula1>
    </dataValidation>
    <dataValidation type="list" allowBlank="1" showInputMessage="1" showErrorMessage="1" sqref="H27" xr:uid="{2C960755-2CFD-4955-840A-8C82941778B5}">
      <formula1>_xlfn.ANCHORARRAY($P$27)</formula1>
    </dataValidation>
    <dataValidation type="list" allowBlank="1" showInputMessage="1" showErrorMessage="1" sqref="G29:G46" xr:uid="{A2138740-E561-4820-B757-C7E9B4FE127F}">
      <formula1>$G$14:$G$25</formula1>
    </dataValidation>
    <dataValidation type="list" errorStyle="warning" allowBlank="1" showInputMessage="1" sqref="H29:H46" xr:uid="{0C427107-9B71-4A30-BD23-D08FDBBAB6D1}">
      <formula1>_xlfn.ANCHORARRAY($P$27)</formula1>
    </dataValidation>
    <dataValidation type="list" errorStyle="warning" allowBlank="1" showInputMessage="1" sqref="I29:I46" xr:uid="{7BEB1D2D-B353-41A2-84CA-8F9C9EE6535D}">
      <formula1>MaTaiKhoan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3" r:id="rId4" name="Button 5">
              <controlPr defaultSize="0" print="0" autoFill="0" autoPict="0" macro="[0]!CopyToTable">
                <anchor moveWithCells="1">
                  <from>
                    <xdr:col>13</xdr:col>
                    <xdr:colOff>714375</xdr:colOff>
                    <xdr:row>12</xdr:row>
                    <xdr:rowOff>200025</xdr:rowOff>
                  </from>
                  <to>
                    <xdr:col>14</xdr:col>
                    <xdr:colOff>19050</xdr:colOff>
                    <xdr:row>27</xdr:row>
                    <xdr:rowOff>0</xdr:rowOff>
                  </to>
                </anchor>
              </controlPr>
            </control>
          </mc:Choice>
        </mc:AlternateContent>
        <mc:AlternateContent xmlns:mc="http://schemas.openxmlformats.org/markup-compatibility/2006">
          <mc:Choice Requires="x14">
            <control shapeId="73735" r:id="rId5" name="Option Button 7">
              <controlPr defaultSize="0" autoFill="0" autoLine="0" autoPict="0" macro="[0]!DoiDonViHienThi">
                <anchor moveWithCells="1">
                  <from>
                    <xdr:col>3</xdr:col>
                    <xdr:colOff>361950</xdr:colOff>
                    <xdr:row>0</xdr:row>
                    <xdr:rowOff>152400</xdr:rowOff>
                  </from>
                  <to>
                    <xdr:col>4</xdr:col>
                    <xdr:colOff>276225</xdr:colOff>
                    <xdr:row>1</xdr:row>
                    <xdr:rowOff>57150</xdr:rowOff>
                  </to>
                </anchor>
              </controlPr>
            </control>
          </mc:Choice>
        </mc:AlternateContent>
        <mc:AlternateContent xmlns:mc="http://schemas.openxmlformats.org/markup-compatibility/2006">
          <mc:Choice Requires="x14">
            <control shapeId="73736" r:id="rId6" name="Option Button 8">
              <controlPr defaultSize="0" autoFill="0" autoLine="0" autoPict="0" macro="[0]!DoiDonViHienThi">
                <anchor moveWithCells="1">
                  <from>
                    <xdr:col>4</xdr:col>
                    <xdr:colOff>152400</xdr:colOff>
                    <xdr:row>0</xdr:row>
                    <xdr:rowOff>152400</xdr:rowOff>
                  </from>
                  <to>
                    <xdr:col>5</xdr:col>
                    <xdr:colOff>123825</xdr:colOff>
                    <xdr:row>1</xdr:row>
                    <xdr:rowOff>57150</xdr:rowOff>
                  </to>
                </anchor>
              </controlPr>
            </control>
          </mc:Choice>
        </mc:AlternateContent>
        <mc:AlternateContent xmlns:mc="http://schemas.openxmlformats.org/markup-compatibility/2006">
          <mc:Choice Requires="x14">
            <control shapeId="73737" r:id="rId7" name="Option Button 9">
              <controlPr defaultSize="0" autoFill="0" autoLine="0" autoPict="0" macro="[0]!DoiDonViHienThi">
                <anchor moveWithCells="1">
                  <from>
                    <xdr:col>5</xdr:col>
                    <xdr:colOff>0</xdr:colOff>
                    <xdr:row>0</xdr:row>
                    <xdr:rowOff>152400</xdr:rowOff>
                  </from>
                  <to>
                    <xdr:col>5</xdr:col>
                    <xdr:colOff>590550</xdr:colOff>
                    <xdr:row>1</xdr:row>
                    <xdr:rowOff>57150</xdr:rowOff>
                  </to>
                </anchor>
              </controlPr>
            </control>
          </mc:Choice>
        </mc:AlternateContent>
        <mc:AlternateContent xmlns:mc="http://schemas.openxmlformats.org/markup-compatibility/2006">
          <mc:Choice Requires="x14">
            <control shapeId="73738" r:id="rId8" name="Option Button 10">
              <controlPr defaultSize="0" autoFill="0" autoLine="0" autoPict="0" macro="[0]!DoiDonViHienThi">
                <anchor moveWithCells="1">
                  <from>
                    <xdr:col>5</xdr:col>
                    <xdr:colOff>476250</xdr:colOff>
                    <xdr:row>0</xdr:row>
                    <xdr:rowOff>152400</xdr:rowOff>
                  </from>
                  <to>
                    <xdr:col>5</xdr:col>
                    <xdr:colOff>828675</xdr:colOff>
                    <xdr:row>1</xdr:row>
                    <xdr:rowOff>57150</xdr:rowOff>
                  </to>
                </anchor>
              </controlPr>
            </control>
          </mc:Choice>
        </mc:AlternateContent>
        <mc:AlternateContent xmlns:mc="http://schemas.openxmlformats.org/markup-compatibility/2006">
          <mc:Choice Requires="x14">
            <control shapeId="73739" r:id="rId9" name="Group Box 11">
              <controlPr defaultSize="0" autoFill="0" autoPict="0">
                <anchor moveWithCells="1">
                  <from>
                    <xdr:col>3</xdr:col>
                    <xdr:colOff>247650</xdr:colOff>
                    <xdr:row>0</xdr:row>
                    <xdr:rowOff>104775</xdr:rowOff>
                  </from>
                  <to>
                    <xdr:col>5</xdr:col>
                    <xdr:colOff>942975</xdr:colOff>
                    <xdr:row>1</xdr:row>
                    <xdr:rowOff>95250</xdr:rowOff>
                  </to>
                </anchor>
              </controlPr>
            </control>
          </mc:Choice>
        </mc:AlternateContent>
        <mc:AlternateContent xmlns:mc="http://schemas.openxmlformats.org/markup-compatibility/2006">
          <mc:Choice Requires="x14">
            <control shapeId="73740" r:id="rId10" name="Group Box 12">
              <controlPr defaultSize="0" autoFill="0" autoPict="0">
                <anchor moveWithCells="1">
                  <from>
                    <xdr:col>1</xdr:col>
                    <xdr:colOff>114300</xdr:colOff>
                    <xdr:row>0</xdr:row>
                    <xdr:rowOff>104775</xdr:rowOff>
                  </from>
                  <to>
                    <xdr:col>3</xdr:col>
                    <xdr:colOff>200025</xdr:colOff>
                    <xdr:row>1</xdr:row>
                    <xdr:rowOff>95250</xdr:rowOff>
                  </to>
                </anchor>
              </controlPr>
            </control>
          </mc:Choice>
        </mc:AlternateContent>
        <mc:AlternateContent xmlns:mc="http://schemas.openxmlformats.org/markup-compatibility/2006">
          <mc:Choice Requires="x14">
            <control shapeId="73741" r:id="rId11" name="Button 13">
              <controlPr defaultSize="0" autoFill="0" autoPict="0" macro="[0]!NhanNghin">
                <anchor moveWithCells="1">
                  <from>
                    <xdr:col>1</xdr:col>
                    <xdr:colOff>200025</xdr:colOff>
                    <xdr:row>0</xdr:row>
                    <xdr:rowOff>200025</xdr:rowOff>
                  </from>
                  <to>
                    <xdr:col>2</xdr:col>
                    <xdr:colOff>257175</xdr:colOff>
                    <xdr:row>1</xdr:row>
                    <xdr:rowOff>0</xdr:rowOff>
                  </to>
                </anchor>
              </controlPr>
            </control>
          </mc:Choice>
        </mc:AlternateContent>
        <mc:AlternateContent xmlns:mc="http://schemas.openxmlformats.org/markup-compatibility/2006">
          <mc:Choice Requires="x14">
            <control shapeId="73742" r:id="rId12" name="Button 14">
              <controlPr defaultSize="0" autoFill="0" autoPict="0" macro="[0]!NhanTrieu">
                <anchor moveWithCells="1">
                  <from>
                    <xdr:col>2</xdr:col>
                    <xdr:colOff>304800</xdr:colOff>
                    <xdr:row>0</xdr:row>
                    <xdr:rowOff>200025</xdr:rowOff>
                  </from>
                  <to>
                    <xdr:col>2</xdr:col>
                    <xdr:colOff>771525</xdr:colOff>
                    <xdr:row>1</xdr:row>
                    <xdr:rowOff>0</xdr:rowOff>
                  </to>
                </anchor>
              </controlPr>
            </control>
          </mc:Choice>
        </mc:AlternateContent>
        <mc:AlternateContent xmlns:mc="http://schemas.openxmlformats.org/markup-compatibility/2006">
          <mc:Choice Requires="x14">
            <control shapeId="73743" r:id="rId13" name="Button 15">
              <controlPr defaultSize="0" autoFill="0" autoPict="0" macro="[0]!NhanTy">
                <anchor moveWithCells="1">
                  <from>
                    <xdr:col>2</xdr:col>
                    <xdr:colOff>819150</xdr:colOff>
                    <xdr:row>0</xdr:row>
                    <xdr:rowOff>200025</xdr:rowOff>
                  </from>
                  <to>
                    <xdr:col>3</xdr:col>
                    <xdr:colOff>123825</xdr:colOff>
                    <xdr:row>1</xdr:row>
                    <xdr:rowOff>0</xdr:rowOff>
                  </to>
                </anchor>
              </controlPr>
            </control>
          </mc:Choice>
        </mc:AlternateContent>
        <mc:AlternateContent xmlns:mc="http://schemas.openxmlformats.org/markup-compatibility/2006">
          <mc:Choice Requires="x14">
            <control shapeId="73744" r:id="rId14" name="Button 16">
              <controlPr defaultSize="0" print="0" autoFill="0" autoPict="0" macro="[0]!AddRow">
                <anchor moveWithCells="1">
                  <from>
                    <xdr:col>5</xdr:col>
                    <xdr:colOff>1228725</xdr:colOff>
                    <xdr:row>0</xdr:row>
                    <xdr:rowOff>152400</xdr:rowOff>
                  </from>
                  <to>
                    <xdr:col>5</xdr:col>
                    <xdr:colOff>1704975</xdr:colOff>
                    <xdr:row>1</xdr:row>
                    <xdr:rowOff>38100</xdr:rowOff>
                  </to>
                </anchor>
              </controlPr>
            </control>
          </mc:Choice>
        </mc:AlternateContent>
        <mc:AlternateContent xmlns:mc="http://schemas.openxmlformats.org/markup-compatibility/2006">
          <mc:Choice Requires="x14">
            <control shapeId="73745" r:id="rId15" name="Button 17">
              <controlPr defaultSize="0" print="0" autoFill="0" autoPict="0" macro="[0]!DeleteRow">
                <anchor moveWithCells="1">
                  <from>
                    <xdr:col>5</xdr:col>
                    <xdr:colOff>1743075</xdr:colOff>
                    <xdr:row>0</xdr:row>
                    <xdr:rowOff>152400</xdr:rowOff>
                  </from>
                  <to>
                    <xdr:col>5</xdr:col>
                    <xdr:colOff>2219325</xdr:colOff>
                    <xdr:row>1</xdr:row>
                    <xdr:rowOff>38100</xdr:rowOff>
                  </to>
                </anchor>
              </controlPr>
            </control>
          </mc:Choice>
        </mc:AlternateContent>
        <mc:AlternateContent xmlns:mc="http://schemas.openxmlformats.org/markup-compatibility/2006">
          <mc:Choice Requires="x14">
            <control shapeId="73746" r:id="rId16" name="Button 18">
              <controlPr defaultSize="0" print="0" autoFill="0" autoPict="0" macro="[0]!AddColumn">
                <anchor moveWithCells="1">
                  <from>
                    <xdr:col>13</xdr:col>
                    <xdr:colOff>47625</xdr:colOff>
                    <xdr:row>0</xdr:row>
                    <xdr:rowOff>133350</xdr:rowOff>
                  </from>
                  <to>
                    <xdr:col>13</xdr:col>
                    <xdr:colOff>561975</xdr:colOff>
                    <xdr:row>1</xdr:row>
                    <xdr:rowOff>19050</xdr:rowOff>
                  </to>
                </anchor>
              </controlPr>
            </control>
          </mc:Choice>
        </mc:AlternateContent>
        <mc:AlternateContent xmlns:mc="http://schemas.openxmlformats.org/markup-compatibility/2006">
          <mc:Choice Requires="x14">
            <control shapeId="73747" r:id="rId17" name="Button 19">
              <controlPr defaultSize="0" print="0" autoFill="0" autoPict="0" macro="[0]!DeleteColumn">
                <anchor moveWithCells="1">
                  <from>
                    <xdr:col>13</xdr:col>
                    <xdr:colOff>600075</xdr:colOff>
                    <xdr:row>0</xdr:row>
                    <xdr:rowOff>133350</xdr:rowOff>
                  </from>
                  <to>
                    <xdr:col>13</xdr:col>
                    <xdr:colOff>1143000</xdr:colOff>
                    <xdr:row>1</xdr:row>
                    <xdr:rowOff>19050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274746E1-CE1B-4F0C-A1EA-6AC48E774CDD}">
            <xm:f>Security!$A$1="NO VBA"</xm:f>
            <x14:dxf>
              <font>
                <color theme="0"/>
              </font>
              <border>
                <vertical/>
                <horizontal/>
              </border>
            </x14:dxf>
          </x14:cfRule>
          <xm:sqref>A1:XFD26 A28:M28 A27:C27 E27:XFD27 B47:N1048576 A29:A1048576 O28:XFD1048576 B46:C46 B44:D45 E44:N46 D29:D46 B29:N43</xm:sqref>
        </x14:conditionalFormatting>
        <x14:conditionalFormatting xmlns:xm="http://schemas.microsoft.com/office/excel/2006/main">
          <x14:cfRule type="expression" priority="5" id="{9DAC5F7E-5B7C-4429-91C7-9140CCF634E9}">
            <xm:f>Security!$A$1="NO VBA"</xm:f>
            <x14:dxf>
              <font>
                <color theme="0"/>
              </font>
              <border>
                <vertical/>
                <horizontal/>
              </border>
            </x14:dxf>
          </x14:cfRule>
          <xm:sqref>N28</xm:sqref>
        </x14:conditionalFormatting>
        <x14:conditionalFormatting xmlns:xm="http://schemas.microsoft.com/office/excel/2006/main">
          <x14:cfRule type="expression" priority="2" id="{23BEFBDB-8263-44BB-B558-EE99651F3DF0}">
            <xm:f>Security!$A$1="NO VBA"</xm:f>
            <x14:dxf>
              <font>
                <color theme="0"/>
              </font>
              <border>
                <vertical/>
                <horizontal/>
              </border>
            </x14:dxf>
          </x14:cfRule>
          <xm:sqref>D27</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14201-90C4-4DA6-87E3-BAA69FE75149}">
  <sheetPr codeName="Sheet30">
    <tabColor theme="7"/>
    <outlinePr summaryBelow="0"/>
  </sheetPr>
  <dimension ref="B1:X17"/>
  <sheetViews>
    <sheetView showGridLines="0" workbookViewId="0">
      <selection activeCell="C27" sqref="C27"/>
    </sheetView>
  </sheetViews>
  <sheetFormatPr defaultRowHeight="18" customHeight="1" outlineLevelRow="1" outlineLevelCol="1" x14ac:dyDescent="0.15"/>
  <cols>
    <col min="1" max="1" width="9.625" style="7" customWidth="1"/>
    <col min="2" max="2" width="5.375" style="28" bestFit="1" customWidth="1"/>
    <col min="3" max="3" width="15.875" style="28" bestFit="1" customWidth="1"/>
    <col min="4" max="4" width="8.875" style="7" bestFit="1" customWidth="1"/>
    <col min="5" max="5" width="8.125" style="7" bestFit="1" customWidth="1"/>
    <col min="6" max="6" width="28.25" style="7" bestFit="1" customWidth="1"/>
    <col min="7" max="7" width="13.25" style="7" customWidth="1"/>
    <col min="8" max="8" width="7.625" style="44" bestFit="1" customWidth="1"/>
    <col min="9" max="9" width="7.125" style="7" bestFit="1" customWidth="1"/>
    <col min="10" max="10" width="15.75" style="7" customWidth="1"/>
    <col min="11" max="11" width="12.375" style="7" customWidth="1" outlineLevel="1"/>
    <col min="12" max="12" width="6.75" style="7" bestFit="1" customWidth="1"/>
    <col min="13" max="16384" width="9" style="7"/>
  </cols>
  <sheetData>
    <row r="1" spans="2:24" s="46" customFormat="1" ht="27" customHeight="1" x14ac:dyDescent="0.3">
      <c r="B1" s="301">
        <v>0</v>
      </c>
      <c r="C1" s="301">
        <f t="shared" ref="C1:K1" si="0">+B1+1</f>
        <v>1</v>
      </c>
      <c r="D1" s="301">
        <f t="shared" si="0"/>
        <v>2</v>
      </c>
      <c r="E1" s="301">
        <f t="shared" si="0"/>
        <v>3</v>
      </c>
      <c r="F1" s="301">
        <f t="shared" si="0"/>
        <v>4</v>
      </c>
      <c r="G1" s="301">
        <f t="shared" si="0"/>
        <v>5</v>
      </c>
      <c r="H1" s="301">
        <f t="shared" si="0"/>
        <v>6</v>
      </c>
      <c r="I1" s="301">
        <f t="shared" si="0"/>
        <v>7</v>
      </c>
      <c r="J1" s="301">
        <f t="shared" si="0"/>
        <v>8</v>
      </c>
      <c r="K1" s="301">
        <f t="shared" si="0"/>
        <v>9</v>
      </c>
      <c r="L1" s="301"/>
      <c r="M1" s="301"/>
      <c r="N1" s="301"/>
      <c r="O1" s="301"/>
      <c r="P1" s="301"/>
      <c r="Q1" s="301"/>
    </row>
    <row r="2" spans="2:24" s="21" customFormat="1" ht="18" customHeight="1" collapsed="1" x14ac:dyDescent="0.3">
      <c r="B2" s="248"/>
      <c r="C2" s="248"/>
      <c r="D2" s="249"/>
      <c r="E2" s="249"/>
      <c r="F2" s="249"/>
      <c r="G2" s="249"/>
      <c r="H2" s="249"/>
      <c r="I2" s="249"/>
      <c r="J2" s="249"/>
      <c r="K2" s="249"/>
      <c r="L2" s="249"/>
      <c r="M2" s="249"/>
      <c r="N2" s="249"/>
      <c r="O2" s="249"/>
      <c r="P2" s="249"/>
      <c r="Q2" s="249"/>
    </row>
    <row r="3" spans="2:24" s="21" customFormat="1" ht="18" hidden="1" customHeight="1" outlineLevel="1" collapsed="1" x14ac:dyDescent="0.3">
      <c r="B3" s="248"/>
      <c r="C3" s="248"/>
      <c r="D3" s="249"/>
      <c r="E3" s="7" t="s">
        <v>643</v>
      </c>
      <c r="F3" s="7" t="s">
        <v>785</v>
      </c>
      <c r="G3" s="242"/>
      <c r="H3" s="249"/>
      <c r="I3" s="249"/>
      <c r="J3" s="249"/>
      <c r="K3" s="249"/>
      <c r="L3" s="249"/>
      <c r="M3" s="249"/>
      <c r="N3" s="249"/>
      <c r="O3" s="249"/>
      <c r="P3" s="249"/>
      <c r="Q3" s="249"/>
    </row>
    <row r="4" spans="2:24" s="21" customFormat="1" ht="18" hidden="1" customHeight="1" outlineLevel="1" x14ac:dyDescent="0.3">
      <c r="B4" s="248"/>
      <c r="C4" s="248"/>
      <c r="D4" s="249"/>
      <c r="E4" s="242">
        <f t="shared" ref="E4:E12" si="1">IFERROR(E3+1,1)</f>
        <v>1</v>
      </c>
      <c r="F4" s="7" t="s">
        <v>421</v>
      </c>
      <c r="G4" s="242"/>
      <c r="H4" s="249"/>
      <c r="I4" s="249"/>
      <c r="J4" s="249"/>
      <c r="K4" s="249"/>
      <c r="L4" s="249"/>
      <c r="M4" s="249"/>
      <c r="N4" s="249"/>
      <c r="O4" s="249"/>
      <c r="P4" s="249"/>
      <c r="Q4" s="249"/>
    </row>
    <row r="5" spans="2:24" s="21" customFormat="1" ht="18" hidden="1" customHeight="1" outlineLevel="1" x14ac:dyDescent="0.3">
      <c r="B5" s="248"/>
      <c r="C5" s="248"/>
      <c r="D5" s="249"/>
      <c r="E5" s="242">
        <f t="shared" si="1"/>
        <v>2</v>
      </c>
      <c r="F5" s="7" t="s">
        <v>422</v>
      </c>
      <c r="G5" s="242"/>
      <c r="H5" s="249"/>
      <c r="I5" s="249"/>
      <c r="J5" s="249"/>
      <c r="K5" s="249"/>
      <c r="L5" s="249"/>
      <c r="M5" s="249"/>
      <c r="N5" s="249"/>
      <c r="O5" s="249"/>
      <c r="P5" s="249"/>
      <c r="Q5" s="249"/>
    </row>
    <row r="6" spans="2:24" s="21" customFormat="1" ht="18" hidden="1" customHeight="1" outlineLevel="1" x14ac:dyDescent="0.3">
      <c r="B6" s="248"/>
      <c r="C6" s="248"/>
      <c r="D6" s="249"/>
      <c r="E6" s="242">
        <f t="shared" si="1"/>
        <v>3</v>
      </c>
      <c r="F6" s="7" t="s">
        <v>423</v>
      </c>
      <c r="G6" s="242"/>
      <c r="H6" s="249"/>
      <c r="I6" s="249"/>
      <c r="J6" s="249"/>
      <c r="K6" s="249"/>
      <c r="L6" s="249"/>
      <c r="M6" s="249"/>
      <c r="N6" s="249"/>
      <c r="O6" s="249"/>
      <c r="P6" s="249"/>
      <c r="Q6" s="249"/>
    </row>
    <row r="7" spans="2:24" s="21" customFormat="1" ht="18" hidden="1" customHeight="1" outlineLevel="1" x14ac:dyDescent="0.3">
      <c r="B7" s="248"/>
      <c r="C7" s="248"/>
      <c r="D7" s="249"/>
      <c r="E7" s="242">
        <f t="shared" si="1"/>
        <v>4</v>
      </c>
      <c r="F7" s="7" t="s">
        <v>425</v>
      </c>
      <c r="G7" s="242"/>
      <c r="H7" s="249"/>
      <c r="I7" s="249"/>
      <c r="J7" s="249"/>
      <c r="K7" s="249"/>
      <c r="L7" s="249"/>
      <c r="M7" s="249"/>
      <c r="N7" s="249"/>
      <c r="O7" s="249"/>
      <c r="P7" s="249"/>
      <c r="Q7" s="249"/>
    </row>
    <row r="8" spans="2:24" s="21" customFormat="1" ht="18" hidden="1" customHeight="1" outlineLevel="1" x14ac:dyDescent="0.3">
      <c r="B8" s="248"/>
      <c r="C8" s="248"/>
      <c r="D8" s="249"/>
      <c r="E8" s="242">
        <f t="shared" si="1"/>
        <v>5</v>
      </c>
      <c r="F8" s="7" t="s">
        <v>428</v>
      </c>
      <c r="G8" s="242"/>
      <c r="H8" s="249"/>
      <c r="I8" s="249"/>
      <c r="J8" s="249"/>
      <c r="K8" s="249"/>
      <c r="L8" s="249"/>
      <c r="M8" s="249"/>
      <c r="N8" s="249"/>
      <c r="O8" s="249"/>
      <c r="P8" s="249"/>
      <c r="Q8" s="249"/>
    </row>
    <row r="9" spans="2:24" s="21" customFormat="1" ht="18" hidden="1" customHeight="1" outlineLevel="1" x14ac:dyDescent="0.3">
      <c r="B9" s="248"/>
      <c r="C9" s="248"/>
      <c r="D9" s="249"/>
      <c r="E9" s="242">
        <f t="shared" si="1"/>
        <v>6</v>
      </c>
      <c r="F9" s="7" t="s">
        <v>430</v>
      </c>
      <c r="G9" s="242"/>
      <c r="H9" s="249"/>
      <c r="I9" s="249"/>
      <c r="J9" s="249"/>
      <c r="K9" s="249"/>
      <c r="L9" s="249"/>
      <c r="M9" s="249"/>
      <c r="N9" s="249"/>
      <c r="O9" s="249"/>
      <c r="P9" s="249"/>
      <c r="Q9" s="249"/>
    </row>
    <row r="10" spans="2:24" s="21" customFormat="1" ht="18" hidden="1" customHeight="1" outlineLevel="1" x14ac:dyDescent="0.3">
      <c r="B10" s="248"/>
      <c r="C10" s="248"/>
      <c r="D10" s="249"/>
      <c r="E10" s="242">
        <f t="shared" si="1"/>
        <v>7</v>
      </c>
      <c r="F10" s="7" t="s">
        <v>432</v>
      </c>
      <c r="G10" s="242"/>
      <c r="H10" s="249"/>
      <c r="I10" s="249"/>
      <c r="J10" s="249"/>
      <c r="K10" s="249"/>
      <c r="L10" s="249"/>
      <c r="M10" s="249"/>
      <c r="N10" s="249"/>
      <c r="O10" s="249"/>
      <c r="P10" s="249"/>
      <c r="Q10" s="249"/>
    </row>
    <row r="11" spans="2:24" s="21" customFormat="1" ht="18" hidden="1" customHeight="1" outlineLevel="1" x14ac:dyDescent="0.3">
      <c r="B11" s="248"/>
      <c r="C11" s="248"/>
      <c r="D11" s="249"/>
      <c r="E11" s="242">
        <f t="shared" si="1"/>
        <v>8</v>
      </c>
      <c r="F11" s="7" t="s">
        <v>434</v>
      </c>
      <c r="G11" s="242"/>
      <c r="H11" s="249"/>
      <c r="I11" s="249"/>
      <c r="J11" s="249"/>
      <c r="K11" s="249"/>
      <c r="L11" s="249"/>
      <c r="M11" s="249"/>
      <c r="N11" s="249"/>
      <c r="O11" s="249"/>
      <c r="P11" s="249"/>
      <c r="Q11" s="249"/>
    </row>
    <row r="12" spans="2:24" s="21" customFormat="1" ht="18" hidden="1" customHeight="1" outlineLevel="1" x14ac:dyDescent="0.3">
      <c r="B12" s="248"/>
      <c r="C12" s="248"/>
      <c r="D12" s="249"/>
      <c r="E12" s="242">
        <f t="shared" si="1"/>
        <v>9</v>
      </c>
      <c r="F12" s="7" t="s">
        <v>418</v>
      </c>
      <c r="G12" s="242"/>
      <c r="H12" s="249"/>
      <c r="I12" s="249"/>
      <c r="J12" s="249"/>
      <c r="K12" s="249"/>
      <c r="L12" s="249"/>
      <c r="M12" s="249"/>
      <c r="N12" s="249"/>
      <c r="O12" s="249"/>
      <c r="P12" s="249"/>
      <c r="Q12" s="249"/>
    </row>
    <row r="13" spans="2:24" s="21" customFormat="1" ht="18" hidden="1" customHeight="1" outlineLevel="1" x14ac:dyDescent="0.3">
      <c r="B13" s="248"/>
      <c r="C13" s="248"/>
      <c r="D13" s="249"/>
      <c r="E13" s="7" t="s">
        <v>281</v>
      </c>
      <c r="F13" s="242"/>
      <c r="G13" s="242"/>
      <c r="H13" s="249"/>
      <c r="I13" s="249"/>
      <c r="J13" s="249"/>
      <c r="K13" s="249"/>
      <c r="L13" s="249"/>
      <c r="M13" s="249"/>
      <c r="N13" s="249"/>
      <c r="O13" s="249"/>
      <c r="P13" s="249"/>
      <c r="Q13" s="249"/>
    </row>
    <row r="14" spans="2:24" s="21" customFormat="1" ht="18" customHeight="1" x14ac:dyDescent="0.3">
      <c r="B14" s="248"/>
      <c r="C14" s="248"/>
      <c r="D14" s="249"/>
      <c r="E14" s="242"/>
      <c r="F14" s="242"/>
      <c r="G14" s="242"/>
      <c r="H14" s="249"/>
      <c r="I14" s="249"/>
      <c r="J14" s="249"/>
      <c r="K14" s="249"/>
      <c r="L14" s="249"/>
      <c r="M14" s="249"/>
      <c r="N14" s="249"/>
      <c r="O14" s="249"/>
      <c r="P14" s="249"/>
      <c r="Q14" s="249"/>
    </row>
    <row r="15" spans="2:24" s="21" customFormat="1" ht="18" customHeight="1" x14ac:dyDescent="0.3">
      <c r="B15" s="250">
        <v>1</v>
      </c>
      <c r="C15" s="51" t="str">
        <f>CONCATENATE(E15,"-",H15,"-",MOD(YEAR(D15),100)*10000+MONTH(D15)*100+DAY(D15),"-",B15)</f>
        <v>--100-1</v>
      </c>
      <c r="D15" s="396"/>
      <c r="E15" s="251"/>
      <c r="F15" s="251"/>
      <c r="G15" s="251"/>
      <c r="H15" s="245"/>
      <c r="I15" s="251"/>
      <c r="J15" s="394"/>
      <c r="K15" s="268">
        <f>IFERROR(
VLOOKUP(H15,Table_VayNo[],COUNTA(Table_VayNo[[#Headers],[Mã khoản vay]:[Kết thúc trả gốc]]),0),
IFERROR(
VLOOKUP(H15,Table_DauTu[],COUNTA(Table_DauTu[[#Headers],[Mã khoản đầu tư]:[Kỳ đáo hạn]]),0),
0))</f>
        <v>0</v>
      </c>
      <c r="L15" s="247"/>
      <c r="M15" s="249" cm="1">
        <f t="array" aca="1" ref="M15:X15" ca="1" xml:space="preserve">
IF(ISBLANK(G15),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IF(G15="Khách hàng",TRANSPOSE(_xlfn._xlws.SORT(Table_KhachHang[Mã KH])),
IF(G15="NSNN", TRANSPOSE(_xlfn._xlws.SORT(Table_NopNS_NganSach[Loại thuế])),
TRANSPOSE(_xlfn._xlws.SORT(_xlfn._xlws.FILTER(Table_NhaCungCap[Mã Đối tác],Table_NhaCungCap[Loại đối tác]=G15,""
))))))</f>
        <v>0</v>
      </c>
      <c r="N15" s="249">
        <f ca="1"/>
        <v>0</v>
      </c>
      <c r="O15" s="249" t="str">
        <f ca="1"/>
        <v>TS1</v>
      </c>
      <c r="P15" s="249" t="str">
        <f ca="1"/>
        <v>TS2</v>
      </c>
      <c r="Q15" s="249" t="str">
        <f ca="1"/>
        <v>TS3</v>
      </c>
      <c r="R15" s="21" t="str">
        <f ca="1"/>
        <v>TS4</v>
      </c>
      <c r="S15" s="21" t="str">
        <f ca="1"/>
        <v>TS5</v>
      </c>
      <c r="T15" s="21" t="str">
        <f ca="1"/>
        <v>TS6</v>
      </c>
      <c r="U15" s="21" t="str">
        <f ca="1"/>
        <v>VAY1</v>
      </c>
      <c r="V15" s="21" t="str">
        <f ca="1"/>
        <v>VAY2</v>
      </c>
      <c r="W15" s="21" t="str">
        <f ca="1"/>
        <v>VAY3</v>
      </c>
      <c r="X15" s="21" t="str">
        <f ca="1"/>
        <v>VAY4</v>
      </c>
    </row>
    <row r="16" spans="2:24" ht="18" customHeight="1" x14ac:dyDescent="0.3">
      <c r="B16" s="7" t="s">
        <v>643</v>
      </c>
      <c r="C16" s="7" t="s">
        <v>777</v>
      </c>
      <c r="D16" s="7" t="s">
        <v>778</v>
      </c>
      <c r="E16" s="7" t="s">
        <v>779</v>
      </c>
      <c r="F16" s="7" t="s">
        <v>775</v>
      </c>
      <c r="G16" s="46" t="s">
        <v>561</v>
      </c>
      <c r="H16" s="7" t="s">
        <v>556</v>
      </c>
      <c r="I16" s="7" t="s">
        <v>780</v>
      </c>
      <c r="J16" s="7" t="s">
        <v>781</v>
      </c>
      <c r="K16" s="7" t="s">
        <v>786</v>
      </c>
      <c r="L16" s="7" t="s">
        <v>883</v>
      </c>
      <c r="M16" s="242"/>
      <c r="N16" s="242"/>
      <c r="O16" s="242"/>
      <c r="P16" s="242"/>
      <c r="Q16" s="242"/>
    </row>
    <row r="17" spans="2:17" ht="18" customHeight="1" x14ac:dyDescent="0.3">
      <c r="B17" s="250">
        <v>1</v>
      </c>
      <c r="C17" s="51" t="str">
        <f>CONCATENATE(E17,"-",H17,"-",MOD(YEAR(D17),100)*10000+MONTH(D17)*100+DAY(D17),"-",B17)</f>
        <v>--100-1</v>
      </c>
      <c r="D17" s="395"/>
      <c r="E17" s="251"/>
      <c r="F17" s="251"/>
      <c r="G17" s="251"/>
      <c r="H17" s="245"/>
      <c r="I17" s="251"/>
      <c r="J17" s="393"/>
      <c r="K17" s="269">
        <f>IFERROR(
VLOOKUP(Table_ThuChiTC[[#This Row],[Đối tác]],Table_VayNo[],COUNTA(Table_VayNo[[#Headers],[Mã khoản vay]:[Kết thúc trả gốc]]),0),
IFERROR(
VLOOKUP(Table_ThuChiTC[[#This Row],[Đối tác]],Table_DauTu[],COUNTA(Table_DauTu[[#Headers],[Mã khoản đầu tư]:[Kỳ đáo hạn]]),0),
0))</f>
        <v>0</v>
      </c>
      <c r="L17" s="247"/>
      <c r="M17" s="242"/>
      <c r="N17" s="242"/>
      <c r="O17" s="242"/>
      <c r="P17" s="242"/>
      <c r="Q17" s="242"/>
    </row>
  </sheetData>
  <sheetProtection algorithmName="SHA-512" hashValue="gs3NgoD9XQ6oBmd2Bza2QoqTMY6McUK6EtCNHsIGWmQB50lRPL6XdTKMK7yDA9htMhSQr83A3HFcKMJ0f0SF9A==" saltValue="ZxXVzgmQ3onnPcLHnASguQ==" spinCount="100000" sheet="1" scenarios="1" formatCells="0" formatColumns="0" formatRows="0" insertColumns="0" insertRows="0" deleteColumns="0" deleteRows="0" sort="0" autoFilter="0" pivotTables="0"/>
  <protectedRanges>
    <protectedRange sqref="F4:G11 E4:E12 E3:G3 E13:G15 E16:F16 B3:D16 A1:XFD2 B17:F17 H3:XFD17 B18:E1048576 G18:XFD1048576 F18:F27 F29:F1048576" name="Range1"/>
    <protectedRange sqref="G16:G17" name="Range1_1"/>
  </protectedRanges>
  <phoneticPr fontId="14" type="noConversion"/>
  <conditionalFormatting sqref="C15 C17">
    <cfRule type="expression" dxfId="303" priority="304">
      <formula>MATCH($C$15,$C$17:$C$17,0)</formula>
    </cfRule>
  </conditionalFormatting>
  <dataValidations count="6">
    <dataValidation type="list" allowBlank="1" showInputMessage="1" showErrorMessage="1" sqref="F15 F17" xr:uid="{7BD14260-CE8A-431D-AA13-AD390F78D5B5}">
      <formula1>NoiDungGDTC</formula1>
    </dataValidation>
    <dataValidation type="list" allowBlank="1" showInputMessage="1" showErrorMessage="1" sqref="I15" xr:uid="{77763F36-75D3-4CEF-A9C0-23C00DB57646}">
      <formula1>MaTaiKhoan</formula1>
    </dataValidation>
    <dataValidation type="list" allowBlank="1" showInputMessage="1" showErrorMessage="1" sqref="E15 E17" xr:uid="{59E0E294-86FB-40FE-9F58-31EBFD02AB2C}">
      <formula1>"THU, CHI"</formula1>
    </dataValidation>
    <dataValidation type="list" errorStyle="warning" allowBlank="1" showInputMessage="1" showErrorMessage="1" sqref="H15" xr:uid="{0B38104B-588A-410D-B1C2-685C88F12DA2}">
      <formula1>_xlfn.ANCHORARRAY($M$15)</formula1>
    </dataValidation>
    <dataValidation type="list" errorStyle="warning" allowBlank="1" showInputMessage="1" sqref="I17" xr:uid="{140E447E-3498-4837-87CE-7AE010FF3D57}">
      <formula1>MaTaiKhoan</formula1>
    </dataValidation>
    <dataValidation type="list" errorStyle="warning" allowBlank="1" showInputMessage="1" sqref="H17" xr:uid="{682C8A14-4A8B-464E-B608-311EC84A47AC}">
      <formula1>_xlfn.ANCHORARRAY($M$15)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9" r:id="rId4" name="Option Button 7">
              <controlPr defaultSize="0" autoFill="0" autoLine="0" autoPict="0" macro="[0]!DoiDonViHienThi">
                <anchor moveWithCells="1">
                  <from>
                    <xdr:col>3</xdr:col>
                    <xdr:colOff>257175</xdr:colOff>
                    <xdr:row>0</xdr:row>
                    <xdr:rowOff>152400</xdr:rowOff>
                  </from>
                  <to>
                    <xdr:col>4</xdr:col>
                    <xdr:colOff>171450</xdr:colOff>
                    <xdr:row>1</xdr:row>
                    <xdr:rowOff>85725</xdr:rowOff>
                  </to>
                </anchor>
              </controlPr>
            </control>
          </mc:Choice>
        </mc:AlternateContent>
        <mc:AlternateContent xmlns:mc="http://schemas.openxmlformats.org/markup-compatibility/2006">
          <mc:Choice Requires="x14">
            <control shapeId="74760" r:id="rId5" name="Option Button 8">
              <controlPr defaultSize="0" autoFill="0" autoLine="0" autoPict="0" macro="[0]!DoiDonViHienThi">
                <anchor moveWithCells="1">
                  <from>
                    <xdr:col>4</xdr:col>
                    <xdr:colOff>47625</xdr:colOff>
                    <xdr:row>0</xdr:row>
                    <xdr:rowOff>152400</xdr:rowOff>
                  </from>
                  <to>
                    <xdr:col>5</xdr:col>
                    <xdr:colOff>19050</xdr:colOff>
                    <xdr:row>1</xdr:row>
                    <xdr:rowOff>85725</xdr:rowOff>
                  </to>
                </anchor>
              </controlPr>
            </control>
          </mc:Choice>
        </mc:AlternateContent>
        <mc:AlternateContent xmlns:mc="http://schemas.openxmlformats.org/markup-compatibility/2006">
          <mc:Choice Requires="x14">
            <control shapeId="74761" r:id="rId6" name="Option Button 9">
              <controlPr defaultSize="0" autoFill="0" autoLine="0" autoPict="0" macro="[0]!DoiDonViHienThi">
                <anchor moveWithCells="1">
                  <from>
                    <xdr:col>4</xdr:col>
                    <xdr:colOff>514350</xdr:colOff>
                    <xdr:row>0</xdr:row>
                    <xdr:rowOff>152400</xdr:rowOff>
                  </from>
                  <to>
                    <xdr:col>5</xdr:col>
                    <xdr:colOff>485775</xdr:colOff>
                    <xdr:row>1</xdr:row>
                    <xdr:rowOff>85725</xdr:rowOff>
                  </to>
                </anchor>
              </controlPr>
            </control>
          </mc:Choice>
        </mc:AlternateContent>
        <mc:AlternateContent xmlns:mc="http://schemas.openxmlformats.org/markup-compatibility/2006">
          <mc:Choice Requires="x14">
            <control shapeId="74762" r:id="rId7" name="Option Button 10">
              <controlPr defaultSize="0" autoFill="0" autoLine="0" autoPict="0" macro="[0]!DoiDonViHienThi">
                <anchor moveWithCells="1">
                  <from>
                    <xdr:col>5</xdr:col>
                    <xdr:colOff>371475</xdr:colOff>
                    <xdr:row>0</xdr:row>
                    <xdr:rowOff>152400</xdr:rowOff>
                  </from>
                  <to>
                    <xdr:col>5</xdr:col>
                    <xdr:colOff>723900</xdr:colOff>
                    <xdr:row>1</xdr:row>
                    <xdr:rowOff>85725</xdr:rowOff>
                  </to>
                </anchor>
              </controlPr>
            </control>
          </mc:Choice>
        </mc:AlternateContent>
        <mc:AlternateContent xmlns:mc="http://schemas.openxmlformats.org/markup-compatibility/2006">
          <mc:Choice Requires="x14">
            <control shapeId="74763" r:id="rId8" name="Group Box 11">
              <controlPr defaultSize="0" autoFill="0" autoPict="0">
                <anchor moveWithCells="1">
                  <from>
                    <xdr:col>3</xdr:col>
                    <xdr:colOff>142875</xdr:colOff>
                    <xdr:row>0</xdr:row>
                    <xdr:rowOff>104775</xdr:rowOff>
                  </from>
                  <to>
                    <xdr:col>5</xdr:col>
                    <xdr:colOff>838200</xdr:colOff>
                    <xdr:row>1</xdr:row>
                    <xdr:rowOff>123825</xdr:rowOff>
                  </to>
                </anchor>
              </controlPr>
            </control>
          </mc:Choice>
        </mc:AlternateContent>
        <mc:AlternateContent xmlns:mc="http://schemas.openxmlformats.org/markup-compatibility/2006">
          <mc:Choice Requires="x14">
            <control shapeId="74764" r:id="rId9" name="Group Box 12">
              <controlPr defaultSize="0" autoFill="0" autoPict="0">
                <anchor moveWithCells="1">
                  <from>
                    <xdr:col>1</xdr:col>
                    <xdr:colOff>57150</xdr:colOff>
                    <xdr:row>0</xdr:row>
                    <xdr:rowOff>104775</xdr:rowOff>
                  </from>
                  <to>
                    <xdr:col>3</xdr:col>
                    <xdr:colOff>95250</xdr:colOff>
                    <xdr:row>1</xdr:row>
                    <xdr:rowOff>123825</xdr:rowOff>
                  </to>
                </anchor>
              </controlPr>
            </control>
          </mc:Choice>
        </mc:AlternateContent>
        <mc:AlternateContent xmlns:mc="http://schemas.openxmlformats.org/markup-compatibility/2006">
          <mc:Choice Requires="x14">
            <control shapeId="74765" r:id="rId10" name="Button 13">
              <controlPr defaultSize="0" autoFill="0" autoPict="0" macro="[0]!NhanNghin">
                <anchor moveWithCells="1">
                  <from>
                    <xdr:col>1</xdr:col>
                    <xdr:colOff>142875</xdr:colOff>
                    <xdr:row>0</xdr:row>
                    <xdr:rowOff>200025</xdr:rowOff>
                  </from>
                  <to>
                    <xdr:col>2</xdr:col>
                    <xdr:colOff>200025</xdr:colOff>
                    <xdr:row>1</xdr:row>
                    <xdr:rowOff>28575</xdr:rowOff>
                  </to>
                </anchor>
              </controlPr>
            </control>
          </mc:Choice>
        </mc:AlternateContent>
        <mc:AlternateContent xmlns:mc="http://schemas.openxmlformats.org/markup-compatibility/2006">
          <mc:Choice Requires="x14">
            <control shapeId="74766" r:id="rId11" name="Button 14">
              <controlPr defaultSize="0" autoFill="0" autoPict="0" macro="[0]!NhanTrieu">
                <anchor moveWithCells="1">
                  <from>
                    <xdr:col>2</xdr:col>
                    <xdr:colOff>247650</xdr:colOff>
                    <xdr:row>0</xdr:row>
                    <xdr:rowOff>200025</xdr:rowOff>
                  </from>
                  <to>
                    <xdr:col>2</xdr:col>
                    <xdr:colOff>714375</xdr:colOff>
                    <xdr:row>1</xdr:row>
                    <xdr:rowOff>28575</xdr:rowOff>
                  </to>
                </anchor>
              </controlPr>
            </control>
          </mc:Choice>
        </mc:AlternateContent>
        <mc:AlternateContent xmlns:mc="http://schemas.openxmlformats.org/markup-compatibility/2006">
          <mc:Choice Requires="x14">
            <control shapeId="74767" r:id="rId12" name="Button 15">
              <controlPr defaultSize="0" autoFill="0" autoPict="0" macro="[0]!NhanTy">
                <anchor moveWithCells="1">
                  <from>
                    <xdr:col>2</xdr:col>
                    <xdr:colOff>762000</xdr:colOff>
                    <xdr:row>0</xdr:row>
                    <xdr:rowOff>200025</xdr:rowOff>
                  </from>
                  <to>
                    <xdr:col>3</xdr:col>
                    <xdr:colOff>19050</xdr:colOff>
                    <xdr:row>1</xdr:row>
                    <xdr:rowOff>28575</xdr:rowOff>
                  </to>
                </anchor>
              </controlPr>
            </control>
          </mc:Choice>
        </mc:AlternateContent>
        <mc:AlternateContent xmlns:mc="http://schemas.openxmlformats.org/markup-compatibility/2006">
          <mc:Choice Requires="x14">
            <control shapeId="74758" r:id="rId13" name="Button 6">
              <controlPr defaultSize="0" print="0" autoFill="0" autoPict="0" macro="[0]!CopyToTable">
                <anchor moveWithCells="1">
                  <from>
                    <xdr:col>11</xdr:col>
                    <xdr:colOff>66675</xdr:colOff>
                    <xdr:row>13</xdr:row>
                    <xdr:rowOff>200025</xdr:rowOff>
                  </from>
                  <to>
                    <xdr:col>12</xdr:col>
                    <xdr:colOff>95250</xdr:colOff>
                    <xdr:row>15</xdr:row>
                    <xdr:rowOff>0</xdr:rowOff>
                  </to>
                </anchor>
              </controlPr>
            </control>
          </mc:Choice>
        </mc:AlternateContent>
        <mc:AlternateContent xmlns:mc="http://schemas.openxmlformats.org/markup-compatibility/2006">
          <mc:Choice Requires="x14">
            <control shapeId="74768" r:id="rId14" name="Button 16">
              <controlPr defaultSize="0" print="0" autoFill="0" autoPict="0" macro="[0]!AddRow">
                <anchor moveWithCells="1">
                  <from>
                    <xdr:col>6</xdr:col>
                    <xdr:colOff>0</xdr:colOff>
                    <xdr:row>0</xdr:row>
                    <xdr:rowOff>0</xdr:rowOff>
                  </from>
                  <to>
                    <xdr:col>6</xdr:col>
                    <xdr:colOff>476250</xdr:colOff>
                    <xdr:row>0</xdr:row>
                    <xdr:rowOff>257175</xdr:rowOff>
                  </to>
                </anchor>
              </controlPr>
            </control>
          </mc:Choice>
        </mc:AlternateContent>
        <mc:AlternateContent xmlns:mc="http://schemas.openxmlformats.org/markup-compatibility/2006">
          <mc:Choice Requires="x14">
            <control shapeId="74769" r:id="rId15" name="Button 17">
              <controlPr defaultSize="0" print="0" autoFill="0" autoPict="0" macro="[0]!DeleteRow">
                <anchor moveWithCells="1">
                  <from>
                    <xdr:col>6</xdr:col>
                    <xdr:colOff>514350</xdr:colOff>
                    <xdr:row>0</xdr:row>
                    <xdr:rowOff>0</xdr:rowOff>
                  </from>
                  <to>
                    <xdr:col>6</xdr:col>
                    <xdr:colOff>990600</xdr:colOff>
                    <xdr:row>0</xdr:row>
                    <xdr:rowOff>257175</xdr:rowOff>
                  </to>
                </anchor>
              </controlPr>
            </control>
          </mc:Choice>
        </mc:AlternateContent>
        <mc:AlternateContent xmlns:mc="http://schemas.openxmlformats.org/markup-compatibility/2006">
          <mc:Choice Requires="x14">
            <control shapeId="74770" r:id="rId16" name="Button 18">
              <controlPr defaultSize="0" print="0" autoFill="0" autoPict="0" macro="[0]!AddColumn">
                <anchor moveWithCells="1">
                  <from>
                    <xdr:col>9</xdr:col>
                    <xdr:colOff>19050</xdr:colOff>
                    <xdr:row>0</xdr:row>
                    <xdr:rowOff>28575</xdr:rowOff>
                  </from>
                  <to>
                    <xdr:col>9</xdr:col>
                    <xdr:colOff>533400</xdr:colOff>
                    <xdr:row>0</xdr:row>
                    <xdr:rowOff>285750</xdr:rowOff>
                  </to>
                </anchor>
              </controlPr>
            </control>
          </mc:Choice>
        </mc:AlternateContent>
        <mc:AlternateContent xmlns:mc="http://schemas.openxmlformats.org/markup-compatibility/2006">
          <mc:Choice Requires="x14">
            <control shapeId="74771" r:id="rId17" name="Button 19">
              <controlPr defaultSize="0" print="0" autoFill="0" autoPict="0" macro="[0]!DeleteColumn">
                <anchor moveWithCells="1">
                  <from>
                    <xdr:col>9</xdr:col>
                    <xdr:colOff>571500</xdr:colOff>
                    <xdr:row>0</xdr:row>
                    <xdr:rowOff>28575</xdr:rowOff>
                  </from>
                  <to>
                    <xdr:col>9</xdr:col>
                    <xdr:colOff>1114425</xdr:colOff>
                    <xdr:row>0</xdr:row>
                    <xdr:rowOff>285750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167EB747-C0A8-43C0-AAC2-4EFF69272A44}">
            <xm:f>Security!$A$1="NO VBA"</xm:f>
            <x14:dxf>
              <font>
                <color theme="0"/>
              </font>
              <border>
                <vertical/>
                <horizontal/>
              </border>
            </x14:dxf>
          </x14:cfRule>
          <xm:sqref>A16:K16 M16:XFD16 A1:XFD15 A29:XFD1048576 A28:E28 G28:XFD28 A17:XFD27</xm:sqref>
        </x14:conditionalFormatting>
        <x14:conditionalFormatting xmlns:xm="http://schemas.microsoft.com/office/excel/2006/main">
          <x14:cfRule type="expression" priority="1" id="{EB40E1FF-1568-4E16-91AB-D1CEC9860920}">
            <xm:f>Security!$A$1="NO VBA"</xm:f>
            <x14:dxf>
              <font>
                <color theme="0"/>
              </font>
              <border>
                <vertical/>
                <horizontal/>
              </border>
            </x14:dxf>
          </x14:cfRule>
          <xm:sqref>L16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xr:uid="{2474270C-8C64-4953-9513-8BAA15CCDA6A}">
          <x14:formula1>
            <xm:f>Sheet_ThuChiKD!$G$14:$G$26</xm:f>
          </x14:formula1>
          <xm:sqref>G15</xm:sqref>
        </x14:dataValidation>
        <x14:dataValidation type="list" allowBlank="1" showInputMessage="1" showErrorMessage="1" xr:uid="{ABA54245-7BFB-4600-97D2-16E28DF204AE}">
          <x14:formula1>
            <xm:f>Sheet_ThuChiKD!$G$14:$G$26</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68C90-52DE-46D2-9009-508ABA00B5BE}">
  <sheetPr codeName="Sheet33">
    <tabColor theme="4"/>
  </sheetPr>
  <dimension ref="A3:I20"/>
  <sheetViews>
    <sheetView showGridLines="0" workbookViewId="0">
      <selection activeCell="B6" sqref="B6"/>
    </sheetView>
  </sheetViews>
  <sheetFormatPr defaultRowHeight="18" customHeight="1" x14ac:dyDescent="0.3"/>
  <cols>
    <col min="1" max="1" width="13.75" style="7" customWidth="1"/>
    <col min="2" max="2" width="9" style="38"/>
    <col min="3" max="3" width="12" style="7" bestFit="1" customWidth="1"/>
    <col min="4" max="4" width="12.375" style="7" bestFit="1" customWidth="1"/>
    <col min="5" max="5" width="13.125" style="7" bestFit="1" customWidth="1"/>
    <col min="6" max="6" width="13.125" style="7" customWidth="1"/>
    <col min="7" max="7" width="11.875" style="7" bestFit="1" customWidth="1"/>
    <col min="8" max="8" width="6.75" style="7" bestFit="1" customWidth="1"/>
    <col min="9" max="9" width="9.875" style="7" bestFit="1" customWidth="1"/>
    <col min="10" max="16384" width="9" style="7"/>
  </cols>
  <sheetData>
    <row r="3" spans="1:9" s="46" customFormat="1" ht="18" customHeight="1" x14ac:dyDescent="0.3">
      <c r="A3" s="301">
        <v>0</v>
      </c>
      <c r="B3" s="301">
        <f>+A3+1</f>
        <v>1</v>
      </c>
      <c r="C3" s="301">
        <f>+B3+1</f>
        <v>2</v>
      </c>
      <c r="D3" s="301">
        <f>+C3+1</f>
        <v>3</v>
      </c>
      <c r="E3" s="301">
        <f>+D3+1</f>
        <v>4</v>
      </c>
      <c r="F3" s="301">
        <v>5</v>
      </c>
      <c r="G3" s="301"/>
      <c r="H3" s="301"/>
      <c r="I3" s="301"/>
    </row>
    <row r="4" spans="1:9" ht="18" customHeight="1" x14ac:dyDescent="0.3">
      <c r="A4" s="242"/>
      <c r="B4" s="7" t="s">
        <v>802</v>
      </c>
      <c r="C4" s="7" t="s">
        <v>803</v>
      </c>
      <c r="D4" s="7" t="s">
        <v>804</v>
      </c>
      <c r="E4" s="7" t="s">
        <v>805</v>
      </c>
      <c r="F4" s="7" t="s">
        <v>893</v>
      </c>
      <c r="G4" s="7" t="s">
        <v>883</v>
      </c>
      <c r="H4" s="242"/>
      <c r="I4" s="242"/>
    </row>
    <row r="5" spans="1:9" ht="18" customHeight="1" x14ac:dyDescent="0.3">
      <c r="A5" s="242"/>
      <c r="B5" s="242" t="s">
        <v>1236</v>
      </c>
      <c r="C5" s="242"/>
      <c r="D5" s="242"/>
      <c r="E5" s="45"/>
      <c r="F5" s="15"/>
      <c r="G5" s="242"/>
      <c r="H5" s="242"/>
      <c r="I5" s="242"/>
    </row>
    <row r="6" spans="1:9" ht="18" customHeight="1" x14ac:dyDescent="0.3">
      <c r="A6" s="242"/>
      <c r="B6" s="243"/>
      <c r="C6" s="242"/>
      <c r="D6" s="242"/>
      <c r="E6" s="242"/>
      <c r="F6" s="242"/>
      <c r="G6" s="242"/>
      <c r="H6" s="242"/>
      <c r="I6" s="242"/>
    </row>
    <row r="7" spans="1:9" ht="18" customHeight="1" x14ac:dyDescent="0.3">
      <c r="A7" s="242"/>
      <c r="B7" s="243"/>
      <c r="C7" s="242"/>
      <c r="D7" s="242"/>
      <c r="E7" s="242"/>
      <c r="F7" s="242"/>
      <c r="G7" s="242"/>
      <c r="H7" s="242"/>
      <c r="I7" s="242"/>
    </row>
    <row r="8" spans="1:9" ht="18" customHeight="1" x14ac:dyDescent="0.3">
      <c r="A8" s="242"/>
      <c r="B8" s="243"/>
      <c r="C8" s="242"/>
      <c r="D8" s="242"/>
      <c r="E8" s="242"/>
      <c r="F8" s="242"/>
      <c r="G8" s="242"/>
      <c r="H8" s="242"/>
      <c r="I8" s="242"/>
    </row>
    <row r="9" spans="1:9" ht="18" customHeight="1" x14ac:dyDescent="0.3">
      <c r="A9" s="242"/>
      <c r="B9" s="243"/>
      <c r="C9" s="242"/>
      <c r="D9" s="242"/>
      <c r="E9" s="242"/>
      <c r="F9" s="242"/>
      <c r="G9" s="242"/>
      <c r="H9" s="242"/>
      <c r="I9" s="242"/>
    </row>
    <row r="10" spans="1:9" ht="18" customHeight="1" x14ac:dyDescent="0.3">
      <c r="A10" s="242"/>
      <c r="B10" s="243"/>
      <c r="C10" s="242"/>
      <c r="D10" s="242"/>
      <c r="E10" s="242"/>
      <c r="F10" s="242"/>
      <c r="G10" s="242"/>
      <c r="H10" s="242"/>
      <c r="I10" s="242"/>
    </row>
    <row r="11" spans="1:9" ht="18" customHeight="1" x14ac:dyDescent="0.3">
      <c r="A11" s="242"/>
      <c r="B11" s="243"/>
      <c r="C11" s="242"/>
      <c r="D11" s="242"/>
      <c r="E11" s="242"/>
      <c r="F11" s="242"/>
      <c r="G11" s="242"/>
      <c r="H11" s="242"/>
      <c r="I11" s="242"/>
    </row>
    <row r="12" spans="1:9" ht="18" customHeight="1" x14ac:dyDescent="0.3">
      <c r="A12" s="242"/>
      <c r="B12" s="243"/>
      <c r="C12" s="242"/>
      <c r="D12" s="242"/>
      <c r="E12" s="242"/>
      <c r="F12" s="242"/>
      <c r="G12" s="242"/>
      <c r="H12" s="242"/>
      <c r="I12" s="242"/>
    </row>
    <row r="13" spans="1:9" ht="18" customHeight="1" x14ac:dyDescent="0.3">
      <c r="A13" s="242"/>
      <c r="B13" s="243"/>
      <c r="C13" s="242"/>
      <c r="D13" s="242"/>
      <c r="E13" s="242"/>
      <c r="F13" s="242"/>
      <c r="G13" s="242"/>
      <c r="H13" s="242"/>
      <c r="I13" s="242"/>
    </row>
    <row r="14" spans="1:9" ht="18" customHeight="1" x14ac:dyDescent="0.3">
      <c r="A14" s="242"/>
      <c r="B14" s="243"/>
      <c r="C14" s="242"/>
      <c r="D14" s="242"/>
      <c r="E14" s="242"/>
      <c r="F14" s="242"/>
      <c r="G14" s="242"/>
      <c r="H14" s="242"/>
      <c r="I14" s="242"/>
    </row>
    <row r="15" spans="1:9" ht="18" customHeight="1" x14ac:dyDescent="0.3">
      <c r="A15" s="242"/>
      <c r="B15" s="243"/>
      <c r="C15" s="242"/>
      <c r="D15" s="242"/>
      <c r="E15" s="242"/>
      <c r="F15" s="242"/>
      <c r="G15" s="242"/>
      <c r="H15" s="242"/>
      <c r="I15" s="242"/>
    </row>
    <row r="16" spans="1:9" ht="18" customHeight="1" x14ac:dyDescent="0.3">
      <c r="B16" s="243"/>
      <c r="C16" s="242"/>
      <c r="D16" s="242"/>
      <c r="E16" s="242"/>
      <c r="F16" s="242"/>
      <c r="G16" s="242"/>
    </row>
    <row r="17" spans="2:7" ht="18" customHeight="1" x14ac:dyDescent="0.3">
      <c r="B17" s="243"/>
      <c r="C17" s="242"/>
      <c r="D17" s="242"/>
      <c r="E17" s="242"/>
      <c r="F17" s="242"/>
      <c r="G17" s="242"/>
    </row>
    <row r="18" spans="2:7" ht="18" customHeight="1" x14ac:dyDescent="0.3">
      <c r="B18" s="243"/>
      <c r="C18" s="242"/>
      <c r="D18" s="242"/>
      <c r="E18" s="242"/>
      <c r="F18" s="242"/>
      <c r="G18" s="242"/>
    </row>
    <row r="19" spans="2:7" ht="18" customHeight="1" x14ac:dyDescent="0.3">
      <c r="B19" s="243"/>
      <c r="C19" s="242"/>
      <c r="D19" s="242"/>
      <c r="E19" s="242"/>
      <c r="F19" s="242"/>
      <c r="G19" s="242"/>
    </row>
    <row r="20" spans="2:7" ht="18" customHeight="1" x14ac:dyDescent="0.3">
      <c r="B20" s="243"/>
      <c r="C20" s="242"/>
      <c r="D20" s="242"/>
      <c r="E20" s="242"/>
      <c r="F20" s="242"/>
      <c r="G20" s="242"/>
    </row>
  </sheetData>
  <sheetProtection algorithmName="SHA-512" hashValue="zqhVOlyzxUr/jFKYyVSNN2VoIrpMAQw9kHAvp/3V0f1/o3emtB3AttddM2BwZU7VflEJ8ieRwFjgeqDaiXUv9g==" saltValue="460w5VQKt6Ihp0eTLo3NTQ==" spinCount="100000" sheet="1" scenarios="1" formatCells="0" formatColumns="0" formatRows="0" insertColumns="0" insertRows="0" deleteColumns="0" deleteRows="0" sort="0" autoFilter="0" pivotTables="0"/>
  <protectedRanges>
    <protectedRange sqref="C4:F4 B3:XFD3 B4:B5 C5:G1048576 H4:XFD1048576 A3:A1048576"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835" r:id="rId3" name="Option Button 11">
              <controlPr defaultSize="0" autoFill="0" autoLine="0" autoPict="0" macro="[0]!DoiDonViHienThi">
                <anchor moveWithCells="1">
                  <from>
                    <xdr:col>3</xdr:col>
                    <xdr:colOff>276225</xdr:colOff>
                    <xdr:row>0</xdr:row>
                    <xdr:rowOff>152400</xdr:rowOff>
                  </from>
                  <to>
                    <xdr:col>3</xdr:col>
                    <xdr:colOff>866775</xdr:colOff>
                    <xdr:row>1</xdr:row>
                    <xdr:rowOff>200025</xdr:rowOff>
                  </to>
                </anchor>
              </controlPr>
            </control>
          </mc:Choice>
        </mc:AlternateContent>
        <mc:AlternateContent xmlns:mc="http://schemas.openxmlformats.org/markup-compatibility/2006">
          <mc:Choice Requires="x14">
            <control shapeId="77836" r:id="rId4" name="Option Button 12">
              <controlPr defaultSize="0" autoFill="0" autoLine="0" autoPict="0" macro="[0]!DoiDonViHienThi">
                <anchor moveWithCells="1">
                  <from>
                    <xdr:col>3</xdr:col>
                    <xdr:colOff>742950</xdr:colOff>
                    <xdr:row>0</xdr:row>
                    <xdr:rowOff>152400</xdr:rowOff>
                  </from>
                  <to>
                    <xdr:col>4</xdr:col>
                    <xdr:colOff>390525</xdr:colOff>
                    <xdr:row>1</xdr:row>
                    <xdr:rowOff>200025</xdr:rowOff>
                  </to>
                </anchor>
              </controlPr>
            </control>
          </mc:Choice>
        </mc:AlternateContent>
        <mc:AlternateContent xmlns:mc="http://schemas.openxmlformats.org/markup-compatibility/2006">
          <mc:Choice Requires="x14">
            <control shapeId="77837" r:id="rId5" name="Option Button 13">
              <controlPr defaultSize="0" autoFill="0" autoLine="0" autoPict="0" macro="[0]!DoiDonViHienThi">
                <anchor moveWithCells="1">
                  <from>
                    <xdr:col>4</xdr:col>
                    <xdr:colOff>266700</xdr:colOff>
                    <xdr:row>0</xdr:row>
                    <xdr:rowOff>152400</xdr:rowOff>
                  </from>
                  <to>
                    <xdr:col>4</xdr:col>
                    <xdr:colOff>857250</xdr:colOff>
                    <xdr:row>1</xdr:row>
                    <xdr:rowOff>200025</xdr:rowOff>
                  </to>
                </anchor>
              </controlPr>
            </control>
          </mc:Choice>
        </mc:AlternateContent>
        <mc:AlternateContent xmlns:mc="http://schemas.openxmlformats.org/markup-compatibility/2006">
          <mc:Choice Requires="x14">
            <control shapeId="77838" r:id="rId6" name="Option Button 14">
              <controlPr defaultSize="0" autoFill="0" autoLine="0" autoPict="0" macro="[0]!DoiDonViHienThi">
                <anchor moveWithCells="1">
                  <from>
                    <xdr:col>4</xdr:col>
                    <xdr:colOff>742950</xdr:colOff>
                    <xdr:row>0</xdr:row>
                    <xdr:rowOff>152400</xdr:rowOff>
                  </from>
                  <to>
                    <xdr:col>5</xdr:col>
                    <xdr:colOff>95250</xdr:colOff>
                    <xdr:row>1</xdr:row>
                    <xdr:rowOff>200025</xdr:rowOff>
                  </to>
                </anchor>
              </controlPr>
            </control>
          </mc:Choice>
        </mc:AlternateContent>
        <mc:AlternateContent xmlns:mc="http://schemas.openxmlformats.org/markup-compatibility/2006">
          <mc:Choice Requires="x14">
            <control shapeId="77839" r:id="rId7" name="Group Box 15">
              <controlPr defaultSize="0" autoFill="0" autoPict="0">
                <anchor moveWithCells="1">
                  <from>
                    <xdr:col>3</xdr:col>
                    <xdr:colOff>161925</xdr:colOff>
                    <xdr:row>0</xdr:row>
                    <xdr:rowOff>104775</xdr:rowOff>
                  </from>
                  <to>
                    <xdr:col>5</xdr:col>
                    <xdr:colOff>209550</xdr:colOff>
                    <xdr:row>2</xdr:row>
                    <xdr:rowOff>9525</xdr:rowOff>
                  </to>
                </anchor>
              </controlPr>
            </control>
          </mc:Choice>
        </mc:AlternateContent>
        <mc:AlternateContent xmlns:mc="http://schemas.openxmlformats.org/markup-compatibility/2006">
          <mc:Choice Requires="x14">
            <control shapeId="77840" r:id="rId8" name="Group Box 16">
              <controlPr defaultSize="0" autoFill="0" autoPict="0">
                <anchor moveWithCells="1">
                  <from>
                    <xdr:col>1</xdr:col>
                    <xdr:colOff>57150</xdr:colOff>
                    <xdr:row>0</xdr:row>
                    <xdr:rowOff>104775</xdr:rowOff>
                  </from>
                  <to>
                    <xdr:col>3</xdr:col>
                    <xdr:colOff>114300</xdr:colOff>
                    <xdr:row>2</xdr:row>
                    <xdr:rowOff>9525</xdr:rowOff>
                  </to>
                </anchor>
              </controlPr>
            </control>
          </mc:Choice>
        </mc:AlternateContent>
        <mc:AlternateContent xmlns:mc="http://schemas.openxmlformats.org/markup-compatibility/2006">
          <mc:Choice Requires="x14">
            <control shapeId="77841" r:id="rId9" name="Button 17">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7842" r:id="rId10" name="Button 18">
              <controlPr defaultSize="0" autoFill="0" autoPict="0" macro="[0]!NhanTrieu">
                <anchor moveWithCells="1">
                  <from>
                    <xdr:col>1</xdr:col>
                    <xdr:colOff>657225</xdr:colOff>
                    <xdr:row>0</xdr:row>
                    <xdr:rowOff>200025</xdr:rowOff>
                  </from>
                  <to>
                    <xdr:col>2</xdr:col>
                    <xdr:colOff>438150</xdr:colOff>
                    <xdr:row>1</xdr:row>
                    <xdr:rowOff>142875</xdr:rowOff>
                  </to>
                </anchor>
              </controlPr>
            </control>
          </mc:Choice>
        </mc:AlternateContent>
        <mc:AlternateContent xmlns:mc="http://schemas.openxmlformats.org/markup-compatibility/2006">
          <mc:Choice Requires="x14">
            <control shapeId="77843" r:id="rId11" name="Button 19">
              <controlPr defaultSize="0" autoFill="0" autoPict="0" macro="[0]!NhanTy">
                <anchor moveWithCells="1">
                  <from>
                    <xdr:col>2</xdr:col>
                    <xdr:colOff>485775</xdr:colOff>
                    <xdr:row>0</xdr:row>
                    <xdr:rowOff>200025</xdr:rowOff>
                  </from>
                  <to>
                    <xdr:col>3</xdr:col>
                    <xdr:colOff>38100</xdr:colOff>
                    <xdr:row>1</xdr:row>
                    <xdr:rowOff>142875</xdr:rowOff>
                  </to>
                </anchor>
              </controlPr>
            </control>
          </mc:Choice>
        </mc:AlternateContent>
        <mc:AlternateContent xmlns:mc="http://schemas.openxmlformats.org/markup-compatibility/2006">
          <mc:Choice Requires="x14">
            <control shapeId="77844" r:id="rId12" name="Button 20">
              <controlPr defaultSize="0" print="0" autoFill="0" autoPict="0" macro="[0]!AddRow">
                <anchor moveWithCells="1">
                  <from>
                    <xdr:col>0</xdr:col>
                    <xdr:colOff>0</xdr:colOff>
                    <xdr:row>2</xdr:row>
                    <xdr:rowOff>114300</xdr:rowOff>
                  </from>
                  <to>
                    <xdr:col>0</xdr:col>
                    <xdr:colOff>476250</xdr:colOff>
                    <xdr:row>3</xdr:row>
                    <xdr:rowOff>142875</xdr:rowOff>
                  </to>
                </anchor>
              </controlPr>
            </control>
          </mc:Choice>
        </mc:AlternateContent>
        <mc:AlternateContent xmlns:mc="http://schemas.openxmlformats.org/markup-compatibility/2006">
          <mc:Choice Requires="x14">
            <control shapeId="77845" r:id="rId13" name="Button 21">
              <controlPr defaultSize="0" print="0" autoFill="0" autoPict="0" macro="[0]!DeleteRow">
                <anchor moveWithCells="1">
                  <from>
                    <xdr:col>0</xdr:col>
                    <xdr:colOff>514350</xdr:colOff>
                    <xdr:row>2</xdr:row>
                    <xdr:rowOff>114300</xdr:rowOff>
                  </from>
                  <to>
                    <xdr:col>0</xdr:col>
                    <xdr:colOff>990600</xdr:colOff>
                    <xdr:row>3</xdr:row>
                    <xdr:rowOff>142875</xdr:rowOff>
                  </to>
                </anchor>
              </controlPr>
            </control>
          </mc:Choice>
        </mc:AlternateContent>
        <mc:AlternateContent xmlns:mc="http://schemas.openxmlformats.org/markup-compatibility/2006">
          <mc:Choice Requires="x14">
            <control shapeId="77846" r:id="rId14" name="Button 22">
              <controlPr defaultSize="0" print="0" autoFill="0" autoPict="0" macro="[0]!AddColumn">
                <anchor moveWithCells="1">
                  <from>
                    <xdr:col>6</xdr:col>
                    <xdr:colOff>9525</xdr:colOff>
                    <xdr:row>1</xdr:row>
                    <xdr:rowOff>85725</xdr:rowOff>
                  </from>
                  <to>
                    <xdr:col>6</xdr:col>
                    <xdr:colOff>523875</xdr:colOff>
                    <xdr:row>2</xdr:row>
                    <xdr:rowOff>114300</xdr:rowOff>
                  </to>
                </anchor>
              </controlPr>
            </control>
          </mc:Choice>
        </mc:AlternateContent>
        <mc:AlternateContent xmlns:mc="http://schemas.openxmlformats.org/markup-compatibility/2006">
          <mc:Choice Requires="x14">
            <control shapeId="77847" r:id="rId15" name="Button 23">
              <controlPr defaultSize="0" print="0" autoFill="0" autoPict="0" macro="[0]!DeleteColumn">
                <anchor moveWithCells="1">
                  <from>
                    <xdr:col>6</xdr:col>
                    <xdr:colOff>561975</xdr:colOff>
                    <xdr:row>1</xdr:row>
                    <xdr:rowOff>85725</xdr:rowOff>
                  </from>
                  <to>
                    <xdr:col>7</xdr:col>
                    <xdr:colOff>200025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778165B9-8BED-4479-98EB-EB9B81F0834F}">
            <xm:f>Security!$A$1="NO VBA"</xm:f>
            <x14:dxf>
              <font>
                <color theme="0"/>
              </font>
              <border>
                <vertical/>
                <horizontal/>
              </border>
            </x14:dxf>
          </x14:cfRule>
          <xm:sqref>A2:XFD3 A4:F4 H4:XFD4 A5:XFD1048576</xm:sqref>
        </x14:conditionalFormatting>
        <x14:conditionalFormatting xmlns:xm="http://schemas.microsoft.com/office/excel/2006/main">
          <x14:cfRule type="expression" priority="1" id="{06EA9143-F8D7-458C-B699-24D79ED23557}">
            <xm:f>Security!$A$1="NO VBA"</xm:f>
            <x14:dxf>
              <font>
                <color theme="0"/>
              </font>
              <border>
                <vertical/>
                <horizontal/>
              </border>
            </x14:dxf>
          </x14:cfRule>
          <xm:sqref>G4</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9517-A1BA-412C-BB00-6FEC8B9DBF08}">
  <sheetPr codeName="Sheet43">
    <tabColor theme="4"/>
    <outlinePr summaryBelow="0" summaryRight="0"/>
  </sheetPr>
  <dimension ref="A2:V17"/>
  <sheetViews>
    <sheetView showGridLines="0" workbookViewId="0">
      <selection activeCell="D8" sqref="D8"/>
    </sheetView>
  </sheetViews>
  <sheetFormatPr defaultRowHeight="18" customHeight="1" outlineLevelCol="1" x14ac:dyDescent="0.3"/>
  <cols>
    <col min="1" max="1" width="9.625" style="7" customWidth="1"/>
    <col min="2" max="2" width="14.375" style="7" bestFit="1" customWidth="1"/>
    <col min="3" max="3" width="13.125" style="7" customWidth="1"/>
    <col min="4" max="4" width="11.875" style="7" customWidth="1"/>
    <col min="5" max="5" width="14.25" style="7" customWidth="1"/>
    <col min="6" max="6" width="12.375" style="7" customWidth="1"/>
    <col min="7" max="7" width="9.375" style="7" customWidth="1"/>
    <col min="8" max="8" width="10.5" style="7" customWidth="1" outlineLevel="1"/>
    <col min="9" max="9" width="13" style="7" customWidth="1" outlineLevel="1"/>
    <col min="10" max="10" width="6.75" style="7" bestFit="1" customWidth="1"/>
    <col min="11" max="22" width="9" style="38"/>
    <col min="23" max="16384" width="9" style="7"/>
  </cols>
  <sheetData>
    <row r="2" spans="1:22" ht="18" customHeight="1" x14ac:dyDescent="0.3">
      <c r="A2" s="242"/>
      <c r="B2" s="242"/>
      <c r="C2" s="242"/>
      <c r="D2" s="242"/>
      <c r="E2" s="242"/>
      <c r="F2" s="242"/>
      <c r="G2" s="242"/>
      <c r="H2" s="242"/>
      <c r="I2" s="242"/>
      <c r="J2" s="242"/>
      <c r="K2" s="243"/>
      <c r="L2" s="243"/>
      <c r="M2" s="243"/>
      <c r="N2" s="243"/>
      <c r="O2" s="243"/>
      <c r="P2" s="243"/>
      <c r="Q2" s="243"/>
      <c r="R2" s="243"/>
      <c r="S2" s="243"/>
      <c r="T2" s="243"/>
      <c r="U2" s="243"/>
      <c r="V2" s="243"/>
    </row>
    <row r="3" spans="1:22" s="46" customFormat="1" ht="18" customHeight="1" x14ac:dyDescent="0.3">
      <c r="A3" s="301">
        <v>0</v>
      </c>
      <c r="B3" s="301">
        <f t="shared" ref="B3:I3" si="0">+A3+1</f>
        <v>1</v>
      </c>
      <c r="C3" s="301">
        <f t="shared" si="0"/>
        <v>2</v>
      </c>
      <c r="D3" s="301">
        <f t="shared" si="0"/>
        <v>3</v>
      </c>
      <c r="E3" s="301">
        <f t="shared" si="0"/>
        <v>4</v>
      </c>
      <c r="F3" s="301">
        <f t="shared" si="0"/>
        <v>5</v>
      </c>
      <c r="G3" s="301">
        <f t="shared" si="0"/>
        <v>6</v>
      </c>
      <c r="H3" s="301">
        <f t="shared" si="0"/>
        <v>7</v>
      </c>
      <c r="I3" s="301">
        <f t="shared" si="0"/>
        <v>8</v>
      </c>
      <c r="J3" s="301"/>
      <c r="K3" s="302"/>
      <c r="L3" s="302"/>
      <c r="M3" s="302"/>
      <c r="N3" s="302"/>
      <c r="O3" s="302"/>
      <c r="P3" s="302"/>
      <c r="Q3" s="302"/>
      <c r="R3" s="302"/>
      <c r="S3" s="302"/>
      <c r="T3" s="302"/>
      <c r="U3" s="302"/>
      <c r="V3" s="302"/>
    </row>
    <row r="4" spans="1:22" ht="18" customHeight="1" x14ac:dyDescent="0.3">
      <c r="A4" s="242"/>
      <c r="B4" s="7" t="s">
        <v>864</v>
      </c>
      <c r="C4" s="7" t="s">
        <v>664</v>
      </c>
      <c r="D4" s="7" t="s">
        <v>865</v>
      </c>
      <c r="E4" s="7" t="s">
        <v>797</v>
      </c>
      <c r="F4" s="7" t="s">
        <v>798</v>
      </c>
      <c r="G4" s="7" t="s">
        <v>866</v>
      </c>
      <c r="H4" s="46" t="s">
        <v>867</v>
      </c>
      <c r="I4" s="46" t="s">
        <v>868</v>
      </c>
      <c r="J4" s="7" t="s">
        <v>883</v>
      </c>
      <c r="K4" s="243"/>
      <c r="L4" s="243"/>
      <c r="M4" s="243"/>
      <c r="N4" s="243"/>
      <c r="O4" s="243"/>
      <c r="P4" s="243"/>
      <c r="Q4" s="243"/>
      <c r="R4" s="243"/>
      <c r="S4" s="243"/>
      <c r="T4" s="243"/>
      <c r="U4" s="243"/>
      <c r="V4" s="243"/>
    </row>
    <row r="5" spans="1:22" ht="18" customHeight="1" x14ac:dyDescent="0.3">
      <c r="A5" s="242"/>
      <c r="B5" s="242"/>
      <c r="C5" s="242"/>
      <c r="D5" s="244"/>
      <c r="E5" s="244"/>
      <c r="F5" s="45"/>
      <c r="G5" s="249"/>
      <c r="H5" s="270">
        <f>IF(ISBLANK(Table_DauTu[[#This Row],[Thời hạn (tháng)]]),0,
Table_DauTu[[#This Row],[Kỳ đầu tư]] + ROUND(Table_DauTu[[#This Row],[Thời hạn (tháng)]] * (365.25/12),0))</f>
        <v>0</v>
      </c>
      <c r="I5" s="468">
        <f>IF(ISBLANK(Table_DauTu[[#This Row],[Lãi suất (năm)]]),0,Table_DauTu[[#This Row],[Giá trị đầu tư]]* Table_DauTu[[#This Row],[Lãi suất (năm)]]/12)</f>
        <v>0</v>
      </c>
      <c r="J5" s="242"/>
      <c r="K5" s="243"/>
      <c r="L5" s="243"/>
      <c r="M5" s="243"/>
      <c r="N5" s="243"/>
      <c r="O5" s="243"/>
      <c r="P5" s="243"/>
      <c r="Q5" s="243"/>
      <c r="R5" s="243"/>
      <c r="S5" s="243"/>
      <c r="T5" s="243"/>
      <c r="U5" s="243"/>
      <c r="V5" s="243"/>
    </row>
    <row r="6" spans="1:22" ht="18" customHeight="1" x14ac:dyDescent="0.3">
      <c r="A6" s="242"/>
      <c r="B6" s="242"/>
      <c r="C6" s="242"/>
      <c r="D6" s="242"/>
      <c r="E6" s="242"/>
      <c r="F6" s="242"/>
      <c r="G6" s="242"/>
      <c r="H6" s="242"/>
      <c r="I6" s="242"/>
      <c r="J6" s="242"/>
      <c r="K6" s="243"/>
      <c r="L6" s="243"/>
      <c r="M6" s="243"/>
      <c r="N6" s="243"/>
      <c r="O6" s="243"/>
      <c r="P6" s="243"/>
      <c r="Q6" s="243"/>
      <c r="R6" s="243"/>
      <c r="S6" s="243"/>
      <c r="T6" s="243"/>
      <c r="U6" s="243"/>
      <c r="V6" s="243"/>
    </row>
    <row r="7" spans="1:22" ht="18" customHeight="1" x14ac:dyDescent="0.3">
      <c r="A7" s="242"/>
      <c r="B7" s="242"/>
      <c r="C7" s="242"/>
      <c r="D7" s="242"/>
      <c r="E7" s="242"/>
      <c r="F7" s="242"/>
      <c r="G7" s="242"/>
      <c r="H7" s="242"/>
      <c r="I7" s="242"/>
      <c r="J7" s="242"/>
      <c r="K7" s="243"/>
      <c r="L7" s="243"/>
      <c r="M7" s="243"/>
      <c r="N7" s="243"/>
      <c r="O7" s="243"/>
      <c r="P7" s="243"/>
      <c r="Q7" s="243"/>
      <c r="R7" s="243"/>
      <c r="S7" s="243"/>
      <c r="T7" s="243"/>
      <c r="U7" s="243"/>
      <c r="V7" s="243"/>
    </row>
    <row r="8" spans="1:22" ht="18" customHeight="1" x14ac:dyDescent="0.3">
      <c r="A8" s="242"/>
      <c r="B8" s="242"/>
      <c r="C8" s="242"/>
      <c r="D8" s="242"/>
      <c r="E8" s="242"/>
      <c r="F8" s="242"/>
      <c r="G8" s="242"/>
      <c r="H8" s="242"/>
      <c r="I8" s="242"/>
      <c r="J8" s="242"/>
      <c r="K8" s="243"/>
      <c r="L8" s="243"/>
      <c r="M8" s="243"/>
      <c r="N8" s="243"/>
      <c r="O8" s="243"/>
      <c r="P8" s="243"/>
      <c r="Q8" s="243"/>
      <c r="R8" s="243"/>
      <c r="S8" s="243"/>
      <c r="T8" s="243"/>
      <c r="U8" s="243"/>
      <c r="V8" s="243"/>
    </row>
    <row r="9" spans="1:22" ht="18" customHeight="1" x14ac:dyDescent="0.3">
      <c r="A9" s="242"/>
      <c r="B9" s="242"/>
      <c r="C9" s="242"/>
      <c r="D9" s="242"/>
      <c r="E9" s="242"/>
      <c r="F9" s="242"/>
      <c r="G9" s="242"/>
      <c r="H9" s="242"/>
      <c r="I9" s="242"/>
      <c r="J9" s="242"/>
      <c r="K9" s="243"/>
      <c r="L9" s="243"/>
      <c r="M9" s="243"/>
      <c r="N9" s="243"/>
      <c r="O9" s="243"/>
      <c r="P9" s="243"/>
      <c r="Q9" s="243"/>
      <c r="R9" s="243"/>
      <c r="S9" s="243"/>
      <c r="T9" s="243"/>
      <c r="U9" s="243"/>
      <c r="V9" s="243"/>
    </row>
    <row r="10" spans="1:22" ht="18" customHeight="1" x14ac:dyDescent="0.3">
      <c r="A10" s="242"/>
      <c r="B10" s="242"/>
      <c r="C10" s="242"/>
      <c r="D10" s="242"/>
      <c r="E10" s="242"/>
      <c r="F10" s="242"/>
      <c r="G10" s="242"/>
      <c r="H10" s="242"/>
      <c r="I10" s="242"/>
      <c r="J10" s="242"/>
      <c r="K10" s="243"/>
      <c r="L10" s="243"/>
      <c r="M10" s="243"/>
      <c r="N10" s="243"/>
      <c r="O10" s="243"/>
      <c r="P10" s="243"/>
      <c r="Q10" s="243"/>
      <c r="R10" s="243"/>
      <c r="S10" s="243"/>
      <c r="T10" s="243"/>
      <c r="U10" s="243"/>
      <c r="V10" s="243"/>
    </row>
    <row r="11" spans="1:22" ht="18" customHeight="1" x14ac:dyDescent="0.3">
      <c r="A11" s="242"/>
      <c r="B11" s="242"/>
      <c r="C11" s="242"/>
      <c r="D11" s="242"/>
      <c r="E11" s="242"/>
      <c r="F11" s="242"/>
      <c r="G11" s="242"/>
      <c r="H11" s="242"/>
      <c r="I11" s="242"/>
      <c r="J11" s="242"/>
      <c r="K11" s="243"/>
      <c r="L11" s="243"/>
      <c r="M11" s="243"/>
      <c r="N11" s="243"/>
      <c r="O11" s="243"/>
      <c r="P11" s="243"/>
      <c r="Q11" s="243"/>
      <c r="R11" s="243"/>
      <c r="S11" s="243"/>
      <c r="T11" s="243"/>
      <c r="U11" s="243"/>
      <c r="V11" s="243"/>
    </row>
    <row r="12" spans="1:22" ht="18" customHeight="1" x14ac:dyDescent="0.3">
      <c r="A12" s="242"/>
      <c r="B12" s="242"/>
      <c r="C12" s="242"/>
      <c r="D12" s="242"/>
      <c r="E12" s="242"/>
      <c r="F12" s="242"/>
      <c r="G12" s="242"/>
      <c r="H12" s="242"/>
      <c r="I12" s="242"/>
      <c r="J12" s="242"/>
      <c r="K12" s="243"/>
      <c r="L12" s="243"/>
      <c r="M12" s="243"/>
      <c r="N12" s="243"/>
      <c r="O12" s="243"/>
      <c r="P12" s="243"/>
      <c r="Q12" s="243"/>
      <c r="R12" s="243"/>
      <c r="S12" s="243"/>
      <c r="T12" s="243"/>
      <c r="U12" s="243"/>
      <c r="V12" s="243"/>
    </row>
    <row r="13" spans="1:22" ht="18" customHeight="1" x14ac:dyDescent="0.3">
      <c r="A13" s="242"/>
      <c r="B13" s="242"/>
      <c r="C13" s="242"/>
      <c r="D13" s="242"/>
      <c r="E13" s="242"/>
      <c r="F13" s="242"/>
      <c r="G13" s="242"/>
      <c r="H13" s="242"/>
      <c r="I13" s="242"/>
      <c r="J13" s="242"/>
      <c r="K13" s="243"/>
      <c r="L13" s="243"/>
      <c r="M13" s="243"/>
      <c r="N13" s="243"/>
      <c r="O13" s="243"/>
      <c r="P13" s="243"/>
      <c r="Q13" s="243"/>
      <c r="R13" s="243"/>
      <c r="S13" s="243"/>
      <c r="T13" s="243"/>
      <c r="U13" s="243"/>
      <c r="V13" s="243"/>
    </row>
    <row r="14" spans="1:22" ht="18" customHeight="1" x14ac:dyDescent="0.3">
      <c r="A14" s="242"/>
      <c r="B14" s="242"/>
      <c r="C14" s="242"/>
      <c r="D14" s="242"/>
      <c r="E14" s="242"/>
      <c r="F14" s="242"/>
      <c r="G14" s="242"/>
      <c r="H14" s="242"/>
      <c r="I14" s="242"/>
      <c r="J14" s="242"/>
      <c r="K14" s="243"/>
      <c r="L14" s="243"/>
      <c r="M14" s="243"/>
      <c r="N14" s="243"/>
      <c r="O14" s="243"/>
      <c r="P14" s="243"/>
      <c r="Q14" s="243"/>
      <c r="R14" s="243"/>
      <c r="S14" s="243"/>
      <c r="T14" s="243"/>
      <c r="U14" s="243"/>
      <c r="V14" s="243"/>
    </row>
    <row r="15" spans="1:22" ht="18" customHeight="1" x14ac:dyDescent="0.3">
      <c r="A15" s="242"/>
      <c r="B15" s="242"/>
      <c r="C15" s="242"/>
      <c r="D15" s="242"/>
      <c r="E15" s="242"/>
      <c r="F15" s="242"/>
      <c r="G15" s="242"/>
      <c r="H15" s="242"/>
      <c r="I15" s="242"/>
      <c r="J15" s="242"/>
      <c r="K15" s="243"/>
      <c r="L15" s="243"/>
      <c r="M15" s="243"/>
      <c r="N15" s="243"/>
      <c r="O15" s="243"/>
      <c r="P15" s="243"/>
      <c r="Q15" s="243"/>
      <c r="R15" s="243"/>
      <c r="S15" s="243"/>
      <c r="T15" s="243"/>
      <c r="U15" s="243"/>
      <c r="V15" s="243"/>
    </row>
    <row r="16" spans="1:22" ht="18" customHeight="1" x14ac:dyDescent="0.3">
      <c r="A16" s="242"/>
      <c r="B16" s="242"/>
      <c r="C16" s="242"/>
      <c r="D16" s="242"/>
      <c r="E16" s="242"/>
      <c r="F16" s="242"/>
      <c r="G16" s="242"/>
      <c r="H16" s="242"/>
      <c r="I16" s="242"/>
      <c r="J16" s="242"/>
      <c r="K16" s="243"/>
      <c r="L16" s="243"/>
      <c r="M16" s="243"/>
      <c r="N16" s="243"/>
      <c r="O16" s="243"/>
      <c r="P16" s="243"/>
      <c r="Q16" s="243"/>
      <c r="R16" s="243"/>
      <c r="S16" s="243"/>
      <c r="T16" s="243"/>
      <c r="U16" s="243"/>
      <c r="V16" s="243"/>
    </row>
    <row r="17" spans="1:22" ht="18" customHeight="1" x14ac:dyDescent="0.3">
      <c r="A17" s="242"/>
      <c r="B17" s="242"/>
      <c r="C17" s="242"/>
      <c r="D17" s="242"/>
      <c r="E17" s="242"/>
      <c r="F17" s="242"/>
      <c r="G17" s="242"/>
      <c r="H17" s="242"/>
      <c r="I17" s="242"/>
      <c r="J17" s="242"/>
      <c r="K17" s="243"/>
      <c r="L17" s="243"/>
      <c r="M17" s="243"/>
      <c r="N17" s="243"/>
      <c r="O17" s="243"/>
      <c r="P17" s="243"/>
      <c r="Q17" s="243"/>
      <c r="R17" s="243"/>
      <c r="S17" s="243"/>
      <c r="T17" s="243"/>
      <c r="U17" s="243"/>
      <c r="V17" s="243"/>
    </row>
  </sheetData>
  <sheetProtection algorithmName="SHA-512" hashValue="DNZlKmvfzQsAckw75myoA4spud5YwvdYhNI0cI8rw9zp8WfSqaq8pL7Rvbj7mjyyyZwOzJLv3CPfAP46BLS7SQ==" saltValue="pkRQuvhjBt+0LLcwXDA2sA==" spinCount="100000" sheet="1" scenarios="1" formatCells="0" formatColumns="0" formatRows="0" insertColumns="0" insertRows="0" deleteColumns="0" deleteRows="0" sort="0" autoFilter="0" pivotTables="0"/>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94" r:id="rId4" name="Option Button 6">
              <controlPr defaultSize="0" autoFill="0" autoLine="0" autoPict="0" macro="[0]!DoiDonViHienThi">
                <anchor moveWithCells="1">
                  <from>
                    <xdr:col>2</xdr:col>
                    <xdr:colOff>781050</xdr:colOff>
                    <xdr:row>0</xdr:row>
                    <xdr:rowOff>152400</xdr:rowOff>
                  </from>
                  <to>
                    <xdr:col>3</xdr:col>
                    <xdr:colOff>371475</xdr:colOff>
                    <xdr:row>1</xdr:row>
                    <xdr:rowOff>200025</xdr:rowOff>
                  </to>
                </anchor>
              </controlPr>
            </control>
          </mc:Choice>
        </mc:AlternateContent>
        <mc:AlternateContent xmlns:mc="http://schemas.openxmlformats.org/markup-compatibility/2006">
          <mc:Choice Requires="x14">
            <control shapeId="89095" r:id="rId5" name="Option Button 7">
              <controlPr defaultSize="0" autoFill="0" autoLine="0" autoPict="0" macro="[0]!DoiDonViHienThi">
                <anchor moveWithCells="1">
                  <from>
                    <xdr:col>3</xdr:col>
                    <xdr:colOff>247650</xdr:colOff>
                    <xdr:row>0</xdr:row>
                    <xdr:rowOff>152400</xdr:rowOff>
                  </from>
                  <to>
                    <xdr:col>3</xdr:col>
                    <xdr:colOff>838200</xdr:colOff>
                    <xdr:row>1</xdr:row>
                    <xdr:rowOff>200025</xdr:rowOff>
                  </to>
                </anchor>
              </controlPr>
            </control>
          </mc:Choice>
        </mc:AlternateContent>
        <mc:AlternateContent xmlns:mc="http://schemas.openxmlformats.org/markup-compatibility/2006">
          <mc:Choice Requires="x14">
            <control shapeId="89096" r:id="rId6" name="Option Button 8">
              <controlPr defaultSize="0" autoFill="0" autoLine="0" autoPict="0" macro="[0]!DoiDonViHienThi">
                <anchor moveWithCells="1">
                  <from>
                    <xdr:col>3</xdr:col>
                    <xdr:colOff>714375</xdr:colOff>
                    <xdr:row>0</xdr:row>
                    <xdr:rowOff>152400</xdr:rowOff>
                  </from>
                  <to>
                    <xdr:col>4</xdr:col>
                    <xdr:colOff>400050</xdr:colOff>
                    <xdr:row>1</xdr:row>
                    <xdr:rowOff>200025</xdr:rowOff>
                  </to>
                </anchor>
              </controlPr>
            </control>
          </mc:Choice>
        </mc:AlternateContent>
        <mc:AlternateContent xmlns:mc="http://schemas.openxmlformats.org/markup-compatibility/2006">
          <mc:Choice Requires="x14">
            <control shapeId="89097" r:id="rId7" name="Option Button 9">
              <controlPr defaultSize="0" autoFill="0" autoLine="0" autoPict="0" macro="[0]!DoiDonViHienThi">
                <anchor moveWithCells="1">
                  <from>
                    <xdr:col>4</xdr:col>
                    <xdr:colOff>285750</xdr:colOff>
                    <xdr:row>0</xdr:row>
                    <xdr:rowOff>152400</xdr:rowOff>
                  </from>
                  <to>
                    <xdr:col>4</xdr:col>
                    <xdr:colOff>638175</xdr:colOff>
                    <xdr:row>1</xdr:row>
                    <xdr:rowOff>200025</xdr:rowOff>
                  </to>
                </anchor>
              </controlPr>
            </control>
          </mc:Choice>
        </mc:AlternateContent>
        <mc:AlternateContent xmlns:mc="http://schemas.openxmlformats.org/markup-compatibility/2006">
          <mc:Choice Requires="x14">
            <control shapeId="89098" r:id="rId8" name="Group Box 10">
              <controlPr defaultSize="0" autoFill="0" autoPict="0">
                <anchor moveWithCells="1">
                  <from>
                    <xdr:col>2</xdr:col>
                    <xdr:colOff>666750</xdr:colOff>
                    <xdr:row>0</xdr:row>
                    <xdr:rowOff>104775</xdr:rowOff>
                  </from>
                  <to>
                    <xdr:col>4</xdr:col>
                    <xdr:colOff>752475</xdr:colOff>
                    <xdr:row>2</xdr:row>
                    <xdr:rowOff>9525</xdr:rowOff>
                  </to>
                </anchor>
              </controlPr>
            </control>
          </mc:Choice>
        </mc:AlternateContent>
        <mc:AlternateContent xmlns:mc="http://schemas.openxmlformats.org/markup-compatibility/2006">
          <mc:Choice Requires="x14">
            <control shapeId="89099" r:id="rId9" name="Group Box 11">
              <controlPr defaultSize="0" autoFill="0" autoPict="0">
                <anchor moveWithCells="1">
                  <from>
                    <xdr:col>1</xdr:col>
                    <xdr:colOff>57150</xdr:colOff>
                    <xdr:row>0</xdr:row>
                    <xdr:rowOff>104775</xdr:rowOff>
                  </from>
                  <to>
                    <xdr:col>2</xdr:col>
                    <xdr:colOff>619125</xdr:colOff>
                    <xdr:row>2</xdr:row>
                    <xdr:rowOff>9525</xdr:rowOff>
                  </to>
                </anchor>
              </controlPr>
            </control>
          </mc:Choice>
        </mc:AlternateContent>
        <mc:AlternateContent xmlns:mc="http://schemas.openxmlformats.org/markup-compatibility/2006">
          <mc:Choice Requires="x14">
            <control shapeId="89100" r:id="rId10" name="Button 12">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89101" r:id="rId11" name="Button 13">
              <controlPr defaultSize="0" autoFill="0" autoPict="0" macro="[0]!NhanTrieu">
                <anchor moveWithCells="1">
                  <from>
                    <xdr:col>1</xdr:col>
                    <xdr:colOff>657225</xdr:colOff>
                    <xdr:row>0</xdr:row>
                    <xdr:rowOff>200025</xdr:rowOff>
                  </from>
                  <to>
                    <xdr:col>2</xdr:col>
                    <xdr:colOff>28575</xdr:colOff>
                    <xdr:row>1</xdr:row>
                    <xdr:rowOff>142875</xdr:rowOff>
                  </to>
                </anchor>
              </controlPr>
            </control>
          </mc:Choice>
        </mc:AlternateContent>
        <mc:AlternateContent xmlns:mc="http://schemas.openxmlformats.org/markup-compatibility/2006">
          <mc:Choice Requires="x14">
            <control shapeId="89102" r:id="rId12" name="Button 14">
              <controlPr defaultSize="0" autoFill="0" autoPict="0" macro="[0]!NhanTy">
                <anchor moveWithCells="1">
                  <from>
                    <xdr:col>2</xdr:col>
                    <xdr:colOff>76200</xdr:colOff>
                    <xdr:row>0</xdr:row>
                    <xdr:rowOff>200025</xdr:rowOff>
                  </from>
                  <to>
                    <xdr:col>2</xdr:col>
                    <xdr:colOff>542925</xdr:colOff>
                    <xdr:row>1</xdr:row>
                    <xdr:rowOff>142875</xdr:rowOff>
                  </to>
                </anchor>
              </controlPr>
            </control>
          </mc:Choice>
        </mc:AlternateContent>
        <mc:AlternateContent xmlns:mc="http://schemas.openxmlformats.org/markup-compatibility/2006">
          <mc:Choice Requires="x14">
            <control shapeId="89103" r:id="rId13" name="Button 15">
              <controlPr defaultSize="0" print="0" autoFill="0" autoPict="0" macro="[0]!AddRow">
                <anchor moveWithCells="1">
                  <from>
                    <xdr:col>4</xdr:col>
                    <xdr:colOff>1019175</xdr:colOff>
                    <xdr:row>0</xdr:row>
                    <xdr:rowOff>104775</xdr:rowOff>
                  </from>
                  <to>
                    <xdr:col>5</xdr:col>
                    <xdr:colOff>409575</xdr:colOff>
                    <xdr:row>1</xdr:row>
                    <xdr:rowOff>133350</xdr:rowOff>
                  </to>
                </anchor>
              </controlPr>
            </control>
          </mc:Choice>
        </mc:AlternateContent>
        <mc:AlternateContent xmlns:mc="http://schemas.openxmlformats.org/markup-compatibility/2006">
          <mc:Choice Requires="x14">
            <control shapeId="89104" r:id="rId14" name="Button 16">
              <controlPr defaultSize="0" print="0" autoFill="0" autoPict="0" macro="[0]!DeleteRow">
                <anchor moveWithCells="1">
                  <from>
                    <xdr:col>5</xdr:col>
                    <xdr:colOff>447675</xdr:colOff>
                    <xdr:row>0</xdr:row>
                    <xdr:rowOff>104775</xdr:rowOff>
                  </from>
                  <to>
                    <xdr:col>5</xdr:col>
                    <xdr:colOff>923925</xdr:colOff>
                    <xdr:row>1</xdr:row>
                    <xdr:rowOff>133350</xdr:rowOff>
                  </to>
                </anchor>
              </controlPr>
            </control>
          </mc:Choice>
        </mc:AlternateContent>
        <mc:AlternateContent xmlns:mc="http://schemas.openxmlformats.org/markup-compatibility/2006">
          <mc:Choice Requires="x14">
            <control shapeId="89105" r:id="rId15" name="Button 17">
              <controlPr defaultSize="0" print="0" autoFill="0" autoPict="0" macro="[0]!AddColumn">
                <anchor moveWithCells="1">
                  <from>
                    <xdr:col>9</xdr:col>
                    <xdr:colOff>38100</xdr:colOff>
                    <xdr:row>0</xdr:row>
                    <xdr:rowOff>104775</xdr:rowOff>
                  </from>
                  <to>
                    <xdr:col>10</xdr:col>
                    <xdr:colOff>38100</xdr:colOff>
                    <xdr:row>1</xdr:row>
                    <xdr:rowOff>133350</xdr:rowOff>
                  </to>
                </anchor>
              </controlPr>
            </control>
          </mc:Choice>
        </mc:AlternateContent>
        <mc:AlternateContent xmlns:mc="http://schemas.openxmlformats.org/markup-compatibility/2006">
          <mc:Choice Requires="x14">
            <control shapeId="89106" r:id="rId16" name="Button 18">
              <controlPr defaultSize="0" print="0" autoFill="0" autoPict="0" macro="[0]!DeleteColumn">
                <anchor moveWithCells="1">
                  <from>
                    <xdr:col>10</xdr:col>
                    <xdr:colOff>76200</xdr:colOff>
                    <xdr:row>0</xdr:row>
                    <xdr:rowOff>104775</xdr:rowOff>
                  </from>
                  <to>
                    <xdr:col>10</xdr:col>
                    <xdr:colOff>619125</xdr:colOff>
                    <xdr:row>1</xdr:row>
                    <xdr:rowOff>133350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1" id="{2505EF8C-58E2-47ED-BF08-85ACF8DD9F90}">
            <xm:f>Security!$A$1="NO VBA"</xm:f>
            <x14:dxf>
              <font>
                <color theme="0"/>
              </font>
              <border>
                <vertical/>
                <horizontal/>
              </border>
            </x14:dxf>
          </x14:cfRule>
          <xm:sqref>A1:XFD1048576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4"/>
    <outlinePr summaryBelow="0" summaryRight="0"/>
  </sheetPr>
  <dimension ref="A3:AB13"/>
  <sheetViews>
    <sheetView showGridLines="0" topLeftCell="B1" workbookViewId="0">
      <selection activeCell="K12" sqref="K12"/>
    </sheetView>
  </sheetViews>
  <sheetFormatPr defaultRowHeight="18" customHeight="1" outlineLevelCol="1" x14ac:dyDescent="0.3"/>
  <cols>
    <col min="1" max="1" width="9.625" style="7" customWidth="1"/>
    <col min="2" max="2" width="12.25" style="7" bestFit="1" customWidth="1"/>
    <col min="3" max="3" width="11.25" style="7" customWidth="1"/>
    <col min="4" max="4" width="9.875" style="7" customWidth="1"/>
    <col min="5" max="5" width="13.75" style="7" bestFit="1" customWidth="1"/>
    <col min="6" max="6" width="13.25" style="7" customWidth="1"/>
    <col min="7" max="7" width="14.25" style="7" customWidth="1"/>
    <col min="8" max="8" width="12.375" style="7" customWidth="1"/>
    <col min="9" max="9" width="9.125" style="7" customWidth="1"/>
    <col min="10" max="10" width="13.375" style="7" customWidth="1"/>
    <col min="11" max="11" width="11.75" style="7" customWidth="1" outlineLevel="1"/>
    <col min="12" max="12" width="17.875" style="7" customWidth="1" outlineLevel="1"/>
    <col min="13" max="13" width="9.375" style="7" customWidth="1"/>
    <col min="14" max="28" width="9" style="38"/>
    <col min="29" max="16384" width="9" style="7"/>
  </cols>
  <sheetData>
    <row r="3" spans="1:28" s="46" customFormat="1" ht="18" customHeight="1" x14ac:dyDescent="0.3">
      <c r="A3" s="301">
        <v>0</v>
      </c>
      <c r="B3" s="301">
        <f t="shared" ref="B3:D3" si="0">+A3+1</f>
        <v>1</v>
      </c>
      <c r="C3" s="301">
        <f t="shared" si="0"/>
        <v>2</v>
      </c>
      <c r="D3" s="301">
        <f t="shared" si="0"/>
        <v>3</v>
      </c>
      <c r="E3" s="301">
        <f t="shared" ref="E3" si="1">+D3+1</f>
        <v>4</v>
      </c>
      <c r="F3" s="301">
        <f t="shared" ref="F3" si="2">+E3+1</f>
        <v>5</v>
      </c>
      <c r="G3" s="301">
        <f t="shared" ref="G3" si="3">+F3+1</f>
        <v>6</v>
      </c>
      <c r="H3" s="301">
        <f t="shared" ref="H3" si="4">+G3+1</f>
        <v>7</v>
      </c>
      <c r="I3" s="301">
        <f t="shared" ref="I3" si="5">+H3+1</f>
        <v>8</v>
      </c>
      <c r="J3" s="301">
        <f t="shared" ref="J3" si="6">+I3+1</f>
        <v>9</v>
      </c>
      <c r="K3" s="301">
        <f t="shared" ref="K3" si="7">+J3+1</f>
        <v>10</v>
      </c>
      <c r="L3" s="301">
        <f t="shared" ref="L3" si="8">+K3+1</f>
        <v>11</v>
      </c>
      <c r="M3" s="301"/>
      <c r="N3" s="302"/>
      <c r="O3" s="302"/>
      <c r="P3" s="302"/>
      <c r="Q3" s="302"/>
      <c r="R3" s="302"/>
      <c r="S3" s="302"/>
      <c r="T3" s="302"/>
      <c r="U3" s="302"/>
      <c r="V3" s="302"/>
      <c r="W3" s="302"/>
      <c r="X3" s="302"/>
      <c r="Y3" s="302"/>
      <c r="Z3" s="302"/>
      <c r="AA3" s="302"/>
      <c r="AB3" s="302"/>
    </row>
    <row r="4" spans="1:28" ht="18" customHeight="1" x14ac:dyDescent="0.3">
      <c r="A4" s="242"/>
      <c r="B4" s="7" t="s">
        <v>794</v>
      </c>
      <c r="C4" s="7" t="s">
        <v>795</v>
      </c>
      <c r="D4" s="7" t="s">
        <v>892</v>
      </c>
      <c r="E4" s="7" t="s">
        <v>1012</v>
      </c>
      <c r="F4" s="7" t="s">
        <v>796</v>
      </c>
      <c r="G4" s="7" t="s">
        <v>797</v>
      </c>
      <c r="H4" s="7" t="s">
        <v>798</v>
      </c>
      <c r="I4" s="7" t="s">
        <v>660</v>
      </c>
      <c r="J4" s="7" t="s">
        <v>799</v>
      </c>
      <c r="K4" s="46" t="s">
        <v>800</v>
      </c>
      <c r="L4" s="46" t="s">
        <v>801</v>
      </c>
      <c r="M4" s="7" t="s">
        <v>883</v>
      </c>
      <c r="N4" s="243"/>
      <c r="O4" s="243"/>
      <c r="P4" s="243"/>
      <c r="Q4" s="243"/>
      <c r="R4" s="243"/>
      <c r="S4" s="243"/>
      <c r="T4" s="243"/>
      <c r="U4" s="243"/>
      <c r="V4" s="243"/>
      <c r="W4" s="243"/>
      <c r="X4" s="243"/>
      <c r="Y4" s="243"/>
      <c r="Z4" s="243"/>
      <c r="AA4" s="243"/>
      <c r="AB4" s="243"/>
    </row>
    <row r="5" spans="1:28" ht="18" customHeight="1" x14ac:dyDescent="0.3">
      <c r="A5" s="242"/>
      <c r="B5" s="242" t="s">
        <v>1102</v>
      </c>
      <c r="C5" s="242" t="s">
        <v>1103</v>
      </c>
      <c r="D5" s="244">
        <v>100000000</v>
      </c>
      <c r="E5" s="15" t="s">
        <v>1104</v>
      </c>
      <c r="F5" s="244"/>
      <c r="G5" s="244">
        <v>3</v>
      </c>
      <c r="H5" s="45">
        <v>0.06</v>
      </c>
      <c r="I5" s="392">
        <v>45869</v>
      </c>
      <c r="J5" s="392"/>
      <c r="K5"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L5"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5" s="242"/>
      <c r="N5" s="243"/>
      <c r="O5" s="243"/>
      <c r="P5" s="243"/>
      <c r="Q5" s="243"/>
      <c r="R5" s="243"/>
      <c r="S5" s="243"/>
      <c r="T5" s="243"/>
      <c r="U5" s="243"/>
      <c r="V5" s="243"/>
      <c r="W5" s="243"/>
      <c r="X5" s="243"/>
      <c r="Y5" s="243"/>
      <c r="Z5" s="243"/>
      <c r="AA5" s="243"/>
      <c r="AB5" s="243"/>
    </row>
    <row r="6" spans="1:28" ht="18" customHeight="1" x14ac:dyDescent="0.3">
      <c r="A6" s="242"/>
      <c r="B6" s="242" t="s">
        <v>1105</v>
      </c>
      <c r="C6" s="242" t="s">
        <v>1106</v>
      </c>
      <c r="D6" s="244">
        <v>650000000</v>
      </c>
      <c r="E6" s="15" t="s">
        <v>1104</v>
      </c>
      <c r="F6" s="244"/>
      <c r="G6" s="244">
        <v>12</v>
      </c>
      <c r="H6" s="45">
        <v>0.08</v>
      </c>
      <c r="I6" s="392">
        <v>45792</v>
      </c>
      <c r="J6" s="392"/>
      <c r="K6"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L6"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6" s="242"/>
      <c r="N6" s="243"/>
      <c r="O6" s="243"/>
      <c r="P6" s="243"/>
      <c r="Q6" s="243"/>
      <c r="R6" s="243"/>
      <c r="S6" s="243"/>
      <c r="T6" s="243"/>
      <c r="U6" s="243"/>
      <c r="V6" s="243"/>
      <c r="W6" s="243"/>
      <c r="X6" s="243"/>
      <c r="Y6" s="243"/>
      <c r="Z6" s="243"/>
      <c r="AA6" s="243"/>
      <c r="AB6" s="243"/>
    </row>
    <row r="7" spans="1:28" ht="18" customHeight="1" x14ac:dyDescent="0.3">
      <c r="A7" s="242"/>
      <c r="B7" s="242" t="s">
        <v>1107</v>
      </c>
      <c r="C7" s="242" t="s">
        <v>1108</v>
      </c>
      <c r="D7" s="244">
        <v>200000000</v>
      </c>
      <c r="E7" s="15" t="s">
        <v>1109</v>
      </c>
      <c r="F7" s="244"/>
      <c r="G7" s="244">
        <v>6</v>
      </c>
      <c r="H7" s="45">
        <v>7.0000000000000007E-2</v>
      </c>
      <c r="I7" s="392">
        <v>45718</v>
      </c>
      <c r="J7" s="392">
        <v>45749</v>
      </c>
      <c r="K7"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L7"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M7" s="242"/>
      <c r="N7" s="243"/>
      <c r="O7" s="243"/>
      <c r="P7" s="243"/>
      <c r="Q7" s="243"/>
      <c r="R7" s="243"/>
      <c r="S7" s="243"/>
      <c r="T7" s="243"/>
      <c r="U7" s="243"/>
      <c r="V7" s="243"/>
      <c r="W7" s="243"/>
      <c r="X7" s="243"/>
      <c r="Y7" s="243"/>
      <c r="Z7" s="243"/>
      <c r="AA7" s="243"/>
      <c r="AB7" s="243"/>
    </row>
    <row r="8" spans="1:28" ht="18" customHeight="1" x14ac:dyDescent="0.3">
      <c r="A8" s="242"/>
      <c r="B8" s="242" t="s">
        <v>1110</v>
      </c>
      <c r="C8" s="242" t="s">
        <v>1007</v>
      </c>
      <c r="D8" s="244">
        <v>5000000000</v>
      </c>
      <c r="E8" s="15" t="s">
        <v>1111</v>
      </c>
      <c r="F8" s="244">
        <v>3</v>
      </c>
      <c r="G8" s="244"/>
      <c r="H8" s="45">
        <v>0.1</v>
      </c>
      <c r="I8" s="392">
        <v>45346</v>
      </c>
      <c r="J8" s="392">
        <v>45712</v>
      </c>
      <c r="K8"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L8" s="120">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M8" s="242"/>
      <c r="N8" s="243"/>
      <c r="O8" s="243"/>
      <c r="P8" s="243"/>
      <c r="Q8" s="243"/>
      <c r="R8" s="243"/>
      <c r="S8" s="243"/>
      <c r="T8" s="243"/>
      <c r="U8" s="243"/>
      <c r="V8" s="243"/>
      <c r="W8" s="243"/>
      <c r="X8" s="243"/>
      <c r="Y8" s="243"/>
      <c r="Z8" s="243"/>
      <c r="AA8" s="243"/>
      <c r="AB8" s="243"/>
    </row>
    <row r="9" spans="1:28" ht="18" customHeight="1" x14ac:dyDescent="0.3">
      <c r="B9" s="242"/>
      <c r="C9" s="242"/>
      <c r="D9" s="242"/>
      <c r="E9" s="242"/>
      <c r="F9" s="242"/>
      <c r="G9" s="242"/>
      <c r="H9" s="242"/>
      <c r="I9" s="242"/>
      <c r="J9" s="242"/>
      <c r="K9" s="242"/>
      <c r="L9" s="242"/>
      <c r="M9" s="242"/>
    </row>
    <row r="10" spans="1:28" ht="18" customHeight="1" x14ac:dyDescent="0.3">
      <c r="B10" s="242"/>
      <c r="C10" s="242"/>
      <c r="D10" s="242"/>
      <c r="E10" s="242"/>
      <c r="F10" s="242"/>
      <c r="G10" s="242"/>
      <c r="H10" s="242"/>
      <c r="I10" s="242"/>
      <c r="J10" s="242"/>
      <c r="K10" s="242"/>
      <c r="L10" s="242"/>
      <c r="M10" s="242"/>
    </row>
    <row r="11" spans="1:28" ht="18" customHeight="1" x14ac:dyDescent="0.3">
      <c r="B11" s="242"/>
      <c r="C11" s="242"/>
      <c r="D11" s="242"/>
      <c r="E11" s="242"/>
      <c r="F11" s="242"/>
      <c r="G11" s="242"/>
      <c r="H11" s="242"/>
      <c r="I11" s="242"/>
      <c r="J11" s="242"/>
      <c r="K11" s="242"/>
      <c r="L11" s="242"/>
      <c r="M11" s="265"/>
    </row>
    <row r="12" spans="1:28" ht="18" customHeight="1" x14ac:dyDescent="0.3">
      <c r="B12" s="242"/>
      <c r="C12" s="242"/>
      <c r="D12" s="242"/>
      <c r="E12" s="242"/>
      <c r="F12" s="242"/>
      <c r="G12" s="242"/>
      <c r="H12" s="242"/>
      <c r="I12" s="242"/>
      <c r="J12" s="242"/>
      <c r="K12" s="242"/>
      <c r="L12" s="242"/>
      <c r="M12" s="265"/>
    </row>
    <row r="13" spans="1:28" ht="18" customHeight="1" x14ac:dyDescent="0.3">
      <c r="B13" s="242"/>
      <c r="C13" s="242"/>
      <c r="D13" s="242"/>
      <c r="E13" s="242"/>
      <c r="F13" s="242"/>
      <c r="G13" s="242"/>
      <c r="H13" s="242"/>
      <c r="I13" s="242"/>
      <c r="J13" s="242"/>
      <c r="K13" s="242"/>
      <c r="L13" s="242"/>
      <c r="M13" s="265"/>
    </row>
  </sheetData>
  <sheetProtection algorithmName="SHA-512" hashValue="PSM0xuohQVEbzUWg9LEnDbjB/05uz49zN562mlBFhKEMrqZzoJkQcR1iThGW9b8STvZSn/ZD0cBltfVLhWDoSw==" saltValue="kRiZgWZISZya79ToxygQww==" spinCount="100000" sheet="1" scenarios="1" formatCells="0" formatColumns="0" formatRows="0" insertColumns="0" insertRows="0" deleteColumns="0" deleteRows="0" sort="0" autoFilter="0" pivotTables="0"/>
  <phoneticPr fontId="14" type="noConversion"/>
  <conditionalFormatting sqref="B5:B8">
    <cfRule type="duplicateValues" dxfId="261" priority="1"/>
  </conditionalFormatting>
  <dataValidations count="1">
    <dataValidation type="list" allowBlank="1" showInputMessage="1" showErrorMessage="1" sqref="E5:E8" xr:uid="{8D8F3CC2-445E-439D-A67A-114800D3F55B}">
      <formula1>"Một lần, Theo năm, Theo tháng"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6" r:id="rId3" name="Option Button 6">
              <controlPr defaultSize="0" autoFill="0" autoLine="0" autoPict="0" macro="[0]!DoiDonViHienThi">
                <anchor moveWithCells="1">
                  <from>
                    <xdr:col>3</xdr:col>
                    <xdr:colOff>57150</xdr:colOff>
                    <xdr:row>0</xdr:row>
                    <xdr:rowOff>104775</xdr:rowOff>
                  </from>
                  <to>
                    <xdr:col>3</xdr:col>
                    <xdr:colOff>647700</xdr:colOff>
                    <xdr:row>1</xdr:row>
                    <xdr:rowOff>152400</xdr:rowOff>
                  </to>
                </anchor>
              </controlPr>
            </control>
          </mc:Choice>
        </mc:AlternateContent>
        <mc:AlternateContent xmlns:mc="http://schemas.openxmlformats.org/markup-compatibility/2006">
          <mc:Choice Requires="x14">
            <control shapeId="76807" r:id="rId4" name="Option Button 7">
              <controlPr defaultSize="0" autoFill="0" autoLine="0" autoPict="0" macro="[0]!DoiDonViHienThi">
                <anchor moveWithCells="1">
                  <from>
                    <xdr:col>3</xdr:col>
                    <xdr:colOff>523875</xdr:colOff>
                    <xdr:row>0</xdr:row>
                    <xdr:rowOff>104775</xdr:rowOff>
                  </from>
                  <to>
                    <xdr:col>4</xdr:col>
                    <xdr:colOff>361950</xdr:colOff>
                    <xdr:row>1</xdr:row>
                    <xdr:rowOff>152400</xdr:rowOff>
                  </to>
                </anchor>
              </controlPr>
            </control>
          </mc:Choice>
        </mc:AlternateContent>
        <mc:AlternateContent xmlns:mc="http://schemas.openxmlformats.org/markup-compatibility/2006">
          <mc:Choice Requires="x14">
            <control shapeId="76808" r:id="rId5" name="Option Button 8">
              <controlPr defaultSize="0" autoFill="0" autoLine="0" autoPict="0" macro="[0]!DoiDonViHienThi">
                <anchor moveWithCells="1">
                  <from>
                    <xdr:col>4</xdr:col>
                    <xdr:colOff>238125</xdr:colOff>
                    <xdr:row>0</xdr:row>
                    <xdr:rowOff>104775</xdr:rowOff>
                  </from>
                  <to>
                    <xdr:col>4</xdr:col>
                    <xdr:colOff>828675</xdr:colOff>
                    <xdr:row>1</xdr:row>
                    <xdr:rowOff>152400</xdr:rowOff>
                  </to>
                </anchor>
              </controlPr>
            </control>
          </mc:Choice>
        </mc:AlternateContent>
        <mc:AlternateContent xmlns:mc="http://schemas.openxmlformats.org/markup-compatibility/2006">
          <mc:Choice Requires="x14">
            <control shapeId="76809" r:id="rId6" name="Option Button 9">
              <controlPr defaultSize="0" autoFill="0" autoLine="0" autoPict="0" macro="[0]!DoiDonViHienThi">
                <anchor moveWithCells="1">
                  <from>
                    <xdr:col>4</xdr:col>
                    <xdr:colOff>714375</xdr:colOff>
                    <xdr:row>0</xdr:row>
                    <xdr:rowOff>104775</xdr:rowOff>
                  </from>
                  <to>
                    <xdr:col>5</xdr:col>
                    <xdr:colOff>19050</xdr:colOff>
                    <xdr:row>1</xdr:row>
                    <xdr:rowOff>152400</xdr:rowOff>
                  </to>
                </anchor>
              </controlPr>
            </control>
          </mc:Choice>
        </mc:AlternateContent>
        <mc:AlternateContent xmlns:mc="http://schemas.openxmlformats.org/markup-compatibility/2006">
          <mc:Choice Requires="x14">
            <control shapeId="76810" r:id="rId7" name="Group Box 10">
              <controlPr defaultSize="0" autoFill="0" autoPict="0">
                <anchor moveWithCells="1">
                  <from>
                    <xdr:col>2</xdr:col>
                    <xdr:colOff>800100</xdr:colOff>
                    <xdr:row>0</xdr:row>
                    <xdr:rowOff>57150</xdr:rowOff>
                  </from>
                  <to>
                    <xdr:col>5</xdr:col>
                    <xdr:colOff>133350</xdr:colOff>
                    <xdr:row>1</xdr:row>
                    <xdr:rowOff>190500</xdr:rowOff>
                  </to>
                </anchor>
              </controlPr>
            </control>
          </mc:Choice>
        </mc:AlternateContent>
        <mc:AlternateContent xmlns:mc="http://schemas.openxmlformats.org/markup-compatibility/2006">
          <mc:Choice Requires="x14">
            <control shapeId="76811" r:id="rId8" name="Group Box 11">
              <controlPr defaultSize="0" autoFill="0" autoPict="0">
                <anchor moveWithCells="1">
                  <from>
                    <xdr:col>1</xdr:col>
                    <xdr:colOff>28575</xdr:colOff>
                    <xdr:row>0</xdr:row>
                    <xdr:rowOff>57150</xdr:rowOff>
                  </from>
                  <to>
                    <xdr:col>2</xdr:col>
                    <xdr:colOff>752475</xdr:colOff>
                    <xdr:row>1</xdr:row>
                    <xdr:rowOff>190500</xdr:rowOff>
                  </to>
                </anchor>
              </controlPr>
            </control>
          </mc:Choice>
        </mc:AlternateContent>
        <mc:AlternateContent xmlns:mc="http://schemas.openxmlformats.org/markup-compatibility/2006">
          <mc:Choice Requires="x14">
            <control shapeId="76812" r:id="rId9" name="Button 12">
              <controlPr defaultSize="0" autoFill="0" autoPict="0" macro="[0]!NhanNghin">
                <anchor moveWithCells="1">
                  <from>
                    <xdr:col>1</xdr:col>
                    <xdr:colOff>114300</xdr:colOff>
                    <xdr:row>0</xdr:row>
                    <xdr:rowOff>152400</xdr:rowOff>
                  </from>
                  <to>
                    <xdr:col>1</xdr:col>
                    <xdr:colOff>581025</xdr:colOff>
                    <xdr:row>1</xdr:row>
                    <xdr:rowOff>95250</xdr:rowOff>
                  </to>
                </anchor>
              </controlPr>
            </control>
          </mc:Choice>
        </mc:AlternateContent>
        <mc:AlternateContent xmlns:mc="http://schemas.openxmlformats.org/markup-compatibility/2006">
          <mc:Choice Requires="x14">
            <control shapeId="76813" r:id="rId10" name="Button 13">
              <controlPr defaultSize="0" autoFill="0" autoPict="0" macro="[0]!NhanTrieu">
                <anchor moveWithCells="1">
                  <from>
                    <xdr:col>1</xdr:col>
                    <xdr:colOff>628650</xdr:colOff>
                    <xdr:row>0</xdr:row>
                    <xdr:rowOff>152400</xdr:rowOff>
                  </from>
                  <to>
                    <xdr:col>2</xdr:col>
                    <xdr:colOff>161925</xdr:colOff>
                    <xdr:row>1</xdr:row>
                    <xdr:rowOff>95250</xdr:rowOff>
                  </to>
                </anchor>
              </controlPr>
            </control>
          </mc:Choice>
        </mc:AlternateContent>
        <mc:AlternateContent xmlns:mc="http://schemas.openxmlformats.org/markup-compatibility/2006">
          <mc:Choice Requires="x14">
            <control shapeId="76814" r:id="rId11" name="Button 14">
              <controlPr defaultSize="0" autoFill="0" autoPict="0" macro="[0]!NhanTy">
                <anchor moveWithCells="1">
                  <from>
                    <xdr:col>2</xdr:col>
                    <xdr:colOff>209550</xdr:colOff>
                    <xdr:row>0</xdr:row>
                    <xdr:rowOff>152400</xdr:rowOff>
                  </from>
                  <to>
                    <xdr:col>2</xdr:col>
                    <xdr:colOff>676275</xdr:colOff>
                    <xdr:row>1</xdr:row>
                    <xdr:rowOff>95250</xdr:rowOff>
                  </to>
                </anchor>
              </controlPr>
            </control>
          </mc:Choice>
        </mc:AlternateContent>
        <mc:AlternateContent xmlns:mc="http://schemas.openxmlformats.org/markup-compatibility/2006">
          <mc:Choice Requires="x14">
            <control shapeId="76815" r:id="rId12" name="Button 15">
              <controlPr defaultSize="0" print="0" autoFill="0" autoPict="0" macro="[0]!AddRow">
                <anchor moveWithCells="1">
                  <from>
                    <xdr:col>5</xdr:col>
                    <xdr:colOff>238125</xdr:colOff>
                    <xdr:row>0</xdr:row>
                    <xdr:rowOff>85725</xdr:rowOff>
                  </from>
                  <to>
                    <xdr:col>5</xdr:col>
                    <xdr:colOff>714375</xdr:colOff>
                    <xdr:row>1</xdr:row>
                    <xdr:rowOff>114300</xdr:rowOff>
                  </to>
                </anchor>
              </controlPr>
            </control>
          </mc:Choice>
        </mc:AlternateContent>
        <mc:AlternateContent xmlns:mc="http://schemas.openxmlformats.org/markup-compatibility/2006">
          <mc:Choice Requires="x14">
            <control shapeId="76816" r:id="rId13" name="Button 16">
              <controlPr defaultSize="0" print="0" autoFill="0" autoPict="0" macro="[0]!DeleteRow">
                <anchor moveWithCells="1">
                  <from>
                    <xdr:col>5</xdr:col>
                    <xdr:colOff>752475</xdr:colOff>
                    <xdr:row>0</xdr:row>
                    <xdr:rowOff>85725</xdr:rowOff>
                  </from>
                  <to>
                    <xdr:col>6</xdr:col>
                    <xdr:colOff>219075</xdr:colOff>
                    <xdr:row>1</xdr:row>
                    <xdr:rowOff>114300</xdr:rowOff>
                  </to>
                </anchor>
              </controlPr>
            </control>
          </mc:Choice>
        </mc:AlternateContent>
        <mc:AlternateContent xmlns:mc="http://schemas.openxmlformats.org/markup-compatibility/2006">
          <mc:Choice Requires="x14">
            <control shapeId="76817" r:id="rId14" name="Button 17">
              <controlPr defaultSize="0" print="0" autoFill="0" autoPict="0" macro="[0]!AddColumn">
                <anchor moveWithCells="1">
                  <from>
                    <xdr:col>11</xdr:col>
                    <xdr:colOff>142875</xdr:colOff>
                    <xdr:row>0</xdr:row>
                    <xdr:rowOff>133350</xdr:rowOff>
                  </from>
                  <to>
                    <xdr:col>11</xdr:col>
                    <xdr:colOff>657225</xdr:colOff>
                    <xdr:row>1</xdr:row>
                    <xdr:rowOff>161925</xdr:rowOff>
                  </to>
                </anchor>
              </controlPr>
            </control>
          </mc:Choice>
        </mc:AlternateContent>
        <mc:AlternateContent xmlns:mc="http://schemas.openxmlformats.org/markup-compatibility/2006">
          <mc:Choice Requires="x14">
            <control shapeId="76818" r:id="rId15" name="Button 18">
              <controlPr defaultSize="0" print="0" autoFill="0" autoPict="0" macro="[0]!DeleteColumn">
                <anchor moveWithCells="1">
                  <from>
                    <xdr:col>11</xdr:col>
                    <xdr:colOff>695325</xdr:colOff>
                    <xdr:row>0</xdr:row>
                    <xdr:rowOff>133350</xdr:rowOff>
                  </from>
                  <to>
                    <xdr:col>11</xdr:col>
                    <xdr:colOff>1238250</xdr:colOff>
                    <xdr:row>1</xdr:row>
                    <xdr:rowOff>161925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A4:L4 N4:XFD4 A1:XFD3 A9:XFD1048576 A5:A8 J5:XFD6 K7:XFD8</xm:sqref>
        </x14:conditionalFormatting>
        <x14:conditionalFormatting xmlns:xm="http://schemas.microsoft.com/office/excel/2006/main">
          <x14:cfRule type="expression" priority="2" id="{E33D3390-A424-448F-9F0B-CBB4F135BB81}">
            <xm:f>Security!$A$1="NO VBA"</xm:f>
            <x14:dxf>
              <font>
                <color theme="0"/>
              </font>
              <border>
                <vertical/>
                <horizontal/>
              </border>
            </x14:dxf>
          </x14:cfRule>
          <xm:sqref>M4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FBB0-801B-40C9-96E6-1C0B279A353C}">
  <sheetPr codeName="Sheet31">
    <tabColor theme="4"/>
  </sheetPr>
  <dimension ref="A3:K25"/>
  <sheetViews>
    <sheetView showGridLines="0" zoomScaleNormal="100" workbookViewId="0">
      <selection activeCell="D5" sqref="D5"/>
    </sheetView>
  </sheetViews>
  <sheetFormatPr defaultRowHeight="18" customHeight="1" x14ac:dyDescent="0.3"/>
  <cols>
    <col min="1" max="1" width="9.625" style="7" customWidth="1"/>
    <col min="2" max="2" width="11.125" style="7" bestFit="1" customWidth="1"/>
    <col min="3" max="3" width="11.75" style="7" bestFit="1" customWidth="1"/>
    <col min="4" max="4" width="19" style="7" customWidth="1"/>
    <col min="5" max="5" width="16" style="7" bestFit="1" customWidth="1"/>
    <col min="6" max="6" width="11.25" style="7" customWidth="1"/>
    <col min="7" max="7" width="16.375" style="7" bestFit="1" customWidth="1"/>
    <col min="8" max="8" width="11.25" style="7" customWidth="1"/>
    <col min="9" max="9" width="7.375" style="7" bestFit="1" customWidth="1"/>
    <col min="10" max="10" width="5.375" style="7" bestFit="1" customWidth="1"/>
    <col min="11" max="11" width="6.625" style="7" bestFit="1" customWidth="1"/>
    <col min="12" max="16384" width="9" style="7"/>
  </cols>
  <sheetData>
    <row r="3" spans="1:11" s="46" customFormat="1" ht="18" customHeight="1" x14ac:dyDescent="0.3">
      <c r="A3" s="301">
        <v>0</v>
      </c>
      <c r="B3" s="301">
        <f>+A3+1</f>
        <v>1</v>
      </c>
      <c r="C3" s="301">
        <f t="shared" ref="C3:J3" si="0">+B3+1</f>
        <v>2</v>
      </c>
      <c r="D3" s="301">
        <f t="shared" si="0"/>
        <v>3</v>
      </c>
      <c r="E3" s="301">
        <f t="shared" si="0"/>
        <v>4</v>
      </c>
      <c r="F3" s="301">
        <f t="shared" si="0"/>
        <v>5</v>
      </c>
      <c r="G3" s="301">
        <f t="shared" si="0"/>
        <v>6</v>
      </c>
      <c r="H3" s="301">
        <f t="shared" si="0"/>
        <v>7</v>
      </c>
      <c r="I3" s="301">
        <f t="shared" si="0"/>
        <v>8</v>
      </c>
      <c r="J3" s="301">
        <f t="shared" si="0"/>
        <v>9</v>
      </c>
      <c r="K3" s="301"/>
    </row>
    <row r="4" spans="1:11" ht="18" customHeight="1" x14ac:dyDescent="0.3">
      <c r="A4" s="242"/>
      <c r="B4" s="7" t="s">
        <v>787</v>
      </c>
      <c r="C4" s="7" t="s">
        <v>788</v>
      </c>
      <c r="D4" s="7" t="s">
        <v>890</v>
      </c>
      <c r="E4" s="7" t="s">
        <v>891</v>
      </c>
      <c r="F4" s="7" t="s">
        <v>789</v>
      </c>
      <c r="G4" s="7" t="s">
        <v>790</v>
      </c>
      <c r="H4" s="7" t="s">
        <v>791</v>
      </c>
      <c r="I4" s="7" t="s">
        <v>792</v>
      </c>
      <c r="J4" s="7" t="s">
        <v>793</v>
      </c>
      <c r="K4" s="7" t="s">
        <v>883</v>
      </c>
    </row>
    <row r="5" spans="1:11" ht="18" customHeight="1" x14ac:dyDescent="0.3">
      <c r="A5" s="242"/>
      <c r="B5" s="242"/>
      <c r="C5" s="242"/>
      <c r="D5" s="244"/>
      <c r="E5" s="244">
        <f>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f>
        <v>0</v>
      </c>
      <c r="F5" s="68">
        <f>IFERROR(Table_CoDong[[#This Row],[Vốn góp hiện tại]]/SUM(Table_CoDong[Vốn góp hiện tại]),0)</f>
        <v>0</v>
      </c>
      <c r="G5" s="68">
        <f>Table_CoDong[[#This Row],[Tỷ lệ sở hữu]]</f>
        <v>0</v>
      </c>
      <c r="H5" s="242"/>
      <c r="I5" s="242"/>
      <c r="J5" s="242"/>
      <c r="K5" s="242"/>
    </row>
    <row r="6" spans="1:11" ht="18" customHeight="1" x14ac:dyDescent="0.3">
      <c r="A6" s="242"/>
      <c r="B6" s="242"/>
      <c r="C6" s="242"/>
      <c r="D6" s="242"/>
      <c r="E6" s="242"/>
      <c r="F6" s="242"/>
      <c r="G6" s="242"/>
      <c r="H6" s="242"/>
      <c r="I6" s="242"/>
      <c r="J6" s="242"/>
      <c r="K6" s="242"/>
    </row>
    <row r="7" spans="1:11" ht="18" customHeight="1" x14ac:dyDescent="0.3">
      <c r="A7" s="242"/>
      <c r="B7" s="242"/>
      <c r="C7" s="242"/>
      <c r="D7" s="242"/>
      <c r="E7" s="242"/>
      <c r="F7" s="242"/>
      <c r="G7" s="242"/>
      <c r="H7" s="242"/>
      <c r="I7" s="242"/>
      <c r="J7" s="242"/>
      <c r="K7" s="242"/>
    </row>
    <row r="8" spans="1:11" ht="18" customHeight="1" x14ac:dyDescent="0.3">
      <c r="A8" s="242"/>
      <c r="B8" s="242"/>
      <c r="C8" s="242"/>
      <c r="D8" s="242"/>
      <c r="E8" s="242"/>
      <c r="F8" s="242"/>
      <c r="G8" s="242"/>
      <c r="H8" s="242"/>
      <c r="I8" s="242"/>
      <c r="J8" s="242"/>
      <c r="K8" s="242"/>
    </row>
    <row r="9" spans="1:11" ht="18" customHeight="1" x14ac:dyDescent="0.3">
      <c r="A9" s="242"/>
      <c r="B9" s="242"/>
      <c r="C9" s="242"/>
      <c r="D9" s="242"/>
      <c r="E9" s="242"/>
      <c r="F9" s="242"/>
      <c r="G9" s="242"/>
      <c r="H9" s="242"/>
      <c r="I9" s="242"/>
      <c r="J9" s="242"/>
      <c r="K9" s="242"/>
    </row>
    <row r="10" spans="1:11" ht="18" customHeight="1" x14ac:dyDescent="0.3">
      <c r="A10" s="242"/>
      <c r="B10" s="242"/>
      <c r="C10" s="242"/>
      <c r="D10" s="242"/>
      <c r="E10" s="242"/>
      <c r="F10" s="242"/>
      <c r="G10" s="242"/>
      <c r="H10" s="242"/>
      <c r="I10" s="242"/>
      <c r="J10" s="242"/>
      <c r="K10" s="242"/>
    </row>
    <row r="11" spans="1:11" ht="18" customHeight="1" x14ac:dyDescent="0.3">
      <c r="A11" s="242"/>
      <c r="B11" s="242"/>
      <c r="C11" s="242"/>
      <c r="D11" s="242"/>
      <c r="E11" s="242"/>
      <c r="F11" s="242"/>
      <c r="G11" s="242"/>
      <c r="H11" s="242"/>
      <c r="I11" s="242"/>
      <c r="J11" s="242"/>
      <c r="K11" s="242"/>
    </row>
    <row r="12" spans="1:11" ht="18" customHeight="1" x14ac:dyDescent="0.3">
      <c r="A12" s="242"/>
      <c r="B12" s="242"/>
      <c r="C12" s="242"/>
      <c r="D12" s="242"/>
      <c r="E12" s="242"/>
      <c r="F12" s="242"/>
      <c r="G12" s="242"/>
      <c r="H12" s="242"/>
      <c r="I12" s="242"/>
      <c r="J12" s="242"/>
      <c r="K12" s="242"/>
    </row>
    <row r="13" spans="1:11" ht="18" customHeight="1" x14ac:dyDescent="0.3">
      <c r="A13" s="242"/>
      <c r="B13" s="242"/>
      <c r="C13" s="242"/>
      <c r="D13" s="242"/>
      <c r="E13" s="242"/>
      <c r="F13" s="242"/>
      <c r="G13" s="242"/>
      <c r="H13" s="242"/>
      <c r="I13" s="242"/>
      <c r="J13" s="242"/>
      <c r="K13" s="242"/>
    </row>
    <row r="14" spans="1:11" ht="18" customHeight="1" x14ac:dyDescent="0.3">
      <c r="A14" s="242"/>
      <c r="B14" s="242"/>
      <c r="C14" s="242"/>
      <c r="D14" s="242"/>
      <c r="E14" s="242"/>
      <c r="F14" s="242"/>
      <c r="G14" s="242"/>
      <c r="H14" s="242"/>
      <c r="I14" s="242"/>
      <c r="J14" s="242"/>
      <c r="K14" s="242"/>
    </row>
    <row r="15" spans="1:11" ht="18" customHeight="1" x14ac:dyDescent="0.3">
      <c r="A15" s="242"/>
      <c r="B15" s="242"/>
      <c r="C15" s="242"/>
      <c r="D15" s="242"/>
      <c r="E15" s="242"/>
      <c r="F15" s="242"/>
      <c r="G15" s="242"/>
      <c r="H15" s="242"/>
      <c r="I15" s="242"/>
      <c r="J15" s="242"/>
      <c r="K15" s="242"/>
    </row>
    <row r="16" spans="1:11" ht="18" customHeight="1" x14ac:dyDescent="0.3">
      <c r="A16" s="242"/>
      <c r="B16" s="242"/>
      <c r="C16" s="242"/>
      <c r="D16" s="242"/>
      <c r="E16" s="242"/>
      <c r="F16" s="242"/>
      <c r="G16" s="242"/>
      <c r="H16" s="242"/>
      <c r="I16" s="242"/>
      <c r="J16" s="242"/>
      <c r="K16" s="242"/>
    </row>
    <row r="17" spans="1:11" ht="18" customHeight="1" x14ac:dyDescent="0.3">
      <c r="A17" s="242"/>
      <c r="B17" s="242"/>
      <c r="C17" s="242"/>
      <c r="D17" s="242"/>
      <c r="E17" s="242"/>
      <c r="F17" s="242"/>
      <c r="G17" s="242"/>
      <c r="H17" s="242"/>
      <c r="I17" s="242"/>
      <c r="J17" s="242"/>
      <c r="K17" s="242"/>
    </row>
    <row r="18" spans="1:11" ht="18" customHeight="1" x14ac:dyDescent="0.3">
      <c r="A18" s="242"/>
      <c r="B18" s="242"/>
      <c r="C18" s="242"/>
      <c r="D18" s="242"/>
      <c r="E18" s="242"/>
      <c r="F18" s="242"/>
      <c r="G18" s="242"/>
      <c r="H18" s="242"/>
      <c r="I18" s="242"/>
      <c r="J18" s="242"/>
      <c r="K18" s="242"/>
    </row>
    <row r="19" spans="1:11" ht="18" customHeight="1" x14ac:dyDescent="0.3">
      <c r="A19" s="242"/>
      <c r="B19" s="242"/>
      <c r="C19" s="242"/>
      <c r="D19" s="242"/>
      <c r="E19" s="242"/>
      <c r="F19" s="242"/>
      <c r="G19" s="242"/>
      <c r="H19" s="242"/>
      <c r="I19" s="242"/>
      <c r="J19" s="242"/>
      <c r="K19" s="242"/>
    </row>
    <row r="20" spans="1:11" ht="18" customHeight="1" x14ac:dyDescent="0.3">
      <c r="A20" s="242"/>
      <c r="B20" s="242"/>
      <c r="C20" s="242"/>
      <c r="D20" s="242"/>
      <c r="E20" s="242"/>
      <c r="F20" s="242"/>
      <c r="G20" s="242"/>
      <c r="H20" s="242"/>
      <c r="I20" s="242"/>
      <c r="J20" s="242"/>
      <c r="K20" s="242"/>
    </row>
    <row r="21" spans="1:11" ht="18" customHeight="1" x14ac:dyDescent="0.3">
      <c r="A21" s="242"/>
      <c r="B21" s="242"/>
      <c r="C21" s="242"/>
      <c r="D21" s="242"/>
      <c r="E21" s="242"/>
      <c r="F21" s="242"/>
      <c r="G21" s="242"/>
      <c r="H21" s="242"/>
      <c r="I21" s="242"/>
      <c r="J21" s="242"/>
      <c r="K21" s="242"/>
    </row>
    <row r="22" spans="1:11" ht="18" customHeight="1" x14ac:dyDescent="0.3">
      <c r="A22" s="242"/>
      <c r="B22" s="242"/>
      <c r="C22" s="242"/>
      <c r="D22" s="242"/>
      <c r="E22" s="242"/>
      <c r="F22" s="242"/>
      <c r="G22" s="242"/>
      <c r="H22" s="242"/>
      <c r="I22" s="242"/>
      <c r="J22" s="242"/>
      <c r="K22" s="242"/>
    </row>
    <row r="23" spans="1:11" ht="18" customHeight="1" x14ac:dyDescent="0.3">
      <c r="A23" s="242"/>
      <c r="B23" s="242"/>
      <c r="C23" s="242"/>
      <c r="D23" s="242"/>
      <c r="E23" s="242"/>
      <c r="F23" s="242"/>
      <c r="G23" s="242"/>
      <c r="H23" s="242"/>
      <c r="I23" s="242"/>
      <c r="J23" s="242"/>
      <c r="K23" s="242"/>
    </row>
    <row r="24" spans="1:11" ht="18" customHeight="1" x14ac:dyDescent="0.3">
      <c r="A24" s="242"/>
      <c r="B24" s="242"/>
      <c r="C24" s="242"/>
      <c r="D24" s="242"/>
      <c r="E24" s="242"/>
      <c r="F24" s="242"/>
      <c r="G24" s="242"/>
      <c r="H24" s="242"/>
      <c r="I24" s="242"/>
      <c r="J24" s="242"/>
      <c r="K24" s="242"/>
    </row>
    <row r="25" spans="1:11" ht="18" customHeight="1" x14ac:dyDescent="0.3">
      <c r="A25" s="242"/>
      <c r="B25" s="242"/>
      <c r="C25" s="242"/>
      <c r="D25" s="242"/>
      <c r="E25" s="242"/>
      <c r="F25" s="242"/>
      <c r="G25" s="242"/>
      <c r="H25" s="242"/>
      <c r="I25" s="242"/>
      <c r="J25" s="242"/>
      <c r="K25" s="242"/>
    </row>
  </sheetData>
  <sheetProtection algorithmName="SHA-512" hashValue="sVY/XRx9xKtb5YC6aiNOZeW/Dv0hXhZdDRsXtBJyQx5proiWKbQqNR8+/YXMg6gFNqpG7RPF9cC08y6EKmenlQ==" saltValue="efS5lnkrXS0g6DFI7cnC0g==" spinCount="100000" sheet="1" scenarios="1" formatCells="0" formatColumns="0" formatRows="0" insertColumns="0" insertRows="0" deleteColumns="0" deleteRows="0" sort="0" autoFilter="0" pivotTables="0"/>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3" r:id="rId3" name="Option Button 7">
              <controlPr defaultSize="0" autoFill="0" autoLine="0" autoPict="0" macro="[0]!DoiDonViHienThi">
                <anchor moveWithCells="1">
                  <from>
                    <xdr:col>3</xdr:col>
                    <xdr:colOff>133350</xdr:colOff>
                    <xdr:row>0</xdr:row>
                    <xdr:rowOff>152400</xdr:rowOff>
                  </from>
                  <to>
                    <xdr:col>3</xdr:col>
                    <xdr:colOff>723900</xdr:colOff>
                    <xdr:row>1</xdr:row>
                    <xdr:rowOff>200025</xdr:rowOff>
                  </to>
                </anchor>
              </controlPr>
            </control>
          </mc:Choice>
        </mc:AlternateContent>
        <mc:AlternateContent xmlns:mc="http://schemas.openxmlformats.org/markup-compatibility/2006">
          <mc:Choice Requires="x14">
            <control shapeId="75784" r:id="rId4" name="Option Button 8">
              <controlPr defaultSize="0" autoFill="0" autoLine="0" autoPict="0" macro="[0]!DoiDonViHienThi">
                <anchor moveWithCells="1">
                  <from>
                    <xdr:col>3</xdr:col>
                    <xdr:colOff>600075</xdr:colOff>
                    <xdr:row>0</xdr:row>
                    <xdr:rowOff>152400</xdr:rowOff>
                  </from>
                  <to>
                    <xdr:col>3</xdr:col>
                    <xdr:colOff>1190625</xdr:colOff>
                    <xdr:row>1</xdr:row>
                    <xdr:rowOff>200025</xdr:rowOff>
                  </to>
                </anchor>
              </controlPr>
            </control>
          </mc:Choice>
        </mc:AlternateContent>
        <mc:AlternateContent xmlns:mc="http://schemas.openxmlformats.org/markup-compatibility/2006">
          <mc:Choice Requires="x14">
            <control shapeId="75785" r:id="rId5" name="Option Button 9">
              <controlPr defaultSize="0" autoFill="0" autoLine="0" autoPict="0" macro="[0]!DoiDonViHienThi">
                <anchor moveWithCells="1">
                  <from>
                    <xdr:col>3</xdr:col>
                    <xdr:colOff>1066800</xdr:colOff>
                    <xdr:row>0</xdr:row>
                    <xdr:rowOff>152400</xdr:rowOff>
                  </from>
                  <to>
                    <xdr:col>4</xdr:col>
                    <xdr:colOff>209550</xdr:colOff>
                    <xdr:row>1</xdr:row>
                    <xdr:rowOff>200025</xdr:rowOff>
                  </to>
                </anchor>
              </controlPr>
            </control>
          </mc:Choice>
        </mc:AlternateContent>
        <mc:AlternateContent xmlns:mc="http://schemas.openxmlformats.org/markup-compatibility/2006">
          <mc:Choice Requires="x14">
            <control shapeId="75786" r:id="rId6" name="Option Button 10">
              <controlPr defaultSize="0" autoFill="0" autoLine="0" autoPict="0" macro="[0]!DoiDonViHienThi">
                <anchor moveWithCells="1">
                  <from>
                    <xdr:col>4</xdr:col>
                    <xdr:colOff>95250</xdr:colOff>
                    <xdr:row>0</xdr:row>
                    <xdr:rowOff>152400</xdr:rowOff>
                  </from>
                  <to>
                    <xdr:col>4</xdr:col>
                    <xdr:colOff>447675</xdr:colOff>
                    <xdr:row>1</xdr:row>
                    <xdr:rowOff>200025</xdr:rowOff>
                  </to>
                </anchor>
              </controlPr>
            </control>
          </mc:Choice>
        </mc:AlternateContent>
        <mc:AlternateContent xmlns:mc="http://schemas.openxmlformats.org/markup-compatibility/2006">
          <mc:Choice Requires="x14">
            <control shapeId="75787" r:id="rId7" name="Group Box 11">
              <controlPr defaultSize="0" autoFill="0" autoPict="0">
                <anchor moveWithCells="1">
                  <from>
                    <xdr:col>3</xdr:col>
                    <xdr:colOff>19050</xdr:colOff>
                    <xdr:row>0</xdr:row>
                    <xdr:rowOff>104775</xdr:rowOff>
                  </from>
                  <to>
                    <xdr:col>4</xdr:col>
                    <xdr:colOff>561975</xdr:colOff>
                    <xdr:row>2</xdr:row>
                    <xdr:rowOff>9525</xdr:rowOff>
                  </to>
                </anchor>
              </controlPr>
            </control>
          </mc:Choice>
        </mc:AlternateContent>
        <mc:AlternateContent xmlns:mc="http://schemas.openxmlformats.org/markup-compatibility/2006">
          <mc:Choice Requires="x14">
            <control shapeId="75788" r:id="rId8" name="Group Box 12">
              <controlPr defaultSize="0" autoFill="0" autoPict="0">
                <anchor moveWithCells="1">
                  <from>
                    <xdr:col>1</xdr:col>
                    <xdr:colOff>57150</xdr:colOff>
                    <xdr:row>0</xdr:row>
                    <xdr:rowOff>104775</xdr:rowOff>
                  </from>
                  <to>
                    <xdr:col>2</xdr:col>
                    <xdr:colOff>866775</xdr:colOff>
                    <xdr:row>2</xdr:row>
                    <xdr:rowOff>9525</xdr:rowOff>
                  </to>
                </anchor>
              </controlPr>
            </control>
          </mc:Choice>
        </mc:AlternateContent>
        <mc:AlternateContent xmlns:mc="http://schemas.openxmlformats.org/markup-compatibility/2006">
          <mc:Choice Requires="x14">
            <control shapeId="75789" r:id="rId9" name="Button 13">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5790" r:id="rId10" name="Button 14">
              <controlPr defaultSize="0" autoFill="0" autoPict="0" macro="[0]!NhanTrieu">
                <anchor moveWithCells="1">
                  <from>
                    <xdr:col>1</xdr:col>
                    <xdr:colOff>657225</xdr:colOff>
                    <xdr:row>0</xdr:row>
                    <xdr:rowOff>200025</xdr:rowOff>
                  </from>
                  <to>
                    <xdr:col>2</xdr:col>
                    <xdr:colOff>276225</xdr:colOff>
                    <xdr:row>1</xdr:row>
                    <xdr:rowOff>142875</xdr:rowOff>
                  </to>
                </anchor>
              </controlPr>
            </control>
          </mc:Choice>
        </mc:AlternateContent>
        <mc:AlternateContent xmlns:mc="http://schemas.openxmlformats.org/markup-compatibility/2006">
          <mc:Choice Requires="x14">
            <control shapeId="75791" r:id="rId11" name="Button 15">
              <controlPr defaultSize="0" autoFill="0" autoPict="0" macro="[0]!NhanTy">
                <anchor moveWithCells="1">
                  <from>
                    <xdr:col>2</xdr:col>
                    <xdr:colOff>323850</xdr:colOff>
                    <xdr:row>0</xdr:row>
                    <xdr:rowOff>200025</xdr:rowOff>
                  </from>
                  <to>
                    <xdr:col>2</xdr:col>
                    <xdr:colOff>790575</xdr:colOff>
                    <xdr:row>1</xdr:row>
                    <xdr:rowOff>142875</xdr:rowOff>
                  </to>
                </anchor>
              </controlPr>
            </control>
          </mc:Choice>
        </mc:AlternateContent>
        <mc:AlternateContent xmlns:mc="http://schemas.openxmlformats.org/markup-compatibility/2006">
          <mc:Choice Requires="x14">
            <control shapeId="75792" r:id="rId12" name="Button 16">
              <controlPr defaultSize="0" print="0" autoFill="0" autoPict="0" macro="[0]!AddRow">
                <anchor moveWithCells="1">
                  <from>
                    <xdr:col>4</xdr:col>
                    <xdr:colOff>723900</xdr:colOff>
                    <xdr:row>0</xdr:row>
                    <xdr:rowOff>142875</xdr:rowOff>
                  </from>
                  <to>
                    <xdr:col>4</xdr:col>
                    <xdr:colOff>1200150</xdr:colOff>
                    <xdr:row>1</xdr:row>
                    <xdr:rowOff>171450</xdr:rowOff>
                  </to>
                </anchor>
              </controlPr>
            </control>
          </mc:Choice>
        </mc:AlternateContent>
        <mc:AlternateContent xmlns:mc="http://schemas.openxmlformats.org/markup-compatibility/2006">
          <mc:Choice Requires="x14">
            <control shapeId="75793" r:id="rId13" name="Button 17">
              <controlPr defaultSize="0" print="0" autoFill="0" autoPict="0" macro="[0]!DeleteRow">
                <anchor moveWithCells="1">
                  <from>
                    <xdr:col>5</xdr:col>
                    <xdr:colOff>19050</xdr:colOff>
                    <xdr:row>0</xdr:row>
                    <xdr:rowOff>142875</xdr:rowOff>
                  </from>
                  <to>
                    <xdr:col>5</xdr:col>
                    <xdr:colOff>495300</xdr:colOff>
                    <xdr:row>1</xdr:row>
                    <xdr:rowOff>171450</xdr:rowOff>
                  </to>
                </anchor>
              </controlPr>
            </control>
          </mc:Choice>
        </mc:AlternateContent>
        <mc:AlternateContent xmlns:mc="http://schemas.openxmlformats.org/markup-compatibility/2006">
          <mc:Choice Requires="x14">
            <control shapeId="75794" r:id="rId14" name="Button 18">
              <controlPr defaultSize="0" print="0" autoFill="0" autoPict="0" macro="[0]!AddColumn">
                <anchor moveWithCells="1">
                  <from>
                    <xdr:col>7</xdr:col>
                    <xdr:colOff>638175</xdr:colOff>
                    <xdr:row>0</xdr:row>
                    <xdr:rowOff>161925</xdr:rowOff>
                  </from>
                  <to>
                    <xdr:col>8</xdr:col>
                    <xdr:colOff>295275</xdr:colOff>
                    <xdr:row>1</xdr:row>
                    <xdr:rowOff>190500</xdr:rowOff>
                  </to>
                </anchor>
              </controlPr>
            </control>
          </mc:Choice>
        </mc:AlternateContent>
        <mc:AlternateContent xmlns:mc="http://schemas.openxmlformats.org/markup-compatibility/2006">
          <mc:Choice Requires="x14">
            <control shapeId="75795" r:id="rId15" name="Button 19">
              <controlPr defaultSize="0" print="0" autoFill="0" autoPict="0" macro="[0]!DeleteColumn">
                <anchor moveWithCells="1">
                  <from>
                    <xdr:col>8</xdr:col>
                    <xdr:colOff>333375</xdr:colOff>
                    <xdr:row>0</xdr:row>
                    <xdr:rowOff>161925</xdr:rowOff>
                  </from>
                  <to>
                    <xdr:col>9</xdr:col>
                    <xdr:colOff>314325</xdr:colOff>
                    <xdr:row>1</xdr:row>
                    <xdr:rowOff>190500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E05A68F9-1767-49A6-B667-E0A705BFF85F}">
            <xm:f>Security!$A$1="NO VBA"</xm:f>
            <x14:dxf>
              <font>
                <color theme="0"/>
              </font>
              <border>
                <vertical/>
                <horizontal/>
              </border>
            </x14:dxf>
          </x14:cfRule>
          <xm:sqref>L4:XFD4 A4:J4 A1:XFD3 A5:XFD1048576</xm:sqref>
        </x14:conditionalFormatting>
        <x14:conditionalFormatting xmlns:xm="http://schemas.microsoft.com/office/excel/2006/main">
          <x14:cfRule type="expression" priority="1" id="{6020DEA0-2BB1-402C-8B91-0622A8D06A64}">
            <xm:f>Security!$A$1="NO VBA"</xm:f>
            <x14:dxf>
              <font>
                <color theme="0"/>
              </font>
              <border>
                <vertical/>
                <horizontal/>
              </border>
            </x14:dxf>
          </x14:cfRule>
          <xm:sqref>K4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CA3F3-167C-446F-96F0-2FFB4967DFCE}">
  <sheetPr codeName="Sheet27">
    <tabColor theme="7"/>
    <outlinePr summaryRight="0"/>
  </sheetPr>
  <dimension ref="A1:AD38"/>
  <sheetViews>
    <sheetView showGridLines="0" topLeftCell="R1" workbookViewId="0">
      <selection activeCell="V31" sqref="V31"/>
    </sheetView>
  </sheetViews>
  <sheetFormatPr defaultRowHeight="18" customHeight="1" outlineLevelRow="1" outlineLevelCol="2" x14ac:dyDescent="0.3"/>
  <cols>
    <col min="1" max="1" width="1.25" style="38" customWidth="1"/>
    <col min="2" max="2" width="9.375" style="7" customWidth="1" outlineLevel="1"/>
    <col min="3" max="3" width="5.625" style="7" customWidth="1" outlineLevel="1"/>
    <col min="4" max="4" width="6" style="7" customWidth="1" outlineLevel="1"/>
    <col min="5" max="5" width="10.25" style="7" customWidth="1" outlineLevel="1"/>
    <col min="6" max="6" width="11.5" style="7" customWidth="1" outlineLevel="1"/>
    <col min="7" max="7" width="17.625" style="7" customWidth="1" outlineLevel="1"/>
    <col min="8" max="8" width="10.25" style="7" customWidth="1" outlineLevel="1"/>
    <col min="9" max="9" width="10.25" style="38" customWidth="1" outlineLevel="1"/>
    <col min="10" max="10" width="12.375" style="7" customWidth="1" outlineLevel="1"/>
    <col min="11" max="11" width="2.25" style="7" customWidth="1"/>
    <col min="12" max="12" width="5.375" style="7" customWidth="1" outlineLevel="1"/>
    <col min="13" max="13" width="10" style="7" customWidth="1" outlineLevel="1"/>
    <col min="14" max="14" width="5.625" style="7" customWidth="1" outlineLevel="1"/>
    <col min="15" max="15" width="6" style="7" customWidth="1" outlineLevel="1"/>
    <col min="16" max="16" width="7.125" style="7" customWidth="1" outlineLevel="1"/>
    <col min="17" max="17" width="10.25" style="7" bestFit="1" customWidth="1" outlineLevel="1"/>
    <col min="18" max="18" width="11.5" style="7" bestFit="1" customWidth="1" outlineLevel="1"/>
    <col min="19" max="19" width="27.375" style="38" customWidth="1" outlineLevel="1"/>
    <col min="20" max="20" width="12.375" style="38" bestFit="1" customWidth="1" outlineLevel="1"/>
    <col min="21" max="21" width="8" style="7" customWidth="1" outlineLevel="1"/>
    <col min="22" max="22" width="18" style="7" customWidth="1" outlineLevel="1"/>
    <col min="23" max="23" width="17.875" style="7" customWidth="1" outlineLevel="1"/>
    <col min="24" max="24" width="11.875" style="7" customWidth="1" outlineLevel="1"/>
    <col min="25" max="25" width="8.125" style="7" customWidth="1" outlineLevel="2"/>
    <col min="26" max="26" width="14.375" style="7" bestFit="1" customWidth="1" outlineLevel="2"/>
    <col min="27" max="27" width="6.75" style="7" customWidth="1" outlineLevel="1" collapsed="1"/>
    <col min="28" max="28" width="8.125" style="7" customWidth="1" outlineLevel="1"/>
    <col min="29" max="29" width="6.75" style="7" bestFit="1" customWidth="1"/>
    <col min="30" max="30" width="9.125" style="7" bestFit="1" customWidth="1"/>
    <col min="31" max="16384" width="9" style="7"/>
  </cols>
  <sheetData>
    <row r="1" spans="7:28" ht="37.5" customHeight="1" x14ac:dyDescent="0.3">
      <c r="L1" s="46"/>
      <c r="M1" s="46">
        <v>1</v>
      </c>
      <c r="N1" s="46">
        <f t="shared" ref="N1:Z1" si="0">+M1+1</f>
        <v>2</v>
      </c>
      <c r="O1" s="46">
        <f t="shared" si="0"/>
        <v>3</v>
      </c>
      <c r="P1" s="46">
        <f t="shared" si="0"/>
        <v>4</v>
      </c>
      <c r="Q1" s="46">
        <f t="shared" si="0"/>
        <v>5</v>
      </c>
      <c r="R1" s="46">
        <f t="shared" si="0"/>
        <v>6</v>
      </c>
      <c r="S1" s="46">
        <f t="shared" si="0"/>
        <v>7</v>
      </c>
      <c r="T1" s="46">
        <f t="shared" si="0"/>
        <v>8</v>
      </c>
      <c r="U1" s="46">
        <f t="shared" si="0"/>
        <v>9</v>
      </c>
      <c r="V1" s="46">
        <f t="shared" si="0"/>
        <v>10</v>
      </c>
      <c r="W1" s="46">
        <f t="shared" si="0"/>
        <v>11</v>
      </c>
      <c r="X1" s="46">
        <f t="shared" si="0"/>
        <v>12</v>
      </c>
      <c r="Y1" s="46">
        <f t="shared" si="0"/>
        <v>13</v>
      </c>
      <c r="Z1" s="46">
        <f t="shared" si="0"/>
        <v>14</v>
      </c>
      <c r="AA1" s="46"/>
      <c r="AB1" s="46">
        <f>+Y1+1</f>
        <v>14</v>
      </c>
    </row>
    <row r="2" spans="7:28" ht="16.5" hidden="1" outlineLevel="1" x14ac:dyDescent="0.3">
      <c r="G2" s="7">
        <f>+A20+1</f>
        <v>1</v>
      </c>
      <c r="H2" s="7">
        <v>2</v>
      </c>
      <c r="L2" s="46"/>
      <c r="M2" s="46"/>
      <c r="N2" s="46"/>
      <c r="O2" s="46"/>
      <c r="P2" s="46"/>
      <c r="Q2" s="46"/>
      <c r="R2" s="46"/>
      <c r="S2" s="46"/>
      <c r="T2" s="46"/>
      <c r="U2" s="46"/>
      <c r="V2" s="46"/>
      <c r="W2" s="46"/>
      <c r="X2" s="46"/>
      <c r="Y2" s="46"/>
      <c r="Z2" s="46"/>
      <c r="AA2" s="46"/>
      <c r="AB2" s="46"/>
    </row>
    <row r="3" spans="7:28" ht="16.5" hidden="1" outlineLevel="1" x14ac:dyDescent="0.3">
      <c r="G3" s="7" t="s">
        <v>130</v>
      </c>
      <c r="H3" s="7" t="s">
        <v>588</v>
      </c>
      <c r="L3" s="46"/>
      <c r="M3" s="46"/>
      <c r="N3" s="46"/>
      <c r="O3" s="46"/>
      <c r="P3" s="46"/>
      <c r="Q3" s="46"/>
      <c r="R3" s="46"/>
      <c r="S3" s="46"/>
      <c r="T3" s="46"/>
      <c r="U3" s="46"/>
      <c r="V3" s="46"/>
      <c r="W3" s="46"/>
      <c r="X3" s="46"/>
      <c r="Y3" s="46"/>
      <c r="Z3" s="46"/>
      <c r="AA3" s="46"/>
      <c r="AB3" s="46"/>
    </row>
    <row r="4" spans="7:28" ht="16.5" hidden="1" outlineLevel="1" x14ac:dyDescent="0.3">
      <c r="G4" s="7" t="s">
        <v>348</v>
      </c>
      <c r="H4" s="7" t="s">
        <v>595</v>
      </c>
      <c r="L4" s="46"/>
      <c r="M4" s="46"/>
      <c r="N4" s="46"/>
      <c r="O4" s="46"/>
      <c r="P4" s="46"/>
      <c r="Q4" s="46"/>
      <c r="R4" s="46"/>
      <c r="S4" s="46"/>
      <c r="T4" s="46"/>
      <c r="U4" s="46"/>
      <c r="V4" s="46"/>
      <c r="W4" s="46"/>
      <c r="X4" s="46"/>
      <c r="Y4" s="46"/>
      <c r="Z4" s="46"/>
      <c r="AA4" s="46"/>
      <c r="AB4" s="46"/>
    </row>
    <row r="5" spans="7:28" ht="16.5" hidden="1" outlineLevel="1" x14ac:dyDescent="0.3">
      <c r="G5" s="7" t="s">
        <v>373</v>
      </c>
      <c r="H5" s="7" t="s">
        <v>595</v>
      </c>
      <c r="L5" s="46"/>
      <c r="M5" s="46"/>
      <c r="N5" s="46"/>
      <c r="O5" s="46"/>
      <c r="P5" s="46"/>
      <c r="Q5" s="46"/>
      <c r="R5" s="46"/>
      <c r="S5" s="46"/>
      <c r="T5" s="46"/>
      <c r="U5" s="46"/>
      <c r="V5" s="46"/>
      <c r="W5" s="46"/>
      <c r="X5" s="46"/>
      <c r="Y5" s="46"/>
      <c r="Z5" s="46"/>
      <c r="AA5" s="46"/>
      <c r="AB5" s="46"/>
    </row>
    <row r="6" spans="7:28" ht="16.5" hidden="1" outlineLevel="1" x14ac:dyDescent="0.3">
      <c r="G6" s="7" t="s">
        <v>345</v>
      </c>
      <c r="H6" s="7" t="s">
        <v>765</v>
      </c>
      <c r="L6" s="46"/>
      <c r="M6" s="46"/>
      <c r="N6" s="46"/>
      <c r="O6" s="46"/>
      <c r="P6" s="46"/>
      <c r="Q6" s="46"/>
      <c r="R6" s="46"/>
      <c r="S6" s="46"/>
      <c r="T6" s="46"/>
      <c r="U6" s="46"/>
      <c r="V6" s="46"/>
      <c r="W6" s="46"/>
      <c r="X6" s="46"/>
      <c r="Y6" s="46"/>
      <c r="Z6" s="46"/>
      <c r="AA6" s="46"/>
      <c r="AB6" s="46"/>
    </row>
    <row r="7" spans="7:28" ht="16.5" hidden="1" outlineLevel="1" x14ac:dyDescent="0.3">
      <c r="G7" s="7" t="s">
        <v>346</v>
      </c>
      <c r="H7" s="7" t="s">
        <v>765</v>
      </c>
      <c r="L7" s="46"/>
      <c r="M7" s="46"/>
      <c r="N7" s="46"/>
      <c r="O7" s="46"/>
      <c r="P7" s="46"/>
      <c r="Q7" s="46"/>
      <c r="R7" s="46"/>
      <c r="S7" s="46"/>
      <c r="T7" s="46"/>
      <c r="U7" s="46"/>
      <c r="V7" s="46"/>
      <c r="W7" s="46"/>
      <c r="X7" s="46"/>
      <c r="Y7" s="46"/>
      <c r="Z7" s="46"/>
      <c r="AA7" s="46"/>
      <c r="AB7" s="46"/>
    </row>
    <row r="8" spans="7:28" ht="16.5" hidden="1" outlineLevel="1" x14ac:dyDescent="0.3">
      <c r="G8" s="7" t="s">
        <v>347</v>
      </c>
      <c r="H8" s="7" t="s">
        <v>765</v>
      </c>
      <c r="L8" s="46"/>
      <c r="M8" s="46"/>
      <c r="N8" s="46"/>
      <c r="O8" s="46"/>
      <c r="P8" s="46"/>
      <c r="Q8" s="46"/>
      <c r="R8" s="46"/>
      <c r="S8" s="46"/>
      <c r="T8" s="46"/>
      <c r="U8" s="46"/>
      <c r="V8" s="46"/>
      <c r="W8" s="46"/>
      <c r="X8" s="46"/>
      <c r="Y8" s="46"/>
      <c r="Z8" s="46"/>
      <c r="AA8" s="46"/>
      <c r="AB8" s="46"/>
    </row>
    <row r="9" spans="7:28" ht="16.5" hidden="1" outlineLevel="1" x14ac:dyDescent="0.3">
      <c r="G9" s="7" t="s">
        <v>382</v>
      </c>
      <c r="H9" s="7" t="s">
        <v>765</v>
      </c>
      <c r="L9" s="46"/>
      <c r="M9" s="46"/>
      <c r="N9" s="46"/>
      <c r="O9" s="46"/>
      <c r="P9" s="46"/>
      <c r="Q9" s="46"/>
      <c r="R9" s="46"/>
      <c r="S9" s="46"/>
      <c r="T9" s="46"/>
      <c r="U9" s="46"/>
      <c r="V9" s="46"/>
      <c r="W9" s="46"/>
      <c r="X9" s="46"/>
      <c r="Y9" s="46"/>
      <c r="Z9" s="46"/>
      <c r="AA9" s="46"/>
      <c r="AB9" s="46"/>
    </row>
    <row r="10" spans="7:28" ht="16.5" hidden="1" outlineLevel="1" x14ac:dyDescent="0.3">
      <c r="G10" s="7" t="s">
        <v>349</v>
      </c>
      <c r="H10" s="7" t="s">
        <v>766</v>
      </c>
      <c r="L10" s="46"/>
      <c r="M10" s="46"/>
      <c r="N10" s="46"/>
      <c r="O10" s="46"/>
      <c r="P10" s="46"/>
      <c r="Q10" s="46"/>
      <c r="R10" s="46"/>
      <c r="S10" s="46"/>
      <c r="T10" s="46"/>
      <c r="U10" s="46"/>
      <c r="V10" s="46"/>
      <c r="W10" s="46"/>
      <c r="X10" s="46"/>
      <c r="Y10" s="46"/>
      <c r="Z10" s="46"/>
      <c r="AA10" s="46"/>
      <c r="AB10" s="46"/>
    </row>
    <row r="11" spans="7:28" ht="16.5" hidden="1" outlineLevel="1" x14ac:dyDescent="0.3">
      <c r="G11" s="7" t="s">
        <v>300</v>
      </c>
      <c r="H11" s="7" t="s">
        <v>766</v>
      </c>
      <c r="L11" s="46"/>
      <c r="M11" s="46"/>
      <c r="N11" s="46"/>
      <c r="O11" s="46"/>
      <c r="P11" s="46"/>
      <c r="Q11" s="46"/>
      <c r="R11" s="46"/>
      <c r="S11" s="46"/>
      <c r="T11" s="46"/>
      <c r="U11" s="46"/>
      <c r="V11" s="46"/>
      <c r="W11" s="46"/>
      <c r="X11" s="46"/>
      <c r="Y11" s="46"/>
      <c r="Z11" s="46"/>
      <c r="AA11" s="46"/>
      <c r="AB11" s="46"/>
    </row>
    <row r="12" spans="7:28" ht="16.5" hidden="1" outlineLevel="1" x14ac:dyDescent="0.3">
      <c r="G12" s="7" t="s">
        <v>402</v>
      </c>
      <c r="H12" s="7" t="s">
        <v>766</v>
      </c>
      <c r="L12" s="46"/>
      <c r="M12" s="46"/>
      <c r="N12" s="46"/>
      <c r="O12" s="46"/>
      <c r="P12" s="46"/>
      <c r="Q12" s="46"/>
      <c r="R12" s="46"/>
      <c r="S12" s="46"/>
      <c r="T12" s="46"/>
      <c r="U12" s="46"/>
      <c r="V12" s="46"/>
      <c r="W12" s="46"/>
      <c r="X12" s="46"/>
      <c r="Y12" s="46"/>
      <c r="Z12" s="46"/>
      <c r="AA12" s="46"/>
      <c r="AB12" s="46"/>
    </row>
    <row r="13" spans="7:28" ht="16.5" hidden="1" outlineLevel="1" x14ac:dyDescent="0.3">
      <c r="G13" s="7" t="s">
        <v>389</v>
      </c>
      <c r="H13" s="7" t="s">
        <v>766</v>
      </c>
      <c r="L13" s="46"/>
      <c r="M13" s="46"/>
      <c r="N13" s="46"/>
      <c r="O13" s="46"/>
      <c r="P13" s="46"/>
      <c r="Q13" s="46"/>
      <c r="R13" s="46"/>
      <c r="S13" s="46"/>
      <c r="T13" s="46"/>
      <c r="U13" s="46"/>
      <c r="V13" s="46"/>
      <c r="W13" s="46"/>
      <c r="X13" s="46"/>
      <c r="Y13" s="46"/>
      <c r="Z13" s="46"/>
      <c r="AA13" s="46"/>
      <c r="AB13" s="46"/>
    </row>
    <row r="14" spans="7:28" ht="16.5" hidden="1" outlineLevel="1" x14ac:dyDescent="0.3">
      <c r="G14" s="7" t="s">
        <v>767</v>
      </c>
      <c r="H14" s="7" t="s">
        <v>768</v>
      </c>
      <c r="L14" s="46"/>
      <c r="M14" s="46"/>
      <c r="N14" s="46"/>
      <c r="O14" s="46"/>
      <c r="P14" s="46"/>
      <c r="Q14" s="46"/>
      <c r="R14" s="46"/>
      <c r="S14" s="46"/>
      <c r="T14" s="46"/>
      <c r="U14" s="46"/>
      <c r="V14" s="46"/>
      <c r="W14" s="46"/>
      <c r="X14" s="46"/>
      <c r="Y14" s="46"/>
      <c r="Z14" s="46"/>
      <c r="AA14" s="46"/>
      <c r="AB14" s="46"/>
    </row>
    <row r="15" spans="7:28" ht="16.5" hidden="1" outlineLevel="1" x14ac:dyDescent="0.3">
      <c r="G15" s="7" t="s">
        <v>769</v>
      </c>
      <c r="H15" s="7" t="s">
        <v>768</v>
      </c>
      <c r="L15" s="46"/>
      <c r="M15" s="46"/>
      <c r="N15" s="46"/>
      <c r="O15" s="46"/>
      <c r="P15" s="46"/>
      <c r="Q15" s="46"/>
      <c r="R15" s="46"/>
      <c r="S15" s="46"/>
      <c r="T15" s="46"/>
      <c r="U15" s="46"/>
      <c r="V15" s="46"/>
      <c r="W15" s="46"/>
      <c r="X15" s="46"/>
      <c r="Y15" s="46"/>
      <c r="Z15" s="46"/>
      <c r="AA15" s="46"/>
      <c r="AB15" s="46"/>
    </row>
    <row r="16" spans="7:28" ht="16.5" hidden="1" outlineLevel="1" x14ac:dyDescent="0.3">
      <c r="G16" s="7" t="s">
        <v>770</v>
      </c>
      <c r="H16" s="7" t="s">
        <v>768</v>
      </c>
      <c r="L16" s="46"/>
      <c r="M16" s="46"/>
      <c r="N16" s="46"/>
      <c r="O16" s="46"/>
      <c r="P16" s="46"/>
      <c r="Q16" s="46"/>
      <c r="R16" s="46"/>
      <c r="S16" s="46"/>
      <c r="T16" s="46"/>
      <c r="U16" s="46"/>
      <c r="V16" s="46"/>
      <c r="W16" s="46"/>
      <c r="X16" s="46"/>
      <c r="Y16" s="46"/>
      <c r="Z16" s="46"/>
      <c r="AA16" s="46"/>
      <c r="AB16" s="46"/>
    </row>
    <row r="17" spans="2:30" ht="16.5" hidden="1" outlineLevel="1" x14ac:dyDescent="0.3">
      <c r="G17" s="7" t="s">
        <v>771</v>
      </c>
      <c r="H17" s="7" t="s">
        <v>768</v>
      </c>
      <c r="L17" s="46"/>
      <c r="M17" s="46"/>
      <c r="N17" s="46"/>
      <c r="O17" s="46"/>
      <c r="P17" s="46"/>
      <c r="Q17" s="46"/>
      <c r="R17" s="46"/>
      <c r="S17" s="46"/>
      <c r="T17" s="46"/>
      <c r="U17" s="46"/>
      <c r="V17" s="46"/>
      <c r="W17" s="46"/>
      <c r="X17" s="46"/>
      <c r="Y17" s="46"/>
      <c r="Z17" s="46"/>
      <c r="AA17" s="46"/>
      <c r="AB17" s="46"/>
    </row>
    <row r="18" spans="2:30" ht="16.5" hidden="1" outlineLevel="1" x14ac:dyDescent="0.3">
      <c r="G18" s="7" t="s">
        <v>772</v>
      </c>
      <c r="H18" s="7" t="s">
        <v>768</v>
      </c>
      <c r="L18" s="46"/>
      <c r="M18" s="46"/>
      <c r="N18" s="46"/>
      <c r="O18" s="46"/>
      <c r="P18" s="46"/>
      <c r="Q18" s="46"/>
      <c r="R18" s="46"/>
      <c r="S18" s="46"/>
      <c r="T18" s="46"/>
      <c r="U18" s="46"/>
      <c r="V18" s="46"/>
      <c r="W18" s="46"/>
      <c r="X18" s="46"/>
      <c r="Y18" s="46"/>
      <c r="Z18" s="46"/>
      <c r="AA18" s="46"/>
      <c r="AB18" s="46"/>
    </row>
    <row r="19" spans="2:30" ht="16.5" hidden="1" outlineLevel="1" x14ac:dyDescent="0.3">
      <c r="L19" s="46"/>
      <c r="M19" s="46"/>
      <c r="N19" s="46"/>
      <c r="O19" s="46"/>
      <c r="P19" s="46"/>
      <c r="Q19" s="46"/>
      <c r="R19" s="46"/>
      <c r="S19" s="46"/>
      <c r="T19" s="46"/>
      <c r="U19" s="46"/>
      <c r="V19" s="46"/>
      <c r="W19" s="46"/>
      <c r="X19" s="46"/>
      <c r="Y19" s="46"/>
      <c r="Z19" s="46"/>
      <c r="AA19" s="46"/>
      <c r="AB19" s="46"/>
    </row>
    <row r="20" spans="2:30" ht="18" customHeight="1" collapsed="1" x14ac:dyDescent="0.3">
      <c r="B20" s="49">
        <f>IFERROR(
IF(ISBLANK(D20),
DATE(C20,12,1),
DATE(C20,D20,1)),0)</f>
        <v>336</v>
      </c>
      <c r="C20" s="230"/>
      <c r="D20" s="230"/>
      <c r="E20" s="407"/>
      <c r="F20" s="407"/>
      <c r="G20" s="230"/>
      <c r="H20" s="230"/>
      <c r="I20" s="397"/>
      <c r="J20" s="232"/>
      <c r="L20" s="233">
        <v>1</v>
      </c>
      <c r="M20" s="51" t="str">
        <f>CONCATENATE("CP-",U20,"-",MOD(O20,100)*100+P20,"-",L20)</f>
        <v>CP--0-1</v>
      </c>
      <c r="N20" s="63">
        <f>IFERROR(
IF(ISBLANK(P20),
DATE(O20,12,1),
DATE(O20,P20,1)),0)</f>
        <v>336</v>
      </c>
      <c r="O20" s="394"/>
      <c r="P20" s="394"/>
      <c r="Q20" s="407"/>
      <c r="R20" s="407"/>
      <c r="S20" s="230"/>
      <c r="T20" s="230"/>
      <c r="U20" s="230"/>
      <c r="V20" s="230"/>
      <c r="W20" s="408"/>
      <c r="X20" s="176"/>
      <c r="Y20" s="409">
        <f>X20*W20/(1+X20)</f>
        <v>0</v>
      </c>
      <c r="Z20" s="48">
        <f>W20-Y20</f>
        <v>0</v>
      </c>
      <c r="AA20" s="235"/>
      <c r="AB20" s="235"/>
      <c r="AD20" s="7" t="str" cm="1">
        <f t="array" ref="AD20">IF(T20="Khách hàng",TRANSPOSE(_xlfn._xlws.SORT(Table_KhachHang[Mã KH])),
IF(T20="NSNN", TRANSPOSE(_xlfn._xlws.SORT(Table_NopNS_NganSach[Loại thuế])),
TRANSPOSE(_xlfn._xlws.SORT(_xlfn._xlws.FILTER(Table_NhaCungCap[Mã Đối tác],Table_NhaCungCap[Loại đối tác]=T20,"")))))</f>
        <v/>
      </c>
    </row>
    <row r="21" spans="2:30" ht="18" customHeight="1" x14ac:dyDescent="0.3">
      <c r="B21" s="42" t="s">
        <v>3</v>
      </c>
      <c r="C21" s="42" t="s">
        <v>2</v>
      </c>
      <c r="D21" s="42" t="s">
        <v>1</v>
      </c>
      <c r="E21" s="7" t="s">
        <v>645</v>
      </c>
      <c r="F21" s="7" t="s">
        <v>646</v>
      </c>
      <c r="G21" s="42" t="s">
        <v>134</v>
      </c>
      <c r="H21" s="42" t="s">
        <v>588</v>
      </c>
      <c r="I21" s="42" t="s">
        <v>761</v>
      </c>
      <c r="J21" s="7" t="s">
        <v>883</v>
      </c>
      <c r="L21" s="7" t="s">
        <v>643</v>
      </c>
      <c r="M21" s="7" t="s">
        <v>644</v>
      </c>
      <c r="N21" s="7" t="s">
        <v>3</v>
      </c>
      <c r="O21" s="7" t="s">
        <v>2</v>
      </c>
      <c r="P21" s="7" t="s">
        <v>1</v>
      </c>
      <c r="Q21" s="7" t="s">
        <v>645</v>
      </c>
      <c r="R21" s="7" t="s">
        <v>646</v>
      </c>
      <c r="S21" s="7" t="s">
        <v>130</v>
      </c>
      <c r="T21" s="7" t="s">
        <v>762</v>
      </c>
      <c r="U21" s="7" t="s">
        <v>763</v>
      </c>
      <c r="V21" s="7" t="s">
        <v>16</v>
      </c>
      <c r="W21" s="7" t="s">
        <v>21</v>
      </c>
      <c r="X21" s="7" t="s">
        <v>764</v>
      </c>
      <c r="Y21" s="7" t="s">
        <v>686</v>
      </c>
      <c r="Z21" s="7" t="s">
        <v>657</v>
      </c>
      <c r="AA21" s="7" t="s">
        <v>883</v>
      </c>
      <c r="AB21" s="7" t="s">
        <v>1253</v>
      </c>
    </row>
    <row r="22" spans="2:30" ht="18" customHeight="1" x14ac:dyDescent="0.3">
      <c r="B22" s="501">
        <f>IFERROR(
IF(ISBLANK(D22),
DATE(C22,12,1),
DATE(C22,D22,1)),0)</f>
        <v>336</v>
      </c>
      <c r="C22" s="502"/>
      <c r="D22" s="230"/>
      <c r="E22" s="407"/>
      <c r="F22" s="407"/>
      <c r="G22" s="230"/>
      <c r="H22" s="230"/>
      <c r="I22" s="503"/>
      <c r="J22" s="232"/>
      <c r="L22" s="233">
        <v>1</v>
      </c>
      <c r="M22" s="51" t="str">
        <f>CONCATENATE("CP-",U22,"-",MOD(O22,100)*100+P22,"-",L22)</f>
        <v>CP--0-1</v>
      </c>
      <c r="N22" s="63">
        <f>IFERROR(
IF(ISBLANK(Table_ChiPhiKD[[#This Row],[Tháng]]),
DATE(Table_ChiPhiKD[[#This Row],[Năm]],12,1),
DATE(Table_ChiPhiKD[[#This Row],[Năm]],Table_ChiPhiKD[[#This Row],[Tháng]],1)),0)</f>
        <v>336</v>
      </c>
      <c r="O22" s="15"/>
      <c r="P22" s="15"/>
      <c r="Q22" s="407"/>
      <c r="R22" s="407"/>
      <c r="S22" s="7"/>
      <c r="T22" s="7"/>
      <c r="W22" s="212"/>
      <c r="X22" s="45"/>
      <c r="Y22" s="234">
        <f>Table_ChiPhiKD[[#This Row],[Tỷ suất VAT kháu trừ]]*Table_ChiPhiKD[[#This Row],[Giá trị]]/(1+Table_ChiPhiKD[[#This Row],[Tỷ suất VAT kháu trừ]])</f>
        <v>0</v>
      </c>
      <c r="Z22" s="226">
        <f>Table_ChiPhiKD[[#This Row],[Giá trị]]-Table_ChiPhiKD[[#This Row],[VAT khấu trừ]]</f>
        <v>0</v>
      </c>
      <c r="AA22" s="235"/>
      <c r="AB22" s="241" cm="1">
        <f t="array" ref="AB22"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f>
        <v>0</v>
      </c>
    </row>
    <row r="38" spans="1:1" ht="18" customHeight="1" x14ac:dyDescent="0.3">
      <c r="A38" s="7"/>
    </row>
  </sheetData>
  <sheetProtection algorithmName="SHA-512" hashValue="fX81mvfCzvBKzfBFw5K/jQnQd5u6kdB8ZflQtrTEk7OvMdkJG6io12SO+aNJuYQUI/B7u34h4oi+541kiwBHpQ==" saltValue="YTINgc7/MY7giT2Ft5ihBA==" spinCount="100000" sheet="1" scenarios="1" formatCells="0" formatColumns="0" formatRows="0" insertColumns="0" insertRows="0" deleteColumns="0" deleteRows="0" sort="0" autoFilter="0" pivotTables="0"/>
  <protectedRanges>
    <protectedRange sqref="U22" name="Range1_1"/>
  </protectedRanges>
  <phoneticPr fontId="14" type="noConversion"/>
  <conditionalFormatting sqref="M20 M22">
    <cfRule type="expression" dxfId="230" priority="281">
      <formula>MATCH($M$20,$M$22:$M$22,0)</formula>
    </cfRule>
  </conditionalFormatting>
  <dataValidations count="6">
    <dataValidation type="list" allowBlank="1" showInputMessage="1" showErrorMessage="1" sqref="H20 H22" xr:uid="{0DBD9B61-CDC5-4E54-BE9B-072DEB055D86}">
      <formula1>"Sản xuất, Phi Sản xuất"</formula1>
    </dataValidation>
    <dataValidation type="list" errorStyle="warning" allowBlank="1" showInputMessage="1" showErrorMessage="1" sqref="U20" xr:uid="{76FF6BBA-7939-4B3A-BEA0-F9C2E7630B81}">
      <formula1>_xlfn.ANCHORARRAY($AD$20)</formula1>
    </dataValidation>
    <dataValidation type="list" allowBlank="1" showInputMessage="1" showErrorMessage="1" sqref="S22" xr:uid="{BF0711AB-3ACC-4702-A2D2-6800A55FAFA7}">
      <formula1>NhomChiPhi</formula1>
    </dataValidation>
    <dataValidation type="list" errorStyle="warning" allowBlank="1" showInputMessage="1" sqref="U22" xr:uid="{755E79CB-39B7-4C25-95F2-5A68DD63F167}">
      <formula1>_xlfn.ANCHORARRAY($AD$20)</formula1>
    </dataValidation>
    <dataValidation type="list" errorStyle="warning" allowBlank="1" showInputMessage="1" showErrorMessage="1" sqref="S20" xr:uid="{D6280BA9-FE83-42B1-94DF-3B334D90FD6E}">
      <formula1>NhomChiPhi</formula1>
    </dataValidation>
    <dataValidation type="list" allowBlank="1" showInputMessage="1" showErrorMessage="1" sqref="G20 G22" xr:uid="{F2B6669B-065A-428B-9970-2DBEA9A17423}">
      <formula1>$G$14:$G$18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AddRow">
                <anchor moveWithCells="1">
                  <from>
                    <xdr:col>2</xdr:col>
                    <xdr:colOff>47625</xdr:colOff>
                    <xdr:row>0</xdr:row>
                    <xdr:rowOff>142875</xdr:rowOff>
                  </from>
                  <to>
                    <xdr:col>3</xdr:col>
                    <xdr:colOff>95250</xdr:colOff>
                    <xdr:row>0</xdr:row>
                    <xdr:rowOff>400050</xdr:rowOff>
                  </to>
                </anchor>
              </controlPr>
            </control>
          </mc:Choice>
        </mc:AlternateContent>
        <mc:AlternateContent xmlns:mc="http://schemas.openxmlformats.org/markup-compatibility/2006">
          <mc:Choice Requires="x14">
            <control shapeId="71682" r:id="rId5" name="Button 2">
              <controlPr defaultSize="0" print="0" autoFill="0" autoPict="0" macro="[0]!DeleteRow">
                <anchor moveWithCells="1">
                  <from>
                    <xdr:col>3</xdr:col>
                    <xdr:colOff>247650</xdr:colOff>
                    <xdr:row>0</xdr:row>
                    <xdr:rowOff>142875</xdr:rowOff>
                  </from>
                  <to>
                    <xdr:col>4</xdr:col>
                    <xdr:colOff>266700</xdr:colOff>
                    <xdr:row>0</xdr:row>
                    <xdr:rowOff>400050</xdr:rowOff>
                  </to>
                </anchor>
              </controlPr>
            </control>
          </mc:Choice>
        </mc:AlternateContent>
        <mc:AlternateContent xmlns:mc="http://schemas.openxmlformats.org/markup-compatibility/2006">
          <mc:Choice Requires="x14">
            <control shapeId="71683" r:id="rId6" name="Button 3">
              <controlPr defaultSize="0" print="0" autoFill="0" autoPict="0" macro="[0]!AddColumn">
                <anchor moveWithCells="1">
                  <from>
                    <xdr:col>8</xdr:col>
                    <xdr:colOff>219075</xdr:colOff>
                    <xdr:row>0</xdr:row>
                    <xdr:rowOff>142875</xdr:rowOff>
                  </from>
                  <to>
                    <xdr:col>8</xdr:col>
                    <xdr:colOff>733425</xdr:colOff>
                    <xdr:row>0</xdr:row>
                    <xdr:rowOff>400050</xdr:rowOff>
                  </to>
                </anchor>
              </controlPr>
            </control>
          </mc:Choice>
        </mc:AlternateContent>
        <mc:AlternateContent xmlns:mc="http://schemas.openxmlformats.org/markup-compatibility/2006">
          <mc:Choice Requires="x14">
            <control shapeId="71684" r:id="rId7" name="Button 4">
              <controlPr defaultSize="0" print="0" autoFill="0" autoPict="0" macro="[0]!DeleteColumn">
                <anchor moveWithCells="1">
                  <from>
                    <xdr:col>9</xdr:col>
                    <xdr:colOff>85725</xdr:colOff>
                    <xdr:row>0</xdr:row>
                    <xdr:rowOff>142875</xdr:rowOff>
                  </from>
                  <to>
                    <xdr:col>9</xdr:col>
                    <xdr:colOff>628650</xdr:colOff>
                    <xdr:row>0</xdr:row>
                    <xdr:rowOff>400050</xdr:rowOff>
                  </to>
                </anchor>
              </controlPr>
            </control>
          </mc:Choice>
        </mc:AlternateContent>
        <mc:AlternateContent xmlns:mc="http://schemas.openxmlformats.org/markup-compatibility/2006">
          <mc:Choice Requires="x14">
            <control shapeId="71685" r:id="rId8" name="Button 5">
              <controlPr defaultSize="0" print="0" autoFill="0" autoPict="0" macro="[0]!AddRow">
                <anchor moveWithCells="1">
                  <from>
                    <xdr:col>11</xdr:col>
                    <xdr:colOff>85725</xdr:colOff>
                    <xdr:row>0</xdr:row>
                    <xdr:rowOff>104775</xdr:rowOff>
                  </from>
                  <to>
                    <xdr:col>12</xdr:col>
                    <xdr:colOff>152400</xdr:colOff>
                    <xdr:row>0</xdr:row>
                    <xdr:rowOff>361950</xdr:rowOff>
                  </to>
                </anchor>
              </controlPr>
            </control>
          </mc:Choice>
        </mc:AlternateContent>
        <mc:AlternateContent xmlns:mc="http://schemas.openxmlformats.org/markup-compatibility/2006">
          <mc:Choice Requires="x14">
            <control shapeId="71686" r:id="rId9" name="Button 6">
              <controlPr defaultSize="0" print="0" autoFill="0" autoPict="0" macro="[0]!DeleteRow">
                <anchor moveWithCells="1">
                  <from>
                    <xdr:col>12</xdr:col>
                    <xdr:colOff>304800</xdr:colOff>
                    <xdr:row>0</xdr:row>
                    <xdr:rowOff>104775</xdr:rowOff>
                  </from>
                  <to>
                    <xdr:col>13</xdr:col>
                    <xdr:colOff>19050</xdr:colOff>
                    <xdr:row>0</xdr:row>
                    <xdr:rowOff>361950</xdr:rowOff>
                  </to>
                </anchor>
              </controlPr>
            </control>
          </mc:Choice>
        </mc:AlternateContent>
        <mc:AlternateContent xmlns:mc="http://schemas.openxmlformats.org/markup-compatibility/2006">
          <mc:Choice Requires="x14">
            <control shapeId="71687" r:id="rId10" name="Button 7">
              <controlPr defaultSize="0" print="0" autoFill="0" autoPict="0" macro="[0]!AddColumn">
                <anchor moveWithCells="1">
                  <from>
                    <xdr:col>23</xdr:col>
                    <xdr:colOff>838200</xdr:colOff>
                    <xdr:row>0</xdr:row>
                    <xdr:rowOff>104775</xdr:rowOff>
                  </from>
                  <to>
                    <xdr:col>24</xdr:col>
                    <xdr:colOff>447675</xdr:colOff>
                    <xdr:row>0</xdr:row>
                    <xdr:rowOff>361950</xdr:rowOff>
                  </to>
                </anchor>
              </controlPr>
            </control>
          </mc:Choice>
        </mc:AlternateContent>
        <mc:AlternateContent xmlns:mc="http://schemas.openxmlformats.org/markup-compatibility/2006">
          <mc:Choice Requires="x14">
            <control shapeId="71688" r:id="rId11" name="Button 8">
              <controlPr defaultSize="0" print="0" autoFill="0" autoPict="0" macro="[0]!DeleteColumn">
                <anchor moveWithCells="1">
                  <from>
                    <xdr:col>24</xdr:col>
                    <xdr:colOff>581025</xdr:colOff>
                    <xdr:row>0</xdr:row>
                    <xdr:rowOff>104775</xdr:rowOff>
                  </from>
                  <to>
                    <xdr:col>25</xdr:col>
                    <xdr:colOff>504825</xdr:colOff>
                    <xdr:row>0</xdr:row>
                    <xdr:rowOff>361950</xdr:rowOff>
                  </to>
                </anchor>
              </controlPr>
            </control>
          </mc:Choice>
        </mc:AlternateContent>
        <mc:AlternateContent xmlns:mc="http://schemas.openxmlformats.org/markup-compatibility/2006">
          <mc:Choice Requires="x14">
            <control shapeId="71690" r:id="rId12" name="Button 10">
              <controlPr defaultSize="0" print="0" autoFill="0" autoPict="0" macro="[0]!CopyToTable">
                <anchor moveWithCells="1">
                  <from>
                    <xdr:col>9</xdr:col>
                    <xdr:colOff>390525</xdr:colOff>
                    <xdr:row>19</xdr:row>
                    <xdr:rowOff>171450</xdr:rowOff>
                  </from>
                  <to>
                    <xdr:col>9</xdr:col>
                    <xdr:colOff>933450</xdr:colOff>
                    <xdr:row>20</xdr:row>
                    <xdr:rowOff>200025</xdr:rowOff>
                  </to>
                </anchor>
              </controlPr>
            </control>
          </mc:Choice>
        </mc:AlternateContent>
        <mc:AlternateContent xmlns:mc="http://schemas.openxmlformats.org/markup-compatibility/2006">
          <mc:Choice Requires="x14">
            <control shapeId="71693" r:id="rId13" name="Option Button 13">
              <controlPr defaultSize="0" autoFill="0" autoLine="0" autoPict="0" macro="[0]!DoiDonViHienThi">
                <anchor moveWithCells="1">
                  <from>
                    <xdr:col>16</xdr:col>
                    <xdr:colOff>495300</xdr:colOff>
                    <xdr:row>0</xdr:row>
                    <xdr:rowOff>152400</xdr:rowOff>
                  </from>
                  <to>
                    <xdr:col>17</xdr:col>
                    <xdr:colOff>304800</xdr:colOff>
                    <xdr:row>0</xdr:row>
                    <xdr:rowOff>428625</xdr:rowOff>
                  </to>
                </anchor>
              </controlPr>
            </control>
          </mc:Choice>
        </mc:AlternateContent>
        <mc:AlternateContent xmlns:mc="http://schemas.openxmlformats.org/markup-compatibility/2006">
          <mc:Choice Requires="x14">
            <control shapeId="71694" r:id="rId14" name="Option Button 14">
              <controlPr defaultSize="0" autoFill="0" autoLine="0" autoPict="0" macro="[0]!DoiDonViHienThi">
                <anchor moveWithCells="1">
                  <from>
                    <xdr:col>17</xdr:col>
                    <xdr:colOff>180975</xdr:colOff>
                    <xdr:row>0</xdr:row>
                    <xdr:rowOff>152400</xdr:rowOff>
                  </from>
                  <to>
                    <xdr:col>17</xdr:col>
                    <xdr:colOff>771525</xdr:colOff>
                    <xdr:row>0</xdr:row>
                    <xdr:rowOff>428625</xdr:rowOff>
                  </to>
                </anchor>
              </controlPr>
            </control>
          </mc:Choice>
        </mc:AlternateContent>
        <mc:AlternateContent xmlns:mc="http://schemas.openxmlformats.org/markup-compatibility/2006">
          <mc:Choice Requires="x14">
            <control shapeId="71695" r:id="rId15" name="Option Button 15">
              <controlPr defaultSize="0" autoFill="0" autoLine="0" autoPict="0" macro="[0]!DoiDonViHienThi">
                <anchor moveWithCells="1">
                  <from>
                    <xdr:col>17</xdr:col>
                    <xdr:colOff>647700</xdr:colOff>
                    <xdr:row>0</xdr:row>
                    <xdr:rowOff>152400</xdr:rowOff>
                  </from>
                  <to>
                    <xdr:col>18</xdr:col>
                    <xdr:colOff>361950</xdr:colOff>
                    <xdr:row>0</xdr:row>
                    <xdr:rowOff>428625</xdr:rowOff>
                  </to>
                </anchor>
              </controlPr>
            </control>
          </mc:Choice>
        </mc:AlternateContent>
        <mc:AlternateContent xmlns:mc="http://schemas.openxmlformats.org/markup-compatibility/2006">
          <mc:Choice Requires="x14">
            <control shapeId="71696" r:id="rId16" name="Option Button 16">
              <controlPr defaultSize="0" autoFill="0" autoLine="0" autoPict="0" macro="[0]!DoiDonViHienThi">
                <anchor moveWithCells="1">
                  <from>
                    <xdr:col>18</xdr:col>
                    <xdr:colOff>247650</xdr:colOff>
                    <xdr:row>0</xdr:row>
                    <xdr:rowOff>152400</xdr:rowOff>
                  </from>
                  <to>
                    <xdr:col>18</xdr:col>
                    <xdr:colOff>600075</xdr:colOff>
                    <xdr:row>0</xdr:row>
                    <xdr:rowOff>428625</xdr:rowOff>
                  </to>
                </anchor>
              </controlPr>
            </control>
          </mc:Choice>
        </mc:AlternateContent>
        <mc:AlternateContent xmlns:mc="http://schemas.openxmlformats.org/markup-compatibility/2006">
          <mc:Choice Requires="x14">
            <control shapeId="71697" r:id="rId17" name="Group Box 17">
              <controlPr defaultSize="0" autoFill="0" autoPict="0">
                <anchor moveWithCells="1">
                  <from>
                    <xdr:col>16</xdr:col>
                    <xdr:colOff>381000</xdr:colOff>
                    <xdr:row>0</xdr:row>
                    <xdr:rowOff>104775</xdr:rowOff>
                  </from>
                  <to>
                    <xdr:col>18</xdr:col>
                    <xdr:colOff>714375</xdr:colOff>
                    <xdr:row>0</xdr:row>
                    <xdr:rowOff>466725</xdr:rowOff>
                  </to>
                </anchor>
              </controlPr>
            </control>
          </mc:Choice>
        </mc:AlternateContent>
        <mc:AlternateContent xmlns:mc="http://schemas.openxmlformats.org/markup-compatibility/2006">
          <mc:Choice Requires="x14">
            <control shapeId="71698" r:id="rId18" name="Group Box 18">
              <controlPr defaultSize="0" autoFill="0" autoPict="0">
                <anchor moveWithCells="1">
                  <from>
                    <xdr:col>13</xdr:col>
                    <xdr:colOff>104775</xdr:colOff>
                    <xdr:row>0</xdr:row>
                    <xdr:rowOff>104775</xdr:rowOff>
                  </from>
                  <to>
                    <xdr:col>16</xdr:col>
                    <xdr:colOff>333375</xdr:colOff>
                    <xdr:row>0</xdr:row>
                    <xdr:rowOff>466725</xdr:rowOff>
                  </to>
                </anchor>
              </controlPr>
            </control>
          </mc:Choice>
        </mc:AlternateContent>
        <mc:AlternateContent xmlns:mc="http://schemas.openxmlformats.org/markup-compatibility/2006">
          <mc:Choice Requires="x14">
            <control shapeId="71699" r:id="rId19" name="Button 19">
              <controlPr defaultSize="0" autoFill="0" autoPict="0" macro="[0]!NhanNghin">
                <anchor moveWithCells="1">
                  <from>
                    <xdr:col>13</xdr:col>
                    <xdr:colOff>190500</xdr:colOff>
                    <xdr:row>0</xdr:row>
                    <xdr:rowOff>200025</xdr:rowOff>
                  </from>
                  <to>
                    <xdr:col>14</xdr:col>
                    <xdr:colOff>228600</xdr:colOff>
                    <xdr:row>0</xdr:row>
                    <xdr:rowOff>371475</xdr:rowOff>
                  </to>
                </anchor>
              </controlPr>
            </control>
          </mc:Choice>
        </mc:AlternateContent>
        <mc:AlternateContent xmlns:mc="http://schemas.openxmlformats.org/markup-compatibility/2006">
          <mc:Choice Requires="x14">
            <control shapeId="71700" r:id="rId20" name="Button 20">
              <controlPr defaultSize="0" autoFill="0" autoPict="0" macro="[0]!NhanTrieu">
                <anchor moveWithCells="1">
                  <from>
                    <xdr:col>14</xdr:col>
                    <xdr:colOff>276225</xdr:colOff>
                    <xdr:row>0</xdr:row>
                    <xdr:rowOff>200025</xdr:rowOff>
                  </from>
                  <to>
                    <xdr:col>15</xdr:col>
                    <xdr:colOff>285750</xdr:colOff>
                    <xdr:row>0</xdr:row>
                    <xdr:rowOff>371475</xdr:rowOff>
                  </to>
                </anchor>
              </controlPr>
            </control>
          </mc:Choice>
        </mc:AlternateContent>
        <mc:AlternateContent xmlns:mc="http://schemas.openxmlformats.org/markup-compatibility/2006">
          <mc:Choice Requires="x14">
            <control shapeId="71701" r:id="rId21" name="Button 21">
              <controlPr defaultSize="0" autoFill="0" autoPict="0" macro="[0]!NhanTy">
                <anchor moveWithCells="1">
                  <from>
                    <xdr:col>15</xdr:col>
                    <xdr:colOff>333375</xdr:colOff>
                    <xdr:row>0</xdr:row>
                    <xdr:rowOff>200025</xdr:rowOff>
                  </from>
                  <to>
                    <xdr:col>16</xdr:col>
                    <xdr:colOff>257175</xdr:colOff>
                    <xdr:row>0</xdr:row>
                    <xdr:rowOff>371475</xdr:rowOff>
                  </to>
                </anchor>
              </controlPr>
            </control>
          </mc:Choice>
        </mc:AlternateContent>
        <mc:AlternateContent xmlns:mc="http://schemas.openxmlformats.org/markup-compatibility/2006">
          <mc:Choice Requires="x14">
            <control shapeId="71689" r:id="rId22" name="Button 9">
              <controlPr defaultSize="0" print="0" autoFill="0" autoPict="0" macro="[0]!CopyToTable">
                <anchor moveWithCells="1">
                  <from>
                    <xdr:col>26</xdr:col>
                    <xdr:colOff>38100</xdr:colOff>
                    <xdr:row>19</xdr:row>
                    <xdr:rowOff>152400</xdr:rowOff>
                  </from>
                  <to>
                    <xdr:col>27</xdr:col>
                    <xdr:colOff>66675</xdr:colOff>
                    <xdr:row>20</xdr:row>
                    <xdr:rowOff>180975</xdr:rowOff>
                  </to>
                </anchor>
              </controlPr>
            </control>
          </mc:Choice>
        </mc:AlternateContent>
      </controls>
    </mc:Choice>
  </mc:AlternateContent>
  <tableParts count="3">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1" id="{D841F023-E635-4D28-B5FF-F0F0CEE6F2D7}">
            <xm:f>Security!$A$1="NO VBA"</xm:f>
            <x14:dxf>
              <font>
                <color theme="0"/>
              </font>
              <border>
                <vertical/>
                <horizontal/>
              </border>
            </x14:dxf>
          </x14:cfRule>
          <xm:sqref>A1:XFD19 A27:XFD1048576 A20:K26 AE20:XFD26 L20:AD22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E513A9-3AA1-412B-9D4D-970A83C22797}">
          <x14:formula1>
            <xm:f>Sheet_ThuChiKD!$G$14:$G$26</xm:f>
          </x14:formula1>
          <xm:sqref>T20</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55C2-D3AE-4AD4-8D35-C131C5B26C26}">
  <sheetPr codeName="Sheet7"/>
  <dimension ref="B2:W36"/>
  <sheetViews>
    <sheetView showGridLines="0" zoomScale="130" zoomScaleNormal="130" workbookViewId="0">
      <selection activeCell="M29" sqref="M29"/>
    </sheetView>
  </sheetViews>
  <sheetFormatPr defaultRowHeight="14.25" x14ac:dyDescent="0.3"/>
  <cols>
    <col min="1" max="1" width="1.75" style="386" customWidth="1"/>
    <col min="2" max="2" width="18.625" style="386" customWidth="1"/>
    <col min="3" max="3" width="9" style="386" customWidth="1"/>
    <col min="4" max="4" width="10" style="386" customWidth="1"/>
    <col min="5" max="5" width="9" style="386"/>
    <col min="6" max="6" width="7.375" style="386" customWidth="1"/>
    <col min="7" max="7" width="9" style="386"/>
    <col min="8" max="8" width="7.75" style="386" customWidth="1"/>
    <col min="9" max="9" width="7.875" style="386" customWidth="1"/>
    <col min="10" max="10" width="9.5" style="386" customWidth="1"/>
    <col min="11" max="11" width="7.25" style="386" customWidth="1"/>
    <col min="12" max="16" width="9" style="386"/>
    <col min="17" max="17" width="11.25" style="386" customWidth="1"/>
    <col min="18" max="22" width="9" style="386"/>
    <col min="23" max="23" width="11.5" style="386" customWidth="1"/>
    <col min="24" max="16384" width="9" style="386"/>
  </cols>
  <sheetData>
    <row r="2" spans="2:23" ht="19.5" customHeight="1" x14ac:dyDescent="0.3"/>
    <row r="3" spans="2:23" x14ac:dyDescent="0.3">
      <c r="B3" s="385" t="s">
        <v>907</v>
      </c>
      <c r="C3" s="385"/>
    </row>
    <row r="4" spans="2:23" x14ac:dyDescent="0.3">
      <c r="B4" s="387" t="s">
        <v>906</v>
      </c>
      <c r="C4" s="432" t="str" cm="1">
        <f t="array" ref="C4">Code128(MaIn)</f>
        <v>ÌEasyFIRMaÎ</v>
      </c>
    </row>
    <row r="5" spans="2:23" x14ac:dyDescent="0.3">
      <c r="C5" s="388"/>
    </row>
    <row r="6" spans="2:23" x14ac:dyDescent="0.3">
      <c r="B6" s="386" t="s">
        <v>908</v>
      </c>
      <c r="D6" s="386" t="s">
        <v>908</v>
      </c>
      <c r="F6" s="388"/>
      <c r="G6" s="386" t="s">
        <v>909</v>
      </c>
      <c r="J6" s="386" t="s">
        <v>909</v>
      </c>
      <c r="M6" s="386" t="s">
        <v>911</v>
      </c>
      <c r="S6" s="386" t="s">
        <v>911</v>
      </c>
    </row>
    <row r="9" spans="2:23" x14ac:dyDescent="0.3">
      <c r="E9" s="389" t="str">
        <f>MaIn</f>
        <v>EasyFIRM</v>
      </c>
      <c r="K9" s="390" t="str">
        <f>MaIn</f>
        <v>EasyFIRM</v>
      </c>
    </row>
    <row r="10" spans="2:23" x14ac:dyDescent="0.3">
      <c r="E10" s="15" t="str" cm="1">
        <f t="array" ref="E10">IFERROR(VLOOKUP(MaIn,Table_SKU[],Table_SKU[[#Headers],[Mã SKU]:[Giá bán]],0),"")</f>
        <v/>
      </c>
      <c r="K10" s="15" t="str" cm="1">
        <f t="array" ref="K10">IFERROR(VLOOKUP(MaIn,Table_SKU[],Table_SKU[[#Headers],[Mã SKU]:[Giá bán]],0),"")</f>
        <v/>
      </c>
    </row>
    <row r="11" spans="2:23" x14ac:dyDescent="0.3">
      <c r="B11" s="389" t="str">
        <f>MaIn</f>
        <v>EasyFIRM</v>
      </c>
      <c r="G11" s="390" t="str">
        <f>MaIn</f>
        <v>EasyFIRM</v>
      </c>
      <c r="H11" s="15" t="str" cm="1">
        <f t="array" ref="H11">IFERROR(VLOOKUP(MaIn,Table_SKU[],Table_SKU[[#Headers],[Mã SKU]:[Giá bán]],0),"")</f>
        <v/>
      </c>
    </row>
    <row r="12" spans="2:23" x14ac:dyDescent="0.3">
      <c r="B12" s="391" t="str" cm="1">
        <f t="array" ref="B12">IFERROR(VLOOKUP(MaIn,Table_SKU[],Table_SKU[[#Headers],[Mã SKU]:[Giá bán]],0),"")</f>
        <v/>
      </c>
    </row>
    <row r="13" spans="2:23" ht="17.25" x14ac:dyDescent="0.3">
      <c r="M13" s="383" t="str">
        <f>Sheet_DonBan!B1</f>
        <v>Công ty ABC XYZ</v>
      </c>
      <c r="N13" s="248"/>
      <c r="O13" s="248"/>
      <c r="P13" s="383" t="str">
        <f>Sheet_DonBan!Q1</f>
        <v>ĐƠN BÁN HÀNG</v>
      </c>
      <c r="Q13" s="248"/>
      <c r="S13" s="383" t="str">
        <f>Sheet_VanDon!B1</f>
        <v>Công ty ABC XYZ</v>
      </c>
      <c r="T13" s="248"/>
      <c r="U13" s="248"/>
      <c r="V13" s="383" t="str">
        <f>Sheet_VanDon!I1</f>
        <v>PHIẾU GIAO HÀNG</v>
      </c>
      <c r="W13" s="248"/>
    </row>
    <row r="14" spans="2:23" x14ac:dyDescent="0.3">
      <c r="M14" s="249" t="str">
        <f>Sheet_DonBan!B4</f>
        <v>[Địa chỉ]</v>
      </c>
      <c r="N14" s="249"/>
      <c r="O14" s="249"/>
      <c r="P14" s="249" t="str">
        <f>Sheet_DonBan!P4</f>
        <v>BAN--100-1</v>
      </c>
      <c r="Q14" s="248"/>
      <c r="S14" s="249" t="str">
        <f>Sheet_VanDon!B4</f>
        <v>[Địa chỉ]</v>
      </c>
      <c r="T14" s="249"/>
      <c r="U14" s="249"/>
      <c r="V14" s="249" t="str">
        <f>Sheet_VanDon!H4</f>
        <v>GIAO--100-1</v>
      </c>
      <c r="W14" s="248"/>
    </row>
    <row r="15" spans="2:23" x14ac:dyDescent="0.3">
      <c r="M15" s="249" t="str">
        <f>Sheet_DonBan!B6</f>
        <v>[SĐT - Fax]</v>
      </c>
      <c r="N15" s="249"/>
      <c r="O15" s="249"/>
      <c r="P15" s="446">
        <f>Sheet_DonBan!P5</f>
        <v>0</v>
      </c>
      <c r="Q15" s="248"/>
      <c r="S15" s="249" t="str">
        <f>Sheet_VanDon!B6</f>
        <v>[SĐT - Fax]</v>
      </c>
      <c r="T15" s="249"/>
      <c r="U15" s="249"/>
      <c r="V15" s="446">
        <f>Sheet_VanDon!H5</f>
        <v>0</v>
      </c>
      <c r="W15" s="248"/>
    </row>
    <row r="16" spans="2:23" x14ac:dyDescent="0.3">
      <c r="M16" s="248"/>
      <c r="N16" s="248"/>
      <c r="O16" s="248"/>
      <c r="P16" s="248"/>
      <c r="Q16" s="248"/>
      <c r="S16" s="248"/>
      <c r="T16" s="248"/>
      <c r="U16" s="248"/>
      <c r="V16" s="248"/>
      <c r="W16" s="248"/>
    </row>
    <row r="17" spans="13:23" x14ac:dyDescent="0.3">
      <c r="M17" s="384" t="s">
        <v>173</v>
      </c>
      <c r="N17" s="384" t="str">
        <f>Sheet_DonBan!E11</f>
        <v/>
      </c>
      <c r="O17" s="384"/>
      <c r="P17" s="384"/>
      <c r="Q17" s="384"/>
      <c r="S17" s="384" t="s">
        <v>173</v>
      </c>
      <c r="T17" s="384" t="str">
        <f>Sheet_VanDon!F12</f>
        <v/>
      </c>
      <c r="U17" s="384"/>
      <c r="V17" s="384"/>
      <c r="W17" s="384"/>
    </row>
    <row r="18" spans="13:23" x14ac:dyDescent="0.3">
      <c r="M18" s="384"/>
      <c r="N18" s="384" t="str">
        <f>Sheet_DonBan!E12</f>
        <v xml:space="preserve"> -  - </v>
      </c>
      <c r="O18" s="384"/>
      <c r="P18" s="384"/>
      <c r="Q18" s="384"/>
      <c r="S18" s="384"/>
      <c r="T18" s="384" t="str">
        <f>Sheet_VanDon!F13</f>
        <v xml:space="preserve"> -  - </v>
      </c>
      <c r="U18" s="384"/>
      <c r="V18" s="384"/>
      <c r="W18" s="384"/>
    </row>
    <row r="19" spans="13:23" x14ac:dyDescent="0.3">
      <c r="M19" s="384"/>
      <c r="N19" s="384" t="str">
        <f>Sheet_DonBan!E13</f>
        <v/>
      </c>
      <c r="O19" s="384"/>
      <c r="P19" s="384"/>
      <c r="Q19" s="384"/>
      <c r="S19" s="384"/>
      <c r="T19" s="384" t="str">
        <f>Sheet_VanDon!F14</f>
        <v/>
      </c>
      <c r="U19" s="384"/>
      <c r="V19" s="384"/>
      <c r="W19" s="384"/>
    </row>
    <row r="20" spans="13:23" ht="17.25" x14ac:dyDescent="0.3">
      <c r="M20" s="249" t="s">
        <v>707</v>
      </c>
      <c r="N20" s="249"/>
      <c r="O20" s="346"/>
      <c r="P20" s="249" t="s">
        <v>30</v>
      </c>
      <c r="Q20" s="249" t="s">
        <v>709</v>
      </c>
      <c r="S20" s="249" t="s">
        <v>707</v>
      </c>
      <c r="T20" s="249"/>
      <c r="U20" s="346"/>
      <c r="V20" s="249" t="s">
        <v>30</v>
      </c>
      <c r="W20" s="249" t="s">
        <v>709</v>
      </c>
    </row>
    <row r="21" spans="13:23" x14ac:dyDescent="0.3">
      <c r="M21" s="249" t="str">
        <f>Sheet_DonBan!D17</f>
        <v/>
      </c>
      <c r="N21" s="249"/>
      <c r="O21" s="249"/>
      <c r="P21" s="249">
        <f>Sheet_DonBan!E17</f>
        <v>0</v>
      </c>
      <c r="Q21" s="249" t="str">
        <f>Sheet_DonBan!P17</f>
        <v/>
      </c>
      <c r="S21" s="249" t="str">
        <f>Sheet_VanDon!E18</f>
        <v/>
      </c>
      <c r="T21" s="249"/>
      <c r="U21" s="249"/>
      <c r="V21" s="249">
        <f>Sheet_VanDon!G18</f>
        <v>0</v>
      </c>
      <c r="W21" s="249" t="str">
        <f>Sheet_VanDon!I18</f>
        <v/>
      </c>
    </row>
    <row r="22" spans="13:23" x14ac:dyDescent="0.3">
      <c r="M22" s="249" t="str">
        <f>Sheet_DonBan!D18</f>
        <v/>
      </c>
      <c r="N22" s="21"/>
      <c r="O22" s="21"/>
      <c r="P22" s="249">
        <f>Sheet_DonBan!E18</f>
        <v>0</v>
      </c>
      <c r="Q22" s="249" t="str">
        <f>Sheet_DonBan!P18</f>
        <v/>
      </c>
      <c r="S22" s="249" t="str">
        <f>Sheet_VanDon!E19</f>
        <v/>
      </c>
      <c r="T22" s="7"/>
      <c r="U22" s="7"/>
      <c r="V22" s="249">
        <f>Sheet_VanDon!G19</f>
        <v>0</v>
      </c>
      <c r="W22" s="249" t="str">
        <f>Sheet_VanDon!I19</f>
        <v/>
      </c>
    </row>
    <row r="23" spans="13:23" x14ac:dyDescent="0.3">
      <c r="M23" s="249" t="str">
        <f>Sheet_DonBan!D19</f>
        <v/>
      </c>
      <c r="N23" s="21"/>
      <c r="O23" s="21"/>
      <c r="P23" s="249">
        <f>Sheet_DonBan!E19</f>
        <v>0</v>
      </c>
      <c r="Q23" s="249" t="str">
        <f>Sheet_DonBan!P19</f>
        <v/>
      </c>
      <c r="S23" s="249" t="str">
        <f>Sheet_VanDon!E20</f>
        <v/>
      </c>
      <c r="T23" s="7"/>
      <c r="U23" s="7"/>
      <c r="V23" s="249">
        <f>Sheet_VanDon!G20</f>
        <v>0</v>
      </c>
      <c r="W23" s="249" t="str">
        <f>Sheet_VanDon!I20</f>
        <v/>
      </c>
    </row>
    <row r="24" spans="13:23" x14ac:dyDescent="0.3">
      <c r="M24" s="249" t="str">
        <f>Sheet_DonBan!D20</f>
        <v/>
      </c>
      <c r="N24" s="21"/>
      <c r="O24" s="21"/>
      <c r="P24" s="249">
        <f>Sheet_DonBan!E20</f>
        <v>0</v>
      </c>
      <c r="Q24" s="249" t="str">
        <f>Sheet_DonBan!P20</f>
        <v/>
      </c>
      <c r="S24" s="249" t="str">
        <f>Sheet_VanDon!E21</f>
        <v/>
      </c>
      <c r="T24" s="7"/>
      <c r="U24" s="7"/>
      <c r="V24" s="249">
        <f>Sheet_VanDon!G21</f>
        <v>0</v>
      </c>
      <c r="W24" s="249" t="str">
        <f>Sheet_VanDon!I21</f>
        <v/>
      </c>
    </row>
    <row r="25" spans="13:23" x14ac:dyDescent="0.3">
      <c r="M25" s="249" t="str">
        <f>Sheet_DonBan!D21</f>
        <v/>
      </c>
      <c r="N25" s="21"/>
      <c r="O25" s="21"/>
      <c r="P25" s="249">
        <f>Sheet_DonBan!E21</f>
        <v>0</v>
      </c>
      <c r="Q25" s="249" t="str">
        <f>Sheet_DonBan!P21</f>
        <v/>
      </c>
      <c r="S25" s="249" t="str">
        <f>Sheet_VanDon!E22</f>
        <v/>
      </c>
      <c r="T25" s="21"/>
      <c r="U25" s="21"/>
      <c r="V25" s="249">
        <f>Sheet_VanDon!G22</f>
        <v>0</v>
      </c>
      <c r="W25" s="249" t="str">
        <f>Sheet_VanDon!I22</f>
        <v/>
      </c>
    </row>
    <row r="26" spans="13:23" x14ac:dyDescent="0.3">
      <c r="M26" s="249" t="str">
        <f>Sheet_DonBan!D22</f>
        <v/>
      </c>
      <c r="N26" s="249"/>
      <c r="O26" s="249"/>
      <c r="P26" s="249">
        <f>Sheet_DonBan!E22</f>
        <v>0</v>
      </c>
      <c r="Q26" s="249" t="str">
        <f>Sheet_DonBan!P22</f>
        <v/>
      </c>
      <c r="S26" s="249" t="str">
        <f>Sheet_VanDon!E23</f>
        <v/>
      </c>
      <c r="T26" s="249"/>
      <c r="U26" s="249"/>
      <c r="V26" s="249">
        <f>Sheet_VanDon!G23</f>
        <v>0</v>
      </c>
      <c r="W26" s="249" t="str">
        <f>Sheet_VanDon!I23</f>
        <v/>
      </c>
    </row>
    <row r="27" spans="13:23" x14ac:dyDescent="0.3">
      <c r="M27" s="249" t="str">
        <f>Sheet_DonBan!D23</f>
        <v/>
      </c>
      <c r="N27" s="249"/>
      <c r="O27" s="249"/>
      <c r="P27" s="249">
        <f>Sheet_DonBan!E23</f>
        <v>0</v>
      </c>
      <c r="Q27" s="249" t="str">
        <f>Sheet_DonBan!P23</f>
        <v/>
      </c>
      <c r="S27" s="249" t="str">
        <f>Sheet_VanDon!E24</f>
        <v/>
      </c>
      <c r="T27" s="249"/>
      <c r="U27" s="249"/>
      <c r="V27" s="249">
        <f>Sheet_VanDon!G24</f>
        <v>0</v>
      </c>
      <c r="W27" s="249" t="str">
        <f>Sheet_VanDon!I24</f>
        <v/>
      </c>
    </row>
    <row r="28" spans="13:23" x14ac:dyDescent="0.3">
      <c r="M28" s="249" t="str">
        <f>Sheet_DonBan!D24</f>
        <v/>
      </c>
      <c r="N28" s="249"/>
      <c r="O28" s="249"/>
      <c r="P28" s="249">
        <f>Sheet_DonBan!E24</f>
        <v>0</v>
      </c>
      <c r="Q28" s="249" t="str">
        <f>Sheet_DonBan!P24</f>
        <v/>
      </c>
      <c r="S28" s="249" t="str">
        <f>Sheet_VanDon!E25</f>
        <v/>
      </c>
      <c r="T28" s="249"/>
      <c r="U28" s="249"/>
      <c r="V28" s="249">
        <f>Sheet_VanDon!G25</f>
        <v>0</v>
      </c>
      <c r="W28" s="249" t="str">
        <f>Sheet_VanDon!I25</f>
        <v/>
      </c>
    </row>
    <row r="29" spans="13:23" x14ac:dyDescent="0.3">
      <c r="M29" s="249" t="str">
        <f>Sheet_DonBan!D25</f>
        <v/>
      </c>
      <c r="N29" s="249"/>
      <c r="O29" s="249"/>
      <c r="P29" s="249">
        <f>Sheet_DonBan!E25</f>
        <v>0</v>
      </c>
      <c r="Q29" s="249" t="str">
        <f>Sheet_DonBan!P25</f>
        <v/>
      </c>
      <c r="S29" s="249" t="str">
        <f>Sheet_VanDon!E26</f>
        <v/>
      </c>
      <c r="T29" s="249"/>
      <c r="U29" s="249"/>
      <c r="V29" s="249">
        <f>Sheet_VanDon!G26</f>
        <v>0</v>
      </c>
      <c r="W29" s="249" t="str">
        <f>Sheet_VanDon!I26</f>
        <v/>
      </c>
    </row>
    <row r="30" spans="13:23" x14ac:dyDescent="0.3">
      <c r="M30" s="249" t="str">
        <f>Sheet_DonBan!D26</f>
        <v/>
      </c>
      <c r="N30" s="249"/>
      <c r="O30" s="249"/>
      <c r="P30" s="249">
        <f>Sheet_DonBan!E26</f>
        <v>0</v>
      </c>
      <c r="Q30" s="249">
        <f>Sheet_DonBan!P26</f>
        <v>0</v>
      </c>
      <c r="S30" s="249" t="str">
        <f>Sheet_VanDon!E27</f>
        <v/>
      </c>
      <c r="T30" s="249"/>
      <c r="U30" s="249"/>
      <c r="V30" s="249">
        <f>Sheet_VanDon!G27</f>
        <v>0</v>
      </c>
      <c r="W30" s="249" t="str">
        <f>Sheet_VanDon!I27</f>
        <v/>
      </c>
    </row>
    <row r="31" spans="13:23" x14ac:dyDescent="0.3">
      <c r="M31" s="249" t="str">
        <f>Sheet_DonBan!D27</f>
        <v/>
      </c>
      <c r="N31" s="249"/>
      <c r="O31" s="249"/>
      <c r="P31" s="249">
        <f>Sheet_DonBan!E27</f>
        <v>0</v>
      </c>
      <c r="Q31" s="249" t="str">
        <f>Sheet_DonBan!P27</f>
        <v/>
      </c>
      <c r="S31" s="249" t="str">
        <f>Sheet_VanDon!E28</f>
        <v/>
      </c>
      <c r="T31" s="249"/>
      <c r="U31" s="249"/>
      <c r="V31" s="249">
        <f>Sheet_VanDon!G28</f>
        <v>0</v>
      </c>
      <c r="W31" s="249" t="str">
        <f>Sheet_VanDon!I28</f>
        <v/>
      </c>
    </row>
    <row r="32" spans="13:23" x14ac:dyDescent="0.3">
      <c r="M32" s="249" t="str">
        <f>Sheet_DonBan!D28</f>
        <v/>
      </c>
      <c r="N32" s="21"/>
      <c r="O32" s="21"/>
      <c r="P32" s="249">
        <f>Sheet_DonBan!E28</f>
        <v>0</v>
      </c>
      <c r="Q32" s="249" t="str">
        <f>Sheet_DonBan!P28</f>
        <v/>
      </c>
      <c r="S32" s="249" t="str">
        <f>Sheet_VanDon!E29</f>
        <v/>
      </c>
      <c r="T32" s="21"/>
      <c r="U32" s="21"/>
      <c r="V32" s="249">
        <f>Sheet_VanDon!G29</f>
        <v>0</v>
      </c>
      <c r="W32" s="249" t="str">
        <f>Sheet_VanDon!I29</f>
        <v/>
      </c>
    </row>
    <row r="33" spans="13:23" x14ac:dyDescent="0.3">
      <c r="M33" s="249"/>
      <c r="N33" s="21"/>
      <c r="O33" s="21"/>
      <c r="P33" s="7"/>
      <c r="Q33" s="7"/>
      <c r="S33" s="249"/>
      <c r="T33" s="21"/>
      <c r="U33" s="21"/>
      <c r="V33" s="7"/>
      <c r="W33" s="7"/>
    </row>
    <row r="34" spans="13:23" ht="17.25" x14ac:dyDescent="0.3">
      <c r="M34" s="249" t="s">
        <v>709</v>
      </c>
      <c r="N34" s="249">
        <f>Sheet_DonBan!P30</f>
        <v>0</v>
      </c>
      <c r="O34" s="346"/>
      <c r="P34" s="249" t="s">
        <v>693</v>
      </c>
      <c r="Q34" s="249">
        <f>Sheet_DonBan!P35</f>
        <v>0</v>
      </c>
      <c r="S34" s="249" t="s">
        <v>709</v>
      </c>
      <c r="T34" s="249">
        <f>Sheet_VanDon!I31</f>
        <v>0</v>
      </c>
      <c r="V34" s="249" t="s">
        <v>721</v>
      </c>
      <c r="W34" s="249">
        <f>Sheet_VanDon!I33</f>
        <v>0</v>
      </c>
    </row>
    <row r="35" spans="13:23" ht="17.25" x14ac:dyDescent="0.3">
      <c r="M35" s="249" t="s">
        <v>721</v>
      </c>
      <c r="N35" s="249">
        <f>Sheet_DonBan!P34</f>
        <v>0</v>
      </c>
      <c r="O35" s="346"/>
      <c r="P35" s="249" t="s">
        <v>910</v>
      </c>
      <c r="Q35" s="382">
        <f>Sheet_DonBan!P36</f>
        <v>0</v>
      </c>
      <c r="S35" s="249" t="s">
        <v>754</v>
      </c>
      <c r="T35" s="249">
        <f>Sheet_VanDon!I32</f>
        <v>0</v>
      </c>
      <c r="V35" s="249" t="s">
        <v>693</v>
      </c>
      <c r="W35" s="249">
        <f>Sheet_VanDon!I34</f>
        <v>0</v>
      </c>
    </row>
    <row r="36" spans="13:23" x14ac:dyDescent="0.3">
      <c r="S36" s="249" t="s">
        <v>910</v>
      </c>
      <c r="T36" s="382">
        <f>Sheet_VanDon!I35</f>
        <v>0</v>
      </c>
    </row>
  </sheetData>
  <sheetProtection algorithmName="SHA-512" hashValue="lwXJEJZlMbncfOkaVBM+e6pQ8uOmO9WsiBxkbAT5jMcWgKoH3nFuMgrm0+iBZdIBcqWkuX287pqsWz49J+aZvQ==" saltValue="43OZE2i2+rI3eP95sHqtkA==" spinCount="100000" sheet="1" scenarios="1" formatCells="0" formatColumns="0" formatRows="0" insertColumns="0" insertRows="0" deleteColumns="0" deleteRows="0" sort="0" autoFilter="0" pivotTables="0"/>
  <protectedRanges>
    <protectedRange sqref="P20:Q20 M13:N21 O13:Q19 N26:O31 P34:Q35 M34:N35 V20:W20 S13:T21 U13:W19 T26:U31 V34 M22:M33 S34:T36 V35:W35 O21:Q21 P22:Q32 S22:S33 U21:W21 V22:W32" name="Range1_1"/>
  </protectedRange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TaoQRCode">
                <anchor moveWithCells="1">
                  <from>
                    <xdr:col>4</xdr:col>
                    <xdr:colOff>180975</xdr:colOff>
                    <xdr:row>5</xdr:row>
                    <xdr:rowOff>95250</xdr:rowOff>
                  </from>
                  <to>
                    <xdr:col>5</xdr:col>
                    <xdr:colOff>0</xdr:colOff>
                    <xdr:row>6</xdr:row>
                    <xdr:rowOff>161925</xdr:rowOff>
                  </to>
                </anchor>
              </controlPr>
            </control>
          </mc:Choice>
        </mc:AlternateContent>
        <mc:AlternateContent xmlns:mc="http://schemas.openxmlformats.org/markup-compatibility/2006">
          <mc:Choice Requires="x14">
            <control shapeId="117762" r:id="rId5" name="Button 2">
              <controlPr defaultSize="0" print="0" autoFill="0" autoPict="0" macro="[0]!TaoQRCode">
                <anchor moveWithCells="1">
                  <from>
                    <xdr:col>10</xdr:col>
                    <xdr:colOff>285750</xdr:colOff>
                    <xdr:row>5</xdr:row>
                    <xdr:rowOff>85725</xdr:rowOff>
                  </from>
                  <to>
                    <xdr:col>11</xdr:col>
                    <xdr:colOff>247650</xdr:colOff>
                    <xdr:row>6</xdr:row>
                    <xdr:rowOff>152400</xdr:rowOff>
                  </to>
                </anchor>
              </controlPr>
            </control>
          </mc:Choice>
        </mc:AlternateContent>
        <mc:AlternateContent xmlns:mc="http://schemas.openxmlformats.org/markup-compatibility/2006">
          <mc:Choice Requires="x14">
            <control shapeId="117763" r:id="rId6" name="Button 3">
              <controlPr defaultSize="0" print="0" autoFill="0" autoPict="0" macro="[0]!TaoQRCode">
                <anchor moveWithCells="1">
                  <from>
                    <xdr:col>16</xdr:col>
                    <xdr:colOff>342900</xdr:colOff>
                    <xdr:row>5</xdr:row>
                    <xdr:rowOff>95250</xdr:rowOff>
                  </from>
                  <to>
                    <xdr:col>16</xdr:col>
                    <xdr:colOff>847725</xdr:colOff>
                    <xdr:row>6</xdr:row>
                    <xdr:rowOff>161925</xdr:rowOff>
                  </to>
                </anchor>
              </controlPr>
            </control>
          </mc:Choice>
        </mc:AlternateContent>
        <mc:AlternateContent xmlns:mc="http://schemas.openxmlformats.org/markup-compatibility/2006">
          <mc:Choice Requires="x14">
            <control shapeId="117764" r:id="rId7" name="Button 4">
              <controlPr defaultSize="0" print="0" autoFill="0" autoPict="0" macro="[0]!TaoQRCode">
                <anchor moveWithCells="1">
                  <from>
                    <xdr:col>22</xdr:col>
                    <xdr:colOff>352425</xdr:colOff>
                    <xdr:row>5</xdr:row>
                    <xdr:rowOff>104775</xdr:rowOff>
                  </from>
                  <to>
                    <xdr:col>22</xdr:col>
                    <xdr:colOff>857250</xdr:colOff>
                    <xdr:row>6</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64194D2-3285-4215-8A53-D73522049214}">
            <xm:f>Security!$A$1="NO VBA"</xm:f>
            <x14:dxf>
              <font>
                <color theme="0"/>
              </font>
              <border>
                <vertical/>
                <horizontal/>
              </border>
            </x14:dxf>
          </x14:cfRule>
          <xm:sqref>N26:O31 M13:Q14 M20:N20 P20:Q20 P34:Q35 M34:N35 M22:M33 S33:S36 V35:W35 T36 M21:Q21 P22:Q32 M16:Q19 M15:O15 Q15</xm:sqref>
        </x14:conditionalFormatting>
        <x14:conditionalFormatting xmlns:xm="http://schemas.microsoft.com/office/excel/2006/main">
          <x14:cfRule type="expression" priority="4" id="{9387B8C7-0A11-408B-9B5C-2714CEC5B242}">
            <xm:f>Security!$A$1="NO VBA"</xm:f>
            <x14:dxf>
              <font>
                <color theme="0"/>
              </font>
              <border>
                <vertical/>
                <horizontal/>
              </border>
            </x14:dxf>
          </x14:cfRule>
          <xm:sqref>T26:U31 S13:W19 S20:T20 V20:W20 T34:T35 S22:S32 S21:W21 V22:W32</xm:sqref>
        </x14:conditionalFormatting>
        <x14:conditionalFormatting xmlns:xm="http://schemas.microsoft.com/office/excel/2006/main">
          <x14:cfRule type="expression" priority="3" id="{066B803E-EBEE-4A2D-83CF-44E9150DFD86}">
            <xm:f>Security!$A$1="NO VBA"</xm:f>
            <x14:dxf>
              <font>
                <color theme="0"/>
              </font>
              <border>
                <vertical/>
                <horizontal/>
              </border>
            </x14:dxf>
          </x14:cfRule>
          <xm:sqref>V34</xm:sqref>
        </x14:conditionalFormatting>
        <x14:conditionalFormatting xmlns:xm="http://schemas.microsoft.com/office/excel/2006/main">
          <x14:cfRule type="expression" priority="2" id="{DAEC12C4-FA27-4B07-967B-95F7DE22C9C8}">
            <xm:f>Security!$A$1="NO VBA"</xm:f>
            <x14:dxf>
              <font>
                <color theme="0"/>
              </font>
              <border>
                <vertical/>
                <horizontal/>
              </border>
            </x14:dxf>
          </x14:cfRule>
          <xm:sqref>W34</xm:sqref>
        </x14:conditionalFormatting>
        <x14:conditionalFormatting xmlns:xm="http://schemas.microsoft.com/office/excel/2006/main">
          <x14:cfRule type="expression" priority="1" id="{FAE8D4A1-7D75-4BEE-B1ED-B9338AF2B332}">
            <xm:f>Security!$A$1="NO VBA"</xm:f>
            <x14:dxf>
              <font>
                <color theme="0"/>
              </font>
              <border>
                <vertical/>
                <horizontal/>
              </border>
            </x14:dxf>
          </x14:cfRule>
          <xm:sqref>P15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2EFA7-4C6E-41E8-A04A-134CD4B84627}">
  <sheetPr codeName="Sheet39">
    <tabColor theme="4"/>
  </sheetPr>
  <dimension ref="A1:J17"/>
  <sheetViews>
    <sheetView showGridLines="0" topLeftCell="A9" workbookViewId="0">
      <selection activeCell="I16" sqref="I16"/>
    </sheetView>
  </sheetViews>
  <sheetFormatPr defaultRowHeight="18" customHeight="1" outlineLevelRow="1" outlineLevelCol="1" x14ac:dyDescent="0.3"/>
  <cols>
    <col min="1" max="1" width="9.625" style="7" customWidth="1"/>
    <col min="2" max="2" width="12.625" style="7" customWidth="1"/>
    <col min="3" max="3" width="10.75" style="7" bestFit="1" customWidth="1"/>
    <col min="4" max="4" width="28.5" style="7" customWidth="1"/>
    <col min="5" max="5" width="10.5" style="7" bestFit="1" customWidth="1"/>
    <col min="6" max="6" width="5.5" style="7" bestFit="1" customWidth="1"/>
    <col min="7" max="7" width="8.875" style="7" bestFit="1" customWidth="1"/>
    <col min="8" max="8" width="9.5" style="7" bestFit="1" customWidth="1"/>
    <col min="9" max="9" width="17.25" style="7" customWidth="1" outlineLevel="1"/>
    <col min="10" max="10" width="6.75" style="7" bestFit="1" customWidth="1"/>
    <col min="11" max="11" width="9" style="7"/>
    <col min="12" max="12" width="20" style="7" customWidth="1"/>
    <col min="13" max="16384" width="9" style="7"/>
  </cols>
  <sheetData>
    <row r="1" spans="1:10"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row>
    <row r="2" spans="1:10" s="95" customFormat="1" ht="18" customHeight="1" x14ac:dyDescent="0.3">
      <c r="A2" s="271"/>
      <c r="B2" s="271"/>
      <c r="C2" s="271"/>
      <c r="D2" s="271"/>
      <c r="E2" s="271"/>
      <c r="F2" s="271"/>
      <c r="G2" s="271"/>
      <c r="H2" s="271"/>
      <c r="I2" s="271"/>
      <c r="J2" s="271"/>
    </row>
    <row r="3" spans="1:10" s="95" customFormat="1" ht="18" customHeight="1" outlineLevel="1" x14ac:dyDescent="0.3">
      <c r="A3" s="271"/>
      <c r="B3" s="271"/>
      <c r="C3" s="271"/>
      <c r="D3" s="112" t="s">
        <v>848</v>
      </c>
      <c r="E3" s="95" t="str" cm="1">
        <f t="array" ref="E3:G3">TRANSPOSE(_xlfn._xlws.SORT(_xlfn._xlws.FILTER(Table_NhaCungCap[Mã Đối tác],Table_NhaCungCap[Loại đối tác]=D3,"")))</f>
        <v>NCC1</v>
      </c>
      <c r="F3" s="271" t="str">
        <v>NCC2</v>
      </c>
      <c r="G3" s="271" t="str">
        <v>NCC3</v>
      </c>
      <c r="H3" s="271"/>
      <c r="I3" s="271"/>
      <c r="J3" s="271"/>
    </row>
    <row r="4" spans="1:10" s="95" customFormat="1" ht="18" customHeight="1" outlineLevel="1" x14ac:dyDescent="0.3">
      <c r="A4" s="271"/>
      <c r="B4" s="271"/>
      <c r="C4" s="271"/>
      <c r="D4" s="112" t="s">
        <v>37</v>
      </c>
      <c r="E4" s="95" t="str" cm="1">
        <f t="array" ref="E4">TRANSPOSE(_xlfn._xlws.SORT(_xlfn._xlws.FILTER(Table_NhaCungCap[Mã Đối tác],Table_NhaCungCap[Loại đối tác]=D4,"")))</f>
        <v/>
      </c>
      <c r="F4" s="271"/>
      <c r="G4" s="271"/>
      <c r="H4" s="271"/>
      <c r="I4" s="271"/>
      <c r="J4" s="271"/>
    </row>
    <row r="5" spans="1:10" s="95" customFormat="1" ht="18" customHeight="1" outlineLevel="1" x14ac:dyDescent="0.3">
      <c r="A5" s="271"/>
      <c r="B5" s="271"/>
      <c r="C5" s="271"/>
      <c r="D5" s="112" t="s">
        <v>211</v>
      </c>
      <c r="E5" s="95" t="str" cm="1">
        <f t="array" ref="E5">TRANSPOSE(_xlfn._xlws.SORT(_xlfn._xlws.FILTER(Table_NhaCungCap[Mã Đối tác],Table_NhaCungCap[Loại đối tác]=D5,"")))</f>
        <v/>
      </c>
      <c r="F5" s="271"/>
      <c r="G5" s="271"/>
      <c r="H5" s="271"/>
      <c r="I5" s="271"/>
      <c r="J5" s="271"/>
    </row>
    <row r="6" spans="1:10" s="95" customFormat="1" ht="18" customHeight="1" outlineLevel="1" x14ac:dyDescent="0.3">
      <c r="A6" s="271"/>
      <c r="B6" s="271"/>
      <c r="C6" s="271"/>
      <c r="D6" s="112" t="s">
        <v>849</v>
      </c>
      <c r="E6" s="95" t="str" cm="1">
        <f t="array" ref="E6">TRANSPOSE(_xlfn._xlws.SORT(_xlfn._xlws.FILTER(Table_NhaCungCap[Mã Đối tác],Table_NhaCungCap[Loại đối tác]=D6,"")))</f>
        <v/>
      </c>
      <c r="F6" s="271"/>
      <c r="G6" s="271"/>
      <c r="H6" s="271"/>
      <c r="I6" s="271"/>
      <c r="J6" s="271"/>
    </row>
    <row r="7" spans="1:10" s="95" customFormat="1" ht="18" customHeight="1" outlineLevel="1" x14ac:dyDescent="0.3">
      <c r="A7" s="271"/>
      <c r="B7" s="271"/>
      <c r="C7" s="271"/>
      <c r="D7" s="112" t="s">
        <v>850</v>
      </c>
      <c r="E7" s="95" t="str" cm="1">
        <f t="array" ref="E7">TRANSPOSE(_xlfn._xlws.SORT(_xlfn._xlws.FILTER(Table_NhaCungCap[Mã Đối tác],Table_NhaCungCap[Loại đối tác]=D7,"")))</f>
        <v/>
      </c>
      <c r="F7" s="271"/>
      <c r="G7" s="271"/>
      <c r="H7" s="271"/>
      <c r="I7" s="271"/>
      <c r="J7" s="271"/>
    </row>
    <row r="8" spans="1:10" s="95" customFormat="1" ht="18" customHeight="1" outlineLevel="1" x14ac:dyDescent="0.3">
      <c r="A8" s="271"/>
      <c r="B8" s="271"/>
      <c r="C8" s="271"/>
      <c r="D8" s="112" t="s">
        <v>140</v>
      </c>
      <c r="E8" s="95" t="str" cm="1">
        <f t="array" ref="E8">TRANSPOSE(_xlfn._xlws.SORT(_xlfn._xlws.FILTER(Table_NhaCungCap[Mã Đối tác],Table_NhaCungCap[Loại đối tác]=D8,"")))</f>
        <v/>
      </c>
      <c r="F8" s="271"/>
      <c r="G8" s="271"/>
      <c r="H8" s="271"/>
      <c r="I8" s="271"/>
      <c r="J8" s="271"/>
    </row>
    <row r="9" spans="1:10" s="95" customFormat="1" ht="18" customHeight="1" outlineLevel="1" x14ac:dyDescent="0.3">
      <c r="A9" s="271"/>
      <c r="B9" s="271"/>
      <c r="C9" s="271"/>
      <c r="D9" s="112" t="s">
        <v>851</v>
      </c>
      <c r="E9" s="95" t="str" cm="1">
        <f t="array" ref="E9">TRANSPOSE(_xlfn._xlws.SORT(_xlfn._xlws.FILTER(Table_NhaCungCap[Mã Đối tác],Table_NhaCungCap[Loại đối tác]=D9,"")))</f>
        <v/>
      </c>
      <c r="F9" s="271"/>
      <c r="G9" s="271"/>
      <c r="H9" s="271"/>
      <c r="I9" s="271"/>
      <c r="J9" s="271"/>
    </row>
    <row r="10" spans="1:10" s="95" customFormat="1" ht="18" customHeight="1" outlineLevel="1" x14ac:dyDescent="0.3">
      <c r="A10" s="271"/>
      <c r="B10" s="271"/>
      <c r="C10" s="271"/>
      <c r="D10" s="112" t="s">
        <v>852</v>
      </c>
      <c r="E10" s="95" t="str" cm="1">
        <f t="array" ref="E10">TRANSPOSE(_xlfn._xlws.SORT(_xlfn._xlws.FILTER(Table_NhaCungCap[Mã Đối tác],Table_NhaCungCap[Loại đối tác]=D10,"")))</f>
        <v/>
      </c>
      <c r="F10" s="271"/>
      <c r="G10" s="271"/>
      <c r="H10" s="271"/>
      <c r="I10" s="271"/>
      <c r="J10" s="271"/>
    </row>
    <row r="11" spans="1:10" s="95" customFormat="1" ht="18" customHeight="1" outlineLevel="1" x14ac:dyDescent="0.3">
      <c r="A11" s="271"/>
      <c r="B11" s="271"/>
      <c r="C11" s="271"/>
      <c r="D11" s="112" t="s">
        <v>853</v>
      </c>
      <c r="E11" s="95" t="str" cm="1">
        <f t="array" ref="E11">TRANSPOSE(_xlfn._xlws.SORT(_xlfn._xlws.FILTER(Table_NhaCungCap[Mã Đối tác],Table_NhaCungCap[Loại đối tác]=D11,"")))</f>
        <v/>
      </c>
      <c r="F11" s="271"/>
      <c r="G11" s="271"/>
      <c r="H11" s="271"/>
      <c r="I11" s="271"/>
      <c r="J11" s="271"/>
    </row>
    <row r="12" spans="1:10" s="95" customFormat="1" ht="18" customHeight="1" outlineLevel="1" x14ac:dyDescent="0.3">
      <c r="A12" s="271"/>
      <c r="B12" s="271"/>
      <c r="C12" s="271"/>
      <c r="D12" s="112" t="s">
        <v>854</v>
      </c>
      <c r="E12" s="95" t="str" cm="1">
        <f t="array" ref="E12">TRANSPOSE(_xlfn._xlws.SORT(_xlfn._xlws.FILTER(Table_NhaCungCap[Mã Đối tác],Table_NhaCungCap[Loại đối tác]=D12,"")))</f>
        <v/>
      </c>
      <c r="F12" s="271"/>
      <c r="G12" s="271"/>
      <c r="H12" s="271"/>
      <c r="I12" s="271"/>
      <c r="J12" s="271"/>
    </row>
    <row r="13" spans="1:10" s="95" customFormat="1" ht="18" customHeight="1" outlineLevel="1" x14ac:dyDescent="0.3">
      <c r="A13" s="271"/>
      <c r="B13" s="271"/>
      <c r="C13" s="271"/>
      <c r="D13" s="112" t="s">
        <v>806</v>
      </c>
      <c r="E13" s="271" t="str" cm="1">
        <f t="array" ref="E13:G13">TRANSPOSE(_xlfn._xlws.SORT(Table_NhaCungCap[Mã Đối tác]))</f>
        <v>NCC1</v>
      </c>
      <c r="F13" s="271" t="str">
        <v>NCC2</v>
      </c>
      <c r="G13" s="271" t="str">
        <v>NCC3</v>
      </c>
      <c r="H13" s="271"/>
      <c r="I13" s="271"/>
      <c r="J13" s="271"/>
    </row>
    <row r="14" spans="1:10" s="112" customFormat="1" ht="18" customHeight="1" x14ac:dyDescent="0.3">
      <c r="A14" s="272"/>
      <c r="B14" s="172" t="s">
        <v>698</v>
      </c>
      <c r="C14" s="172" t="s">
        <v>669</v>
      </c>
      <c r="D14" s="172" t="s">
        <v>855</v>
      </c>
      <c r="E14" s="172" t="s">
        <v>541</v>
      </c>
      <c r="F14" s="172" t="s">
        <v>793</v>
      </c>
      <c r="G14" s="172" t="s">
        <v>841</v>
      </c>
      <c r="H14" s="172" t="s">
        <v>267</v>
      </c>
      <c r="I14" s="172" t="s">
        <v>169</v>
      </c>
      <c r="J14" s="7" t="s">
        <v>883</v>
      </c>
    </row>
    <row r="15" spans="1:10" ht="18" customHeight="1" x14ac:dyDescent="0.3">
      <c r="A15" s="242"/>
      <c r="B15" s="261" t="s">
        <v>1170</v>
      </c>
      <c r="C15" s="261"/>
      <c r="D15" s="261" t="s">
        <v>848</v>
      </c>
      <c r="E15" s="261"/>
      <c r="F15" s="261"/>
      <c r="G15" s="261"/>
      <c r="H15" s="261"/>
      <c r="I15" s="115">
        <f>IFERROR(VLOOKUP(Table_NhaCungCap[[#This Row],[Mã Đối tác]],Table_PhaiTra[[Đối tác]:[Add]],COUNTA(Table_PhaiTra[[#Headers],[Đối tác]:[Add]])-1,0),0)</f>
        <v>-252902</v>
      </c>
      <c r="J15" s="261"/>
    </row>
    <row r="16" spans="1:10" ht="18" customHeight="1" x14ac:dyDescent="0.3">
      <c r="B16" s="261" t="s">
        <v>1169</v>
      </c>
      <c r="C16" s="261"/>
      <c r="D16" s="261" t="s">
        <v>848</v>
      </c>
      <c r="E16" s="261"/>
      <c r="F16" s="261"/>
      <c r="G16" s="261"/>
      <c r="H16" s="261"/>
      <c r="I16" s="115">
        <f>IFERROR(VLOOKUP(Table_NhaCungCap[[#This Row],[Mã Đối tác]],Table_PhaiTra[[Đối tác]:[Add]],COUNTA(Table_PhaiTra[[#Headers],[Đối tác]:[Add]])-1,0),0)</f>
        <v>-376901</v>
      </c>
      <c r="J16" s="261"/>
    </row>
    <row r="17" spans="2:10" ht="18" customHeight="1" x14ac:dyDescent="0.3">
      <c r="B17" s="261" t="s">
        <v>1168</v>
      </c>
      <c r="C17" s="261"/>
      <c r="D17" s="261" t="s">
        <v>848</v>
      </c>
      <c r="E17" s="261"/>
      <c r="F17" s="261"/>
      <c r="G17" s="261"/>
      <c r="H17" s="242"/>
      <c r="I17" s="18">
        <f>IFERROR(VLOOKUP(Table_NhaCungCap[[#This Row],[Mã Đối tác]],Table_PhaiTra[[Đối tác]:[Add]],COUNTA(Table_PhaiTra[[#Headers],[Đối tác]:[Add]])-1,0),0)</f>
        <v>430146</v>
      </c>
      <c r="J17" s="261"/>
    </row>
  </sheetData>
  <sheetProtection algorithmName="SHA-512" hashValue="Arlq729QzFFLp7meIMxFaOvsHkOvh4c9hbIDreeDX/J12ZxpTmqOz6BZOd+f5+WzXj6pA+fy2KlYaiIFctAo1w==" saltValue="R2K+QOxGGK+YuoPyjn9eRg==" spinCount="100000" sheet="1" scenarios="1" formatCells="0" formatColumns="0" formatRows="0" insertColumns="0" insertRows="0" deleteColumns="0" deleteRows="0" sort="0" autoFilter="0" pivotTables="0"/>
  <protectedRanges>
    <protectedRange sqref="A14:I14 A1:C13 P1:XFD13 D1:O2 D3:K13 B17:J1048576 A15:A1048576 K14:XFD1048576 B15:I16" name="Range1"/>
    <protectedRange sqref="J14:J16" name="Range1_1"/>
  </protectedRanges>
  <phoneticPr fontId="14" type="noConversion"/>
  <conditionalFormatting sqref="B15:B17">
    <cfRule type="duplicateValues" dxfId="186" priority="672"/>
  </conditionalFormatting>
  <dataValidations count="1">
    <dataValidation type="list" allowBlank="1" showInputMessage="1" showErrorMessage="1" sqref="D15:D17" xr:uid="{0334B666-6EC9-4A78-92CD-F5B7DD6BDD2A}">
      <formula1>$D$3:$D$13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74" r:id="rId3" name="Option Button 6">
              <controlPr defaultSize="0" autoFill="0" autoLine="0" autoPict="0" macro="[0]!DoiDonViHienThi">
                <anchor moveWithCells="1">
                  <from>
                    <xdr:col>3</xdr:col>
                    <xdr:colOff>95250</xdr:colOff>
                    <xdr:row>0</xdr:row>
                    <xdr:rowOff>152400</xdr:rowOff>
                  </from>
                  <to>
                    <xdr:col>3</xdr:col>
                    <xdr:colOff>685800</xdr:colOff>
                    <xdr:row>1</xdr:row>
                    <xdr:rowOff>142875</xdr:rowOff>
                  </to>
                </anchor>
              </controlPr>
            </control>
          </mc:Choice>
        </mc:AlternateContent>
        <mc:AlternateContent xmlns:mc="http://schemas.openxmlformats.org/markup-compatibility/2006">
          <mc:Choice Requires="x14">
            <control shapeId="83975" r:id="rId4" name="Option Button 7">
              <controlPr defaultSize="0" autoFill="0" autoLine="0" autoPict="0" macro="[0]!DoiDonViHienThi">
                <anchor moveWithCells="1">
                  <from>
                    <xdr:col>3</xdr:col>
                    <xdr:colOff>561975</xdr:colOff>
                    <xdr:row>0</xdr:row>
                    <xdr:rowOff>152400</xdr:rowOff>
                  </from>
                  <to>
                    <xdr:col>3</xdr:col>
                    <xdr:colOff>1152525</xdr:colOff>
                    <xdr:row>1</xdr:row>
                    <xdr:rowOff>142875</xdr:rowOff>
                  </to>
                </anchor>
              </controlPr>
            </control>
          </mc:Choice>
        </mc:AlternateContent>
        <mc:AlternateContent xmlns:mc="http://schemas.openxmlformats.org/markup-compatibility/2006">
          <mc:Choice Requires="x14">
            <control shapeId="83976" r:id="rId5" name="Option Button 8">
              <controlPr defaultSize="0" autoFill="0" autoLine="0" autoPict="0" macro="[0]!DoiDonViHienThi">
                <anchor moveWithCells="1">
                  <from>
                    <xdr:col>3</xdr:col>
                    <xdr:colOff>1028700</xdr:colOff>
                    <xdr:row>0</xdr:row>
                    <xdr:rowOff>152400</xdr:rowOff>
                  </from>
                  <to>
                    <xdr:col>3</xdr:col>
                    <xdr:colOff>1619250</xdr:colOff>
                    <xdr:row>1</xdr:row>
                    <xdr:rowOff>142875</xdr:rowOff>
                  </to>
                </anchor>
              </controlPr>
            </control>
          </mc:Choice>
        </mc:AlternateContent>
        <mc:AlternateContent xmlns:mc="http://schemas.openxmlformats.org/markup-compatibility/2006">
          <mc:Choice Requires="x14">
            <control shapeId="83977" r:id="rId6" name="Option Button 9">
              <controlPr defaultSize="0" autoFill="0" autoLine="0" autoPict="0" macro="[0]!DoiDonViHienThi">
                <anchor moveWithCells="1">
                  <from>
                    <xdr:col>3</xdr:col>
                    <xdr:colOff>1504950</xdr:colOff>
                    <xdr:row>0</xdr:row>
                    <xdr:rowOff>152400</xdr:rowOff>
                  </from>
                  <to>
                    <xdr:col>3</xdr:col>
                    <xdr:colOff>1857375</xdr:colOff>
                    <xdr:row>1</xdr:row>
                    <xdr:rowOff>142875</xdr:rowOff>
                  </to>
                </anchor>
              </controlPr>
            </control>
          </mc:Choice>
        </mc:AlternateContent>
        <mc:AlternateContent xmlns:mc="http://schemas.openxmlformats.org/markup-compatibility/2006">
          <mc:Choice Requires="x14">
            <control shapeId="83978" r:id="rId7" name="Group Box 10">
              <controlPr defaultSize="0" autoFill="0" autoPict="0">
                <anchor moveWithCells="1">
                  <from>
                    <xdr:col>2</xdr:col>
                    <xdr:colOff>800100</xdr:colOff>
                    <xdr:row>0</xdr:row>
                    <xdr:rowOff>104775</xdr:rowOff>
                  </from>
                  <to>
                    <xdr:col>3</xdr:col>
                    <xdr:colOff>1971675</xdr:colOff>
                    <xdr:row>1</xdr:row>
                    <xdr:rowOff>180975</xdr:rowOff>
                  </to>
                </anchor>
              </controlPr>
            </control>
          </mc:Choice>
        </mc:AlternateContent>
        <mc:AlternateContent xmlns:mc="http://schemas.openxmlformats.org/markup-compatibility/2006">
          <mc:Choice Requires="x14">
            <control shapeId="83979" r:id="rId8" name="Group Box 11">
              <controlPr defaultSize="0" autoFill="0" autoPict="0">
                <anchor moveWithCells="1">
                  <from>
                    <xdr:col>1</xdr:col>
                    <xdr:colOff>57150</xdr:colOff>
                    <xdr:row>0</xdr:row>
                    <xdr:rowOff>104775</xdr:rowOff>
                  </from>
                  <to>
                    <xdr:col>2</xdr:col>
                    <xdr:colOff>752475</xdr:colOff>
                    <xdr:row>1</xdr:row>
                    <xdr:rowOff>180975</xdr:rowOff>
                  </to>
                </anchor>
              </controlPr>
            </control>
          </mc:Choice>
        </mc:AlternateContent>
        <mc:AlternateContent xmlns:mc="http://schemas.openxmlformats.org/markup-compatibility/2006">
          <mc:Choice Requires="x14">
            <control shapeId="83980" r:id="rId9" name="Button 12">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3981" r:id="rId10" name="Button 13">
              <controlPr defaultSize="0" autoFill="0" autoPict="0" macro="[0]!NhanTrieu">
                <anchor moveWithCells="1">
                  <from>
                    <xdr:col>1</xdr:col>
                    <xdr:colOff>657225</xdr:colOff>
                    <xdr:row>0</xdr:row>
                    <xdr:rowOff>200025</xdr:rowOff>
                  </from>
                  <to>
                    <xdr:col>2</xdr:col>
                    <xdr:colOff>161925</xdr:colOff>
                    <xdr:row>1</xdr:row>
                    <xdr:rowOff>85725</xdr:rowOff>
                  </to>
                </anchor>
              </controlPr>
            </control>
          </mc:Choice>
        </mc:AlternateContent>
        <mc:AlternateContent xmlns:mc="http://schemas.openxmlformats.org/markup-compatibility/2006">
          <mc:Choice Requires="x14">
            <control shapeId="83982" r:id="rId11" name="Button 14">
              <controlPr defaultSize="0" autoFill="0" autoPict="0" macro="[0]!NhanTy">
                <anchor moveWithCells="1">
                  <from>
                    <xdr:col>2</xdr:col>
                    <xdr:colOff>209550</xdr:colOff>
                    <xdr:row>0</xdr:row>
                    <xdr:rowOff>200025</xdr:rowOff>
                  </from>
                  <to>
                    <xdr:col>2</xdr:col>
                    <xdr:colOff>676275</xdr:colOff>
                    <xdr:row>1</xdr:row>
                    <xdr:rowOff>85725</xdr:rowOff>
                  </to>
                </anchor>
              </controlPr>
            </control>
          </mc:Choice>
        </mc:AlternateContent>
        <mc:AlternateContent xmlns:mc="http://schemas.openxmlformats.org/markup-compatibility/2006">
          <mc:Choice Requires="x14">
            <control shapeId="83983" r:id="rId12" name="Button 15">
              <controlPr defaultSize="0" print="0" autoFill="0" autoPict="0" macro="[0]!AddRow">
                <anchor moveWithCells="1">
                  <from>
                    <xdr:col>3</xdr:col>
                    <xdr:colOff>2143125</xdr:colOff>
                    <xdr:row>0</xdr:row>
                    <xdr:rowOff>142875</xdr:rowOff>
                  </from>
                  <to>
                    <xdr:col>4</xdr:col>
                    <xdr:colOff>447675</xdr:colOff>
                    <xdr:row>1</xdr:row>
                    <xdr:rowOff>114300</xdr:rowOff>
                  </to>
                </anchor>
              </controlPr>
            </control>
          </mc:Choice>
        </mc:AlternateContent>
        <mc:AlternateContent xmlns:mc="http://schemas.openxmlformats.org/markup-compatibility/2006">
          <mc:Choice Requires="x14">
            <control shapeId="83984" r:id="rId13" name="Button 16">
              <controlPr defaultSize="0" print="0" autoFill="0" autoPict="0" macro="[0]!DeleteRow">
                <anchor moveWithCells="1">
                  <from>
                    <xdr:col>4</xdr:col>
                    <xdr:colOff>485775</xdr:colOff>
                    <xdr:row>0</xdr:row>
                    <xdr:rowOff>142875</xdr:rowOff>
                  </from>
                  <to>
                    <xdr:col>5</xdr:col>
                    <xdr:colOff>161925</xdr:colOff>
                    <xdr:row>1</xdr:row>
                    <xdr:rowOff>114300</xdr:rowOff>
                  </to>
                </anchor>
              </controlPr>
            </control>
          </mc:Choice>
        </mc:AlternateContent>
        <mc:AlternateContent xmlns:mc="http://schemas.openxmlformats.org/markup-compatibility/2006">
          <mc:Choice Requires="x14">
            <control shapeId="83985" r:id="rId14" name="Button 17">
              <controlPr defaultSize="0" print="0" autoFill="0" autoPict="0" macro="[0]!AddColumn">
                <anchor moveWithCells="1">
                  <from>
                    <xdr:col>10</xdr:col>
                    <xdr:colOff>85725</xdr:colOff>
                    <xdr:row>0</xdr:row>
                    <xdr:rowOff>133350</xdr:rowOff>
                  </from>
                  <to>
                    <xdr:col>10</xdr:col>
                    <xdr:colOff>600075</xdr:colOff>
                    <xdr:row>1</xdr:row>
                    <xdr:rowOff>104775</xdr:rowOff>
                  </to>
                </anchor>
              </controlPr>
            </control>
          </mc:Choice>
        </mc:AlternateContent>
        <mc:AlternateContent xmlns:mc="http://schemas.openxmlformats.org/markup-compatibility/2006">
          <mc:Choice Requires="x14">
            <control shapeId="83986" r:id="rId15" name="Button 18">
              <controlPr defaultSize="0" print="0" autoFill="0" autoPict="0" macro="[0]!DeleteColumn">
                <anchor moveWithCells="1">
                  <from>
                    <xdr:col>10</xdr:col>
                    <xdr:colOff>638175</xdr:colOff>
                    <xdr:row>0</xdr:row>
                    <xdr:rowOff>133350</xdr:rowOff>
                  </from>
                  <to>
                    <xdr:col>11</xdr:col>
                    <xdr:colOff>495300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207217E6-D46C-4257-A2B5-F4F4AAD87145}">
            <xm:f>Security!$A$1="NO VBA"</xm:f>
            <x14:dxf>
              <font>
                <color theme="0"/>
              </font>
              <border>
                <vertical/>
                <horizontal/>
              </border>
            </x14:dxf>
          </x14:cfRule>
          <xm:sqref>A1:XFD2 P3:XFD13 A3:K13 A14:XFD1048576</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53985-E855-4CB4-B60D-732F2195554C}">
  <sheetPr codeName="Sheet34">
    <tabColor theme="4"/>
  </sheetPr>
  <dimension ref="A1:AC22"/>
  <sheetViews>
    <sheetView showGridLines="0" topLeftCell="U4" workbookViewId="0">
      <selection activeCell="Z16" sqref="Z16:AB16"/>
    </sheetView>
  </sheetViews>
  <sheetFormatPr defaultRowHeight="18" customHeight="1" outlineLevelRow="1" outlineLevelCol="2" x14ac:dyDescent="0.3"/>
  <cols>
    <col min="1" max="1" width="9.625" style="7" customWidth="1"/>
    <col min="2" max="2" width="12.75" style="7" customWidth="1" outlineLevel="1"/>
    <col min="3" max="3" width="13.375" style="7" customWidth="1" outlineLevel="1"/>
    <col min="4" max="4" width="12.75" style="7" customWidth="1" outlineLevel="1"/>
    <col min="5" max="5" width="13.375" style="7" customWidth="1" outlineLevel="1"/>
    <col min="6" max="6" width="4.875" style="7" customWidth="1" outlineLevel="1"/>
    <col min="7" max="7" width="15" style="7" customWidth="1" outlineLevel="1"/>
    <col min="8" max="8" width="15.875" style="7" customWidth="1" outlineLevel="1"/>
    <col min="9" max="9" width="11.625" style="7" customWidth="1" outlineLevel="1"/>
    <col min="10" max="10" width="11" style="7" customWidth="1" outlineLevel="1"/>
    <col min="11" max="11" width="4.875" style="7" customWidth="1" outlineLevel="1"/>
    <col min="12" max="12" width="14.625" style="7" customWidth="1" outlineLevel="1"/>
    <col min="13" max="13" width="11.875" style="7" customWidth="1" outlineLevel="1"/>
    <col min="14" max="14" width="18.875" style="7" customWidth="1" outlineLevel="1"/>
    <col min="15" max="15" width="15.5" style="7" bestFit="1" customWidth="1" outlineLevel="1"/>
    <col min="16" max="16" width="14.5" style="7" bestFit="1" customWidth="1" outlineLevel="1"/>
    <col min="17" max="17" width="7.125" style="7" customWidth="1" outlineLevel="1"/>
    <col min="18" max="18" width="12.375" style="7" customWidth="1"/>
    <col min="19" max="19" width="7.5" style="7" customWidth="1" outlineLevel="1"/>
    <col min="20" max="20" width="8.125" style="7" customWidth="1" outlineLevel="1"/>
    <col min="21" max="21" width="8.5" style="7" customWidth="1" outlineLevel="1"/>
    <col min="22" max="22" width="7.25" style="7" customWidth="1" outlineLevel="2"/>
    <col min="23" max="23" width="10.25" style="7" customWidth="1" outlineLevel="2"/>
    <col min="24" max="24" width="9" style="38" customWidth="1" outlineLevel="1"/>
    <col min="25" max="25" width="19.25" style="38" customWidth="1" outlineLevel="1"/>
    <col min="26" max="26" width="11.25" style="7" bestFit="1" customWidth="1" outlineLevel="1"/>
    <col min="27" max="27" width="14.5" style="7" bestFit="1" customWidth="1" outlineLevel="1"/>
    <col min="28" max="28" width="13.5" style="112" bestFit="1" customWidth="1" outlineLevel="1"/>
    <col min="29" max="29" width="14" style="7" bestFit="1" customWidth="1"/>
    <col min="30" max="30" width="9.375" style="7" bestFit="1" customWidth="1"/>
    <col min="31" max="16384" width="9" style="7"/>
  </cols>
  <sheetData>
    <row r="1" spans="1:29" s="310" customFormat="1" ht="18" customHeight="1" x14ac:dyDescent="0.3">
      <c r="A1" s="309">
        <v>0</v>
      </c>
      <c r="B1" s="309">
        <f>+A1+1</f>
        <v>1</v>
      </c>
      <c r="C1" s="309">
        <f>+B1+1</f>
        <v>2</v>
      </c>
      <c r="D1" s="309">
        <f>+C1+1</f>
        <v>3</v>
      </c>
      <c r="E1" s="309">
        <f>+D1+1</f>
        <v>4</v>
      </c>
      <c r="F1" s="309"/>
      <c r="G1" s="309">
        <v>0</v>
      </c>
      <c r="H1" s="309">
        <f>+G1+1</f>
        <v>1</v>
      </c>
      <c r="I1" s="309">
        <f>+H1+1</f>
        <v>2</v>
      </c>
      <c r="J1" s="309">
        <f>+I1+1</f>
        <v>3</v>
      </c>
      <c r="K1" s="309">
        <f>+J1+1</f>
        <v>4</v>
      </c>
      <c r="L1" s="309"/>
      <c r="M1" s="309"/>
      <c r="N1" s="309"/>
      <c r="O1" s="309"/>
      <c r="P1" s="309"/>
      <c r="Q1" s="309"/>
      <c r="R1" s="309">
        <v>0</v>
      </c>
      <c r="S1" s="309">
        <f>+R1+1</f>
        <v>1</v>
      </c>
      <c r="T1" s="309">
        <f t="shared" ref="T1:Z1" si="0">+S1+1</f>
        <v>2</v>
      </c>
      <c r="U1" s="309">
        <f t="shared" si="0"/>
        <v>3</v>
      </c>
      <c r="V1" s="309">
        <f t="shared" si="0"/>
        <v>4</v>
      </c>
      <c r="W1" s="309">
        <f t="shared" si="0"/>
        <v>5</v>
      </c>
      <c r="X1" s="309">
        <f t="shared" si="0"/>
        <v>6</v>
      </c>
      <c r="Y1" s="309">
        <f t="shared" si="0"/>
        <v>7</v>
      </c>
      <c r="Z1" s="309">
        <f t="shared" si="0"/>
        <v>8</v>
      </c>
      <c r="AA1" s="309"/>
      <c r="AB1" s="309"/>
    </row>
    <row r="2" spans="1:29" s="112" customFormat="1" ht="18" customHeight="1" x14ac:dyDescent="0.3">
      <c r="A2" s="272"/>
      <c r="B2" s="272"/>
      <c r="C2" s="272"/>
      <c r="D2" s="272"/>
      <c r="E2" s="272"/>
      <c r="F2" s="272"/>
      <c r="G2" s="272"/>
      <c r="H2" s="272"/>
      <c r="I2" s="272"/>
      <c r="J2" s="272"/>
      <c r="K2" s="272"/>
      <c r="L2" s="272"/>
      <c r="M2" s="272"/>
      <c r="N2" s="272"/>
      <c r="O2" s="272"/>
      <c r="P2" s="272"/>
      <c r="Q2" s="272"/>
      <c r="R2" s="272"/>
      <c r="S2" s="271"/>
      <c r="T2" s="271"/>
      <c r="U2" s="271"/>
      <c r="V2" s="271"/>
      <c r="W2" s="271"/>
      <c r="X2" s="271"/>
      <c r="Y2" s="271"/>
      <c r="Z2" s="271"/>
      <c r="AA2" s="272"/>
      <c r="AB2" s="272"/>
    </row>
    <row r="3" spans="1:29" s="112" customFormat="1" ht="18" customHeight="1" outlineLevel="1" x14ac:dyDescent="0.3">
      <c r="A3" s="272"/>
      <c r="B3" s="112" t="s">
        <v>813</v>
      </c>
      <c r="C3" s="272"/>
      <c r="D3" s="272"/>
      <c r="E3" s="272"/>
      <c r="F3" s="272"/>
      <c r="G3" s="272"/>
      <c r="H3" s="272"/>
      <c r="I3" s="272"/>
      <c r="J3" s="272"/>
      <c r="K3" s="272"/>
      <c r="L3" s="272"/>
      <c r="M3" s="272"/>
      <c r="N3" s="272"/>
      <c r="O3" s="272"/>
      <c r="P3" s="272"/>
      <c r="Q3" s="272"/>
      <c r="R3" s="272"/>
      <c r="S3" s="272"/>
      <c r="T3" s="272"/>
      <c r="U3" s="272"/>
      <c r="V3" s="272"/>
      <c r="W3" s="272"/>
      <c r="X3" s="272"/>
      <c r="Y3" s="272"/>
      <c r="Z3" s="272"/>
      <c r="AA3" s="272"/>
      <c r="AB3" s="272"/>
    </row>
    <row r="4" spans="1:29" s="112" customFormat="1" ht="18" customHeight="1" outlineLevel="1" x14ac:dyDescent="0.3">
      <c r="A4" s="272"/>
      <c r="B4" s="112" t="s">
        <v>806</v>
      </c>
      <c r="C4" s="272" cm="1">
        <f t="array" ref="C4">TRANSPOSE(_xlfn._xlws.SORT(Table_CauTruc_BoPhan[Tên bộ phận]))</f>
        <v>0</v>
      </c>
      <c r="D4" s="272"/>
      <c r="E4" s="272"/>
      <c r="F4" s="272"/>
      <c r="G4" s="272"/>
      <c r="H4" s="272"/>
      <c r="I4" s="272"/>
      <c r="J4" s="272"/>
      <c r="K4" s="272"/>
      <c r="L4" s="272"/>
      <c r="M4" s="272"/>
      <c r="N4" s="272"/>
      <c r="O4" s="272"/>
      <c r="P4" s="272"/>
      <c r="Q4" s="272"/>
      <c r="R4" s="272"/>
      <c r="S4" s="272"/>
      <c r="T4" s="272"/>
      <c r="U4" s="272"/>
      <c r="V4" s="272"/>
      <c r="W4" s="272"/>
      <c r="X4" s="272"/>
      <c r="Y4" s="272"/>
      <c r="Z4" s="272"/>
      <c r="AA4" s="272"/>
      <c r="AB4" s="272"/>
    </row>
    <row r="5" spans="1:29" s="112" customFormat="1" ht="18" customHeight="1" outlineLevel="1" x14ac:dyDescent="0.3">
      <c r="A5" s="272"/>
      <c r="B5" s="272"/>
      <c r="C5" s="272"/>
      <c r="D5" s="272"/>
      <c r="E5" s="272"/>
      <c r="F5" s="272"/>
      <c r="G5" s="112" t="s">
        <v>760</v>
      </c>
      <c r="H5" s="272"/>
      <c r="J5" s="272"/>
      <c r="K5" s="272"/>
      <c r="L5" s="272"/>
      <c r="M5" s="272"/>
      <c r="N5" s="272"/>
      <c r="O5" s="272"/>
      <c r="P5" s="272"/>
      <c r="Q5" s="272"/>
      <c r="R5" s="272"/>
      <c r="S5" s="272"/>
      <c r="T5" s="272"/>
      <c r="U5" s="272"/>
      <c r="V5" s="272"/>
      <c r="W5" s="272"/>
      <c r="X5" s="272"/>
      <c r="Y5" s="272"/>
      <c r="Z5" s="272"/>
      <c r="AA5" s="272"/>
      <c r="AB5" s="272"/>
    </row>
    <row r="6" spans="1:29" s="112" customFormat="1" ht="18" customHeight="1" outlineLevel="1" x14ac:dyDescent="0.3">
      <c r="A6" s="272"/>
      <c r="B6" s="272"/>
      <c r="C6" s="272"/>
      <c r="D6" s="272"/>
      <c r="E6" s="272"/>
      <c r="F6" s="272"/>
      <c r="G6" s="112" t="s">
        <v>806</v>
      </c>
      <c r="H6" s="272" cm="1">
        <f t="array" ref="H6">TRANSPOSE(_xlfn._xlws.SORT(Table_NhanVien[Mã NV]))</f>
        <v>0</v>
      </c>
      <c r="J6" s="272"/>
      <c r="K6" s="272"/>
      <c r="L6" s="272"/>
      <c r="M6" s="272"/>
      <c r="N6" s="272"/>
      <c r="O6" s="272"/>
      <c r="P6" s="272"/>
      <c r="Q6" s="272"/>
      <c r="R6" s="272"/>
      <c r="S6" s="272"/>
      <c r="T6" s="272"/>
      <c r="U6" s="272"/>
      <c r="V6" s="272"/>
      <c r="W6" s="272"/>
      <c r="X6" s="254"/>
      <c r="Y6" s="254"/>
      <c r="Z6" s="272"/>
      <c r="AA6" s="272"/>
      <c r="AB6" s="272"/>
    </row>
    <row r="7" spans="1:29" s="112" customFormat="1" ht="18" customHeight="1" x14ac:dyDescent="0.3">
      <c r="A7" s="272"/>
      <c r="B7" s="272"/>
      <c r="C7" s="272"/>
      <c r="D7" s="272"/>
      <c r="E7" s="272"/>
      <c r="F7" s="272"/>
      <c r="G7" s="272"/>
      <c r="H7" s="272"/>
      <c r="I7" s="272"/>
      <c r="J7" s="272"/>
      <c r="K7" s="272"/>
      <c r="L7" s="272"/>
      <c r="M7" s="272"/>
      <c r="N7" s="272"/>
      <c r="O7" s="272"/>
      <c r="P7" s="272"/>
      <c r="Q7" s="272"/>
      <c r="R7" s="272"/>
      <c r="S7" s="272"/>
      <c r="T7" s="272"/>
      <c r="U7" s="272"/>
      <c r="V7" s="272"/>
      <c r="W7" s="272"/>
      <c r="X7" s="254"/>
      <c r="Y7" s="254"/>
      <c r="Z7" s="272"/>
      <c r="AA7" s="272"/>
      <c r="AB7" s="272"/>
    </row>
    <row r="8" spans="1:29" s="112" customFormat="1" ht="18" customHeight="1" x14ac:dyDescent="0.3">
      <c r="A8" s="272"/>
      <c r="B8" s="272"/>
      <c r="C8" s="272"/>
      <c r="D8" s="272"/>
      <c r="E8" s="272"/>
      <c r="F8" s="272"/>
      <c r="G8" s="272"/>
      <c r="H8" s="272"/>
      <c r="I8" s="272"/>
      <c r="J8" s="272"/>
      <c r="K8" s="272"/>
      <c r="L8" s="272"/>
      <c r="M8" s="272"/>
      <c r="N8" s="272"/>
      <c r="O8" s="272"/>
      <c r="P8" s="272"/>
      <c r="Q8" s="272"/>
      <c r="R8" s="272"/>
      <c r="S8" s="272"/>
      <c r="T8" s="272"/>
      <c r="U8" s="272"/>
      <c r="V8" s="272"/>
      <c r="W8" s="272"/>
      <c r="X8" s="254"/>
      <c r="Y8" s="254"/>
      <c r="Z8" s="272"/>
      <c r="AA8" s="272"/>
      <c r="AB8" s="272"/>
    </row>
    <row r="9" spans="1:29" s="112" customFormat="1" ht="18" customHeight="1" x14ac:dyDescent="0.3">
      <c r="A9" s="272"/>
      <c r="B9" s="112" t="s">
        <v>807</v>
      </c>
      <c r="C9" s="112" t="s">
        <v>588</v>
      </c>
      <c r="D9" s="112" t="s">
        <v>808</v>
      </c>
      <c r="E9" s="7" t="s">
        <v>883</v>
      </c>
      <c r="F9" s="272"/>
      <c r="G9" s="112" t="s">
        <v>809</v>
      </c>
      <c r="H9" s="112" t="s">
        <v>810</v>
      </c>
      <c r="I9" s="112" t="s">
        <v>811</v>
      </c>
      <c r="J9" s="7" t="s">
        <v>883</v>
      </c>
      <c r="K9" s="7"/>
      <c r="L9" s="7" t="s">
        <v>814</v>
      </c>
      <c r="M9" s="7" t="s">
        <v>760</v>
      </c>
      <c r="N9" s="7" t="s">
        <v>1014</v>
      </c>
      <c r="O9" s="7" t="s">
        <v>1015</v>
      </c>
      <c r="P9" s="7" t="s">
        <v>1016</v>
      </c>
      <c r="Q9" s="7" t="s">
        <v>883</v>
      </c>
      <c r="R9" s="7"/>
      <c r="S9" s="272"/>
      <c r="T9" s="112" t="s">
        <v>35</v>
      </c>
      <c r="U9" s="112" t="s">
        <v>812</v>
      </c>
      <c r="V9" s="112" t="s">
        <v>760</v>
      </c>
      <c r="W9" s="112" t="s">
        <v>813</v>
      </c>
      <c r="X9" s="112" t="s">
        <v>588</v>
      </c>
      <c r="Y9" s="112" t="s">
        <v>814</v>
      </c>
      <c r="Z9" s="112" t="s">
        <v>815</v>
      </c>
      <c r="AA9" s="112" t="s">
        <v>1244</v>
      </c>
      <c r="AB9" s="112" t="s">
        <v>1240</v>
      </c>
      <c r="AC9" s="7" t="s">
        <v>883</v>
      </c>
    </row>
    <row r="10" spans="1:29" ht="18" customHeight="1" x14ac:dyDescent="0.3">
      <c r="A10" s="242"/>
      <c r="B10" s="242"/>
      <c r="C10" s="242"/>
      <c r="D10" s="242"/>
      <c r="E10" s="242"/>
      <c r="F10" s="242"/>
      <c r="G10" s="242"/>
      <c r="H10" s="242"/>
      <c r="I10" s="242"/>
      <c r="J10" s="242"/>
      <c r="K10" s="242"/>
      <c r="L10" s="242"/>
      <c r="M10" s="242"/>
      <c r="N10" s="242"/>
      <c r="O10" s="242"/>
      <c r="P10" s="248">
        <f>IFERROR(
COUNTIFS(Table_NhanVien[[#This Row],[Bộ phận]],Table_CauTruc_ViTri[[#This Row],[Bộ phận]],Table_NhanVien[[#This Row],[Vị trí]],Table_CauTruc_ViTri[[#This Row],[Vị trí]]),0)</f>
        <v>0</v>
      </c>
      <c r="Q10" s="242"/>
      <c r="R10" s="242"/>
      <c r="S10" s="242"/>
      <c r="T10" s="242"/>
      <c r="U10" s="242"/>
      <c r="V10" s="242" t="s">
        <v>806</v>
      </c>
      <c r="W10" s="248">
        <f>IFERROR(VLOOKUP(Table_NhanVien[[#This Row],[Bộ phận]],Table_CauTruc_BoPhan[],COUNTA(Table_CauTruc_BoPhan[[#Headers],[Tên bộ phận]:[Phòng trực thuộc]]),0),0)</f>
        <v>0</v>
      </c>
      <c r="X10" s="248">
        <f>IFERROR(
VLOOKUP(Table_NhanVien[[#This Row],[Phòng]],Table_CauTruc_PhongBan[],COUNTA(Table_CauTruc_PhongBan[[#Headers],[Tên phòng ban]:[Chức năng]]),0),0)</f>
        <v>0</v>
      </c>
      <c r="Y10" s="242"/>
      <c r="Z10" s="15"/>
      <c r="AA10" s="15"/>
      <c r="AB10" s="15"/>
      <c r="AC10" s="242"/>
    </row>
    <row r="11" spans="1:29" ht="18" customHeight="1" x14ac:dyDescent="0.3">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3"/>
      <c r="Y11" s="243"/>
      <c r="Z11" s="242"/>
      <c r="AA11" s="242"/>
    </row>
    <row r="12" spans="1:29" ht="18" customHeight="1" x14ac:dyDescent="0.3">
      <c r="A12" s="242"/>
      <c r="B12" s="242"/>
      <c r="C12" s="242"/>
      <c r="D12" s="242"/>
      <c r="E12" s="242"/>
      <c r="F12" s="242"/>
      <c r="G12" s="242"/>
      <c r="H12" s="242"/>
      <c r="I12" s="242"/>
      <c r="J12" s="242"/>
      <c r="K12" s="242"/>
      <c r="L12" s="242"/>
      <c r="M12" s="242"/>
      <c r="N12" s="242"/>
      <c r="O12" s="242"/>
      <c r="P12" s="242"/>
      <c r="Q12" s="242"/>
      <c r="R12" s="242"/>
      <c r="S12" s="242"/>
      <c r="T12" s="242"/>
      <c r="U12" s="242"/>
      <c r="V12" s="242"/>
      <c r="W12" s="242"/>
      <c r="X12" s="243"/>
      <c r="Y12" s="243"/>
      <c r="Z12" s="242"/>
      <c r="AA12" s="242"/>
    </row>
    <row r="13" spans="1:29" ht="18" customHeight="1" collapsed="1" x14ac:dyDescent="0.3">
      <c r="A13" s="242"/>
      <c r="B13" s="242"/>
      <c r="C13" s="242"/>
      <c r="D13" s="242"/>
      <c r="E13" s="242"/>
      <c r="F13" s="242"/>
      <c r="G13" s="242"/>
      <c r="H13" s="242"/>
      <c r="I13" s="242"/>
      <c r="J13" s="242"/>
      <c r="K13" s="242"/>
      <c r="L13" s="242"/>
      <c r="M13" s="242"/>
      <c r="N13" s="242"/>
      <c r="O13" s="242"/>
      <c r="P13" s="242"/>
      <c r="Q13" s="242"/>
      <c r="R13" s="242"/>
      <c r="S13" s="242"/>
      <c r="T13" s="242"/>
      <c r="U13" s="242"/>
      <c r="V13" s="242"/>
      <c r="W13" s="242"/>
      <c r="X13" s="243"/>
      <c r="Y13" s="243"/>
      <c r="Z13" s="242"/>
      <c r="AA13" s="242"/>
    </row>
    <row r="14" spans="1:29" ht="18" customHeight="1" x14ac:dyDescent="0.3">
      <c r="A14" s="242"/>
      <c r="B14" s="242"/>
      <c r="C14" s="242"/>
      <c r="D14" s="242"/>
      <c r="E14" s="242"/>
      <c r="F14" s="242"/>
      <c r="G14" s="242"/>
      <c r="H14" s="242"/>
      <c r="I14" s="242"/>
      <c r="J14" s="242"/>
      <c r="K14" s="242"/>
      <c r="L14" s="242"/>
      <c r="M14" s="242"/>
      <c r="N14" s="242"/>
      <c r="O14" s="242"/>
      <c r="P14" s="242"/>
      <c r="Q14" s="242"/>
      <c r="R14" s="242"/>
      <c r="S14" s="242"/>
      <c r="T14" s="242"/>
      <c r="U14" s="242"/>
      <c r="V14" s="242"/>
      <c r="W14" s="242"/>
      <c r="X14" s="243"/>
      <c r="Y14" s="243"/>
      <c r="Z14" s="242"/>
      <c r="AA14" s="242"/>
    </row>
    <row r="15" spans="1:29" ht="18" customHeight="1" x14ac:dyDescent="0.3">
      <c r="A15" s="242"/>
      <c r="B15" s="242"/>
      <c r="C15" s="242"/>
      <c r="D15" s="242"/>
      <c r="E15" s="242"/>
      <c r="F15" s="242"/>
      <c r="G15" s="242"/>
      <c r="H15" s="242"/>
      <c r="I15" s="242"/>
      <c r="J15" s="242"/>
      <c r="K15" s="242"/>
      <c r="L15" s="242"/>
      <c r="N15" s="242"/>
      <c r="O15" s="242"/>
      <c r="P15" s="242"/>
      <c r="Q15" s="242"/>
      <c r="R15" s="242"/>
      <c r="S15" s="242"/>
      <c r="T15" s="242"/>
      <c r="U15" s="242"/>
      <c r="V15" s="242"/>
      <c r="W15" s="242"/>
      <c r="X15" s="243"/>
      <c r="Y15" s="243"/>
      <c r="Z15" s="242"/>
      <c r="AA15" s="242"/>
    </row>
    <row r="16" spans="1:29" ht="18" customHeight="1" x14ac:dyDescent="0.3">
      <c r="A16" s="242"/>
      <c r="B16" s="242"/>
      <c r="C16" s="242"/>
      <c r="D16" s="242"/>
      <c r="E16" s="242"/>
      <c r="F16" s="242"/>
      <c r="G16" s="242"/>
      <c r="H16" s="242"/>
      <c r="I16" s="242"/>
      <c r="J16" s="242"/>
      <c r="K16" s="242"/>
      <c r="L16" s="242"/>
      <c r="M16" s="242"/>
      <c r="N16" s="242"/>
      <c r="O16" s="242"/>
      <c r="P16" s="242"/>
      <c r="Q16" s="242"/>
      <c r="R16" s="242"/>
      <c r="S16" s="242"/>
      <c r="T16" s="242"/>
      <c r="U16" s="242"/>
      <c r="V16" s="242"/>
      <c r="W16" s="242"/>
      <c r="X16" s="243"/>
      <c r="Y16" s="243"/>
      <c r="Z16" s="242"/>
      <c r="AA16" s="242"/>
    </row>
    <row r="17" spans="1:27" ht="18" customHeight="1" x14ac:dyDescent="0.3">
      <c r="A17" s="242"/>
      <c r="B17" s="242"/>
      <c r="C17" s="242"/>
      <c r="D17" s="242"/>
      <c r="E17" s="242"/>
      <c r="F17" s="242"/>
      <c r="G17" s="242"/>
      <c r="H17" s="242"/>
      <c r="I17" s="242"/>
      <c r="J17" s="242"/>
      <c r="K17" s="242"/>
      <c r="L17" s="242"/>
      <c r="M17" s="242"/>
      <c r="N17" s="242"/>
      <c r="O17" s="242"/>
      <c r="P17" s="242"/>
      <c r="Q17" s="242"/>
      <c r="R17" s="242"/>
      <c r="S17" s="242"/>
      <c r="T17" s="242"/>
      <c r="U17" s="242"/>
      <c r="V17" s="242"/>
      <c r="W17" s="242"/>
      <c r="X17" s="243"/>
      <c r="Y17" s="243"/>
      <c r="Z17" s="242"/>
      <c r="AA17" s="242"/>
    </row>
    <row r="18" spans="1:27" ht="18" customHeight="1" x14ac:dyDescent="0.3">
      <c r="A18" s="242"/>
      <c r="B18" s="242"/>
      <c r="C18" s="242"/>
      <c r="D18" s="242"/>
      <c r="E18" s="242"/>
      <c r="F18" s="242"/>
      <c r="G18" s="242"/>
      <c r="H18" s="242"/>
      <c r="I18" s="242"/>
      <c r="J18" s="242"/>
      <c r="K18" s="242"/>
      <c r="L18" s="242"/>
      <c r="M18" s="242"/>
      <c r="N18" s="242"/>
      <c r="O18" s="242"/>
      <c r="P18" s="242"/>
      <c r="Q18" s="242"/>
      <c r="R18" s="242"/>
      <c r="S18" s="242"/>
      <c r="T18" s="242"/>
      <c r="U18" s="242"/>
      <c r="V18" s="242"/>
      <c r="W18" s="242"/>
      <c r="X18" s="243"/>
      <c r="Y18" s="243"/>
      <c r="Z18" s="242"/>
      <c r="AA18" s="242"/>
    </row>
    <row r="19" spans="1:27" ht="18" customHeight="1" x14ac:dyDescent="0.3">
      <c r="A19" s="242"/>
      <c r="B19" s="242"/>
      <c r="C19" s="242"/>
      <c r="D19" s="242"/>
      <c r="E19" s="242"/>
      <c r="F19" s="242"/>
      <c r="G19" s="242"/>
      <c r="H19" s="242"/>
      <c r="I19" s="242"/>
      <c r="J19" s="242"/>
      <c r="K19" s="242"/>
      <c r="L19" s="242"/>
      <c r="M19" s="242"/>
      <c r="N19" s="242"/>
      <c r="O19" s="242"/>
      <c r="P19" s="242"/>
      <c r="Q19" s="242"/>
      <c r="R19" s="242"/>
      <c r="S19" s="242"/>
      <c r="T19" s="242"/>
      <c r="U19" s="242"/>
      <c r="V19" s="242"/>
      <c r="W19" s="242"/>
      <c r="X19" s="243"/>
      <c r="Y19" s="243"/>
      <c r="Z19" s="242"/>
      <c r="AA19" s="242"/>
    </row>
    <row r="20" spans="1:27" ht="18" customHeight="1" x14ac:dyDescent="0.3">
      <c r="A20" s="242"/>
      <c r="B20" s="242"/>
      <c r="C20" s="242"/>
      <c r="D20" s="242"/>
      <c r="E20" s="242"/>
      <c r="F20" s="242"/>
      <c r="G20" s="242"/>
      <c r="H20" s="242"/>
      <c r="I20" s="242"/>
      <c r="J20" s="242"/>
      <c r="K20" s="242"/>
      <c r="L20" s="242"/>
      <c r="M20" s="242"/>
      <c r="N20" s="242"/>
      <c r="O20" s="242"/>
      <c r="P20" s="242"/>
      <c r="Q20" s="242"/>
      <c r="R20" s="242"/>
      <c r="S20" s="242"/>
      <c r="T20" s="242"/>
      <c r="U20" s="242"/>
      <c r="V20" s="242"/>
      <c r="W20" s="242"/>
      <c r="X20" s="243"/>
      <c r="Y20" s="243"/>
      <c r="Z20" s="242"/>
      <c r="AA20" s="242"/>
    </row>
    <row r="21" spans="1:27" ht="18" customHeight="1" x14ac:dyDescent="0.3">
      <c r="A21" s="242"/>
      <c r="B21" s="242"/>
      <c r="C21" s="242"/>
      <c r="D21" s="242"/>
      <c r="E21" s="242"/>
      <c r="F21" s="242"/>
      <c r="G21" s="242"/>
      <c r="H21" s="242"/>
      <c r="I21" s="242"/>
      <c r="J21" s="242"/>
      <c r="K21" s="242"/>
      <c r="L21" s="242"/>
      <c r="M21" s="242"/>
      <c r="N21" s="242"/>
      <c r="O21" s="242"/>
      <c r="P21" s="242"/>
      <c r="Q21" s="242"/>
      <c r="R21" s="242"/>
      <c r="S21" s="242"/>
      <c r="T21" s="242"/>
      <c r="U21" s="242"/>
      <c r="V21" s="242"/>
      <c r="W21" s="242"/>
      <c r="X21" s="243"/>
      <c r="Y21" s="243"/>
      <c r="Z21" s="242"/>
      <c r="AA21" s="242"/>
    </row>
    <row r="22" spans="1:27" ht="18" customHeight="1" x14ac:dyDescent="0.3">
      <c r="A22" s="242"/>
      <c r="B22" s="242"/>
      <c r="C22" s="242"/>
      <c r="D22" s="242"/>
      <c r="E22" s="242"/>
      <c r="F22" s="242"/>
      <c r="G22" s="242"/>
      <c r="H22" s="242"/>
      <c r="I22" s="242"/>
      <c r="J22" s="242"/>
      <c r="K22" s="242"/>
      <c r="L22" s="242"/>
      <c r="M22" s="242"/>
      <c r="N22" s="242"/>
      <c r="O22" s="242"/>
      <c r="P22" s="242"/>
      <c r="Q22" s="242"/>
      <c r="R22" s="249"/>
      <c r="S22" s="242"/>
      <c r="T22" s="242"/>
      <c r="U22" s="242"/>
      <c r="V22" s="242"/>
      <c r="W22" s="242"/>
      <c r="X22" s="243"/>
      <c r="Y22" s="243"/>
      <c r="Z22" s="242"/>
      <c r="AA22" s="242"/>
    </row>
  </sheetData>
  <sheetProtection algorithmName="SHA-512" hashValue="Sl3ziE1BQbASlzlS1pxZAgTrLHMl+yoGpsiDcvum605m6KSK4BhqsnKsy0ioYj+Lai8DXZd9aopxUvMUiD5HTA==" saltValue="9pBJXpUb335iDaM9Pru/Lw==" spinCount="100000" sheet="1" scenarios="1" formatCells="0" formatColumns="0" formatRows="0" insertColumns="0" insertRows="0" deleteColumns="0" deleteRows="0" sort="0" autoFilter="0" pivotTables="0"/>
  <protectedRanges>
    <protectedRange sqref="AC10 T9:AB10 R12:R13 R22 S1:Z2" name="Range1_2"/>
    <protectedRange sqref="AC9" name="Range1_1_1"/>
  </protectedRanges>
  <phoneticPr fontId="14" type="noConversion"/>
  <conditionalFormatting sqref="T10">
    <cfRule type="duplicateValues" dxfId="170" priority="300"/>
  </conditionalFormatting>
  <dataValidations count="7">
    <dataValidation type="list" allowBlank="1" showInputMessage="1" showErrorMessage="1" sqref="C10" xr:uid="{43D27CD5-A27E-43C4-ABEA-B2CC16C845A8}">
      <formula1>"Sản xuất, Bán hàng, Văn phòng"</formula1>
    </dataValidation>
    <dataValidation type="list" allowBlank="1" showInputMessage="1" sqref="I10 D10" xr:uid="{BB2109E5-C752-4475-B487-0941FE063381}">
      <formula1>MaNhanVien</formula1>
    </dataValidation>
    <dataValidation type="list" allowBlank="1" showInputMessage="1" sqref="H10" xr:uid="{D8658A0C-BBB3-4E40-9A72-AC1CEA53CCAD}">
      <formula1>$B$3:$B$4</formula1>
    </dataValidation>
    <dataValidation type="list" allowBlank="1" showInputMessage="1" showErrorMessage="1" sqref="V10" xr:uid="{2074C1BA-9B84-4CFB-98F1-B35FF48C67DF}">
      <formula1>$G$5:$G$6</formula1>
    </dataValidation>
    <dataValidation type="list" errorStyle="information" allowBlank="1" showInputMessage="1" showErrorMessage="1" sqref="Y10" xr:uid="{06E90D08-3ECB-46C9-8D35-0ACC66170F14}">
      <formula1>MaViTri</formula1>
    </dataValidation>
    <dataValidation type="list" errorStyle="warning" allowBlank="1" showInputMessage="1" sqref="B10" xr:uid="{5AE5DF26-FB43-427A-8D02-0C9A5DA1F7AA}">
      <formula1>$B$3:$B$4</formula1>
    </dataValidation>
    <dataValidation type="list" allowBlank="1" showInputMessage="1" sqref="G10 M10" xr:uid="{535C96FC-E872-473D-B931-3A420367F9F9}">
      <formula1>$G$5:$G$6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AddRow">
                <anchor moveWithCells="1">
                  <from>
                    <xdr:col>1</xdr:col>
                    <xdr:colOff>38100</xdr:colOff>
                    <xdr:row>6</xdr:row>
                    <xdr:rowOff>133350</xdr:rowOff>
                  </from>
                  <to>
                    <xdr:col>1</xdr:col>
                    <xdr:colOff>514350</xdr:colOff>
                    <xdr:row>7</xdr:row>
                    <xdr:rowOff>161925</xdr:rowOff>
                  </to>
                </anchor>
              </controlPr>
            </control>
          </mc:Choice>
        </mc:AlternateContent>
        <mc:AlternateContent xmlns:mc="http://schemas.openxmlformats.org/markup-compatibility/2006">
          <mc:Choice Requires="x14">
            <control shapeId="78850" r:id="rId4" name="Button 2">
              <controlPr defaultSize="0" print="0" autoFill="0" autoPict="0" macro="[0]!DeleteRow">
                <anchor moveWithCells="1">
                  <from>
                    <xdr:col>1</xdr:col>
                    <xdr:colOff>666750</xdr:colOff>
                    <xdr:row>6</xdr:row>
                    <xdr:rowOff>133350</xdr:rowOff>
                  </from>
                  <to>
                    <xdr:col>2</xdr:col>
                    <xdr:colOff>171450</xdr:colOff>
                    <xdr:row>7</xdr:row>
                    <xdr:rowOff>161925</xdr:rowOff>
                  </to>
                </anchor>
              </controlPr>
            </control>
          </mc:Choice>
        </mc:AlternateContent>
        <mc:AlternateContent xmlns:mc="http://schemas.openxmlformats.org/markup-compatibility/2006">
          <mc:Choice Requires="x14">
            <control shapeId="78851" r:id="rId5" name="Button 3">
              <controlPr defaultSize="0" print="0" autoFill="0" autoPict="0" macro="[0]!AddColumn">
                <anchor moveWithCells="1">
                  <from>
                    <xdr:col>2</xdr:col>
                    <xdr:colOff>714375</xdr:colOff>
                    <xdr:row>6</xdr:row>
                    <xdr:rowOff>133350</xdr:rowOff>
                  </from>
                  <to>
                    <xdr:col>3</xdr:col>
                    <xdr:colOff>209550</xdr:colOff>
                    <xdr:row>7</xdr:row>
                    <xdr:rowOff>161925</xdr:rowOff>
                  </to>
                </anchor>
              </controlPr>
            </control>
          </mc:Choice>
        </mc:AlternateContent>
        <mc:AlternateContent xmlns:mc="http://schemas.openxmlformats.org/markup-compatibility/2006">
          <mc:Choice Requires="x14">
            <control shapeId="78852" r:id="rId6" name="Button 4">
              <controlPr defaultSize="0" print="0" autoFill="0" autoPict="0" macro="[0]!DeleteColumn">
                <anchor moveWithCells="1">
                  <from>
                    <xdr:col>3</xdr:col>
                    <xdr:colOff>342900</xdr:colOff>
                    <xdr:row>6</xdr:row>
                    <xdr:rowOff>133350</xdr:rowOff>
                  </from>
                  <to>
                    <xdr:col>3</xdr:col>
                    <xdr:colOff>885825</xdr:colOff>
                    <xdr:row>7</xdr:row>
                    <xdr:rowOff>161925</xdr:rowOff>
                  </to>
                </anchor>
              </controlPr>
            </control>
          </mc:Choice>
        </mc:AlternateContent>
        <mc:AlternateContent xmlns:mc="http://schemas.openxmlformats.org/markup-compatibility/2006">
          <mc:Choice Requires="x14">
            <control shapeId="78853" r:id="rId7" name="Button 5">
              <controlPr defaultSize="0" print="0" autoFill="0" autoPict="0" macro="[0]!AddRow">
                <anchor moveWithCells="1">
                  <from>
                    <xdr:col>6</xdr:col>
                    <xdr:colOff>19050</xdr:colOff>
                    <xdr:row>6</xdr:row>
                    <xdr:rowOff>133350</xdr:rowOff>
                  </from>
                  <to>
                    <xdr:col>6</xdr:col>
                    <xdr:colOff>495300</xdr:colOff>
                    <xdr:row>7</xdr:row>
                    <xdr:rowOff>161925</xdr:rowOff>
                  </to>
                </anchor>
              </controlPr>
            </control>
          </mc:Choice>
        </mc:AlternateContent>
        <mc:AlternateContent xmlns:mc="http://schemas.openxmlformats.org/markup-compatibility/2006">
          <mc:Choice Requires="x14">
            <control shapeId="78854" r:id="rId8" name="Button 6">
              <controlPr defaultSize="0" print="0" autoFill="0" autoPict="0" macro="[0]!DeleteRow">
                <anchor moveWithCells="1">
                  <from>
                    <xdr:col>6</xdr:col>
                    <xdr:colOff>647700</xdr:colOff>
                    <xdr:row>6</xdr:row>
                    <xdr:rowOff>133350</xdr:rowOff>
                  </from>
                  <to>
                    <xdr:col>6</xdr:col>
                    <xdr:colOff>1123950</xdr:colOff>
                    <xdr:row>7</xdr:row>
                    <xdr:rowOff>161925</xdr:rowOff>
                  </to>
                </anchor>
              </controlPr>
            </control>
          </mc:Choice>
        </mc:AlternateContent>
        <mc:AlternateContent xmlns:mc="http://schemas.openxmlformats.org/markup-compatibility/2006">
          <mc:Choice Requires="x14">
            <control shapeId="78855" r:id="rId9" name="Button 7">
              <controlPr defaultSize="0" print="0" autoFill="0" autoPict="0" macro="[0]!AddColumn">
                <anchor moveWithCells="1">
                  <from>
                    <xdr:col>7</xdr:col>
                    <xdr:colOff>742950</xdr:colOff>
                    <xdr:row>6</xdr:row>
                    <xdr:rowOff>133350</xdr:rowOff>
                  </from>
                  <to>
                    <xdr:col>8</xdr:col>
                    <xdr:colOff>47625</xdr:colOff>
                    <xdr:row>7</xdr:row>
                    <xdr:rowOff>161925</xdr:rowOff>
                  </to>
                </anchor>
              </controlPr>
            </control>
          </mc:Choice>
        </mc:AlternateContent>
        <mc:AlternateContent xmlns:mc="http://schemas.openxmlformats.org/markup-compatibility/2006">
          <mc:Choice Requires="x14">
            <control shapeId="78856" r:id="rId10" name="Button 8">
              <controlPr defaultSize="0" print="0" autoFill="0" autoPict="0" macro="[0]!DeleteColumn">
                <anchor moveWithCells="1">
                  <from>
                    <xdr:col>8</xdr:col>
                    <xdr:colOff>180975</xdr:colOff>
                    <xdr:row>6</xdr:row>
                    <xdr:rowOff>133350</xdr:rowOff>
                  </from>
                  <to>
                    <xdr:col>8</xdr:col>
                    <xdr:colOff>723900</xdr:colOff>
                    <xdr:row>7</xdr:row>
                    <xdr:rowOff>161925</xdr:rowOff>
                  </to>
                </anchor>
              </controlPr>
            </control>
          </mc:Choice>
        </mc:AlternateContent>
        <mc:AlternateContent xmlns:mc="http://schemas.openxmlformats.org/markup-compatibility/2006">
          <mc:Choice Requires="x14">
            <control shapeId="78857" r:id="rId11" name="Button 9">
              <controlPr defaultSize="0" print="0" autoFill="0" autoPict="0" macro="[0]!AddRow">
                <anchor moveWithCells="1">
                  <from>
                    <xdr:col>19</xdr:col>
                    <xdr:colOff>85725</xdr:colOff>
                    <xdr:row>6</xdr:row>
                    <xdr:rowOff>133350</xdr:rowOff>
                  </from>
                  <to>
                    <xdr:col>19</xdr:col>
                    <xdr:colOff>561975</xdr:colOff>
                    <xdr:row>7</xdr:row>
                    <xdr:rowOff>161925</xdr:rowOff>
                  </to>
                </anchor>
              </controlPr>
            </control>
          </mc:Choice>
        </mc:AlternateContent>
        <mc:AlternateContent xmlns:mc="http://schemas.openxmlformats.org/markup-compatibility/2006">
          <mc:Choice Requires="x14">
            <control shapeId="78858" r:id="rId12" name="Button 10">
              <controlPr defaultSize="0" print="0" autoFill="0" autoPict="0" macro="[0]!DeleteRow">
                <anchor moveWithCells="1">
                  <from>
                    <xdr:col>20</xdr:col>
                    <xdr:colOff>95250</xdr:colOff>
                    <xdr:row>6</xdr:row>
                    <xdr:rowOff>133350</xdr:rowOff>
                  </from>
                  <to>
                    <xdr:col>20</xdr:col>
                    <xdr:colOff>571500</xdr:colOff>
                    <xdr:row>7</xdr:row>
                    <xdr:rowOff>161925</xdr:rowOff>
                  </to>
                </anchor>
              </controlPr>
            </control>
          </mc:Choice>
        </mc:AlternateContent>
        <mc:AlternateContent xmlns:mc="http://schemas.openxmlformats.org/markup-compatibility/2006">
          <mc:Choice Requires="x14">
            <control shapeId="78859" r:id="rId13" name="Button 11">
              <controlPr defaultSize="0" print="0" autoFill="0" autoPict="0" macro="[0]!AddColumn">
                <anchor moveWithCells="1">
                  <from>
                    <xdr:col>25</xdr:col>
                    <xdr:colOff>828675</xdr:colOff>
                    <xdr:row>6</xdr:row>
                    <xdr:rowOff>133350</xdr:rowOff>
                  </from>
                  <to>
                    <xdr:col>26</xdr:col>
                    <xdr:colOff>485775</xdr:colOff>
                    <xdr:row>7</xdr:row>
                    <xdr:rowOff>161925</xdr:rowOff>
                  </to>
                </anchor>
              </controlPr>
            </control>
          </mc:Choice>
        </mc:AlternateContent>
        <mc:AlternateContent xmlns:mc="http://schemas.openxmlformats.org/markup-compatibility/2006">
          <mc:Choice Requires="x14">
            <control shapeId="78860" r:id="rId14" name="Button 12">
              <controlPr defaultSize="0" print="0" autoFill="0" autoPict="0" macro="[0]!DeleteColumn">
                <anchor moveWithCells="1">
                  <from>
                    <xdr:col>26</xdr:col>
                    <xdr:colOff>619125</xdr:colOff>
                    <xdr:row>6</xdr:row>
                    <xdr:rowOff>133350</xdr:rowOff>
                  </from>
                  <to>
                    <xdr:col>27</xdr:col>
                    <xdr:colOff>57150</xdr:colOff>
                    <xdr:row>7</xdr:row>
                    <xdr:rowOff>161925</xdr:rowOff>
                  </to>
                </anchor>
              </controlPr>
            </control>
          </mc:Choice>
        </mc:AlternateContent>
        <mc:AlternateContent xmlns:mc="http://schemas.openxmlformats.org/markup-compatibility/2006">
          <mc:Choice Requires="x14">
            <control shapeId="78862" r:id="rId15" name="Option Button 14">
              <controlPr defaultSize="0" autoFill="0" autoLine="0" autoPict="0" macro="[0]!DoiDonViHienThi">
                <anchor moveWithCells="1">
                  <from>
                    <xdr:col>22</xdr:col>
                    <xdr:colOff>38100</xdr:colOff>
                    <xdr:row>0</xdr:row>
                    <xdr:rowOff>152400</xdr:rowOff>
                  </from>
                  <to>
                    <xdr:col>22</xdr:col>
                    <xdr:colOff>628650</xdr:colOff>
                    <xdr:row>1</xdr:row>
                    <xdr:rowOff>200025</xdr:rowOff>
                  </to>
                </anchor>
              </controlPr>
            </control>
          </mc:Choice>
        </mc:AlternateContent>
        <mc:AlternateContent xmlns:mc="http://schemas.openxmlformats.org/markup-compatibility/2006">
          <mc:Choice Requires="x14">
            <control shapeId="78863" r:id="rId16" name="Option Button 15">
              <controlPr defaultSize="0" autoFill="0" autoLine="0" autoPict="0" macro="[0]!DoiDonViHienThi">
                <anchor moveWithCells="1">
                  <from>
                    <xdr:col>22</xdr:col>
                    <xdr:colOff>504825</xdr:colOff>
                    <xdr:row>0</xdr:row>
                    <xdr:rowOff>152400</xdr:rowOff>
                  </from>
                  <to>
                    <xdr:col>23</xdr:col>
                    <xdr:colOff>314325</xdr:colOff>
                    <xdr:row>1</xdr:row>
                    <xdr:rowOff>200025</xdr:rowOff>
                  </to>
                </anchor>
              </controlPr>
            </control>
          </mc:Choice>
        </mc:AlternateContent>
        <mc:AlternateContent xmlns:mc="http://schemas.openxmlformats.org/markup-compatibility/2006">
          <mc:Choice Requires="x14">
            <control shapeId="78864" r:id="rId17" name="Option Button 16">
              <controlPr defaultSize="0" autoFill="0" autoLine="0" autoPict="0" macro="[0]!DoiDonViHienThi">
                <anchor moveWithCells="1">
                  <from>
                    <xdr:col>23</xdr:col>
                    <xdr:colOff>190500</xdr:colOff>
                    <xdr:row>0</xdr:row>
                    <xdr:rowOff>152400</xdr:rowOff>
                  </from>
                  <to>
                    <xdr:col>24</xdr:col>
                    <xdr:colOff>95250</xdr:colOff>
                    <xdr:row>1</xdr:row>
                    <xdr:rowOff>200025</xdr:rowOff>
                  </to>
                </anchor>
              </controlPr>
            </control>
          </mc:Choice>
        </mc:AlternateContent>
        <mc:AlternateContent xmlns:mc="http://schemas.openxmlformats.org/markup-compatibility/2006">
          <mc:Choice Requires="x14">
            <control shapeId="78865" r:id="rId18" name="Option Button 17">
              <controlPr defaultSize="0" autoFill="0" autoLine="0" autoPict="0" macro="[0]!DoiDonViHienThi">
                <anchor moveWithCells="1">
                  <from>
                    <xdr:col>23</xdr:col>
                    <xdr:colOff>666750</xdr:colOff>
                    <xdr:row>0</xdr:row>
                    <xdr:rowOff>152400</xdr:rowOff>
                  </from>
                  <to>
                    <xdr:col>24</xdr:col>
                    <xdr:colOff>333375</xdr:colOff>
                    <xdr:row>1</xdr:row>
                    <xdr:rowOff>200025</xdr:rowOff>
                  </to>
                </anchor>
              </controlPr>
            </control>
          </mc:Choice>
        </mc:AlternateContent>
        <mc:AlternateContent xmlns:mc="http://schemas.openxmlformats.org/markup-compatibility/2006">
          <mc:Choice Requires="x14">
            <control shapeId="78866" r:id="rId19" name="Group Box 18">
              <controlPr defaultSize="0" autoFill="0" autoPict="0">
                <anchor moveWithCells="1">
                  <from>
                    <xdr:col>21</xdr:col>
                    <xdr:colOff>476250</xdr:colOff>
                    <xdr:row>0</xdr:row>
                    <xdr:rowOff>104775</xdr:rowOff>
                  </from>
                  <to>
                    <xdr:col>24</xdr:col>
                    <xdr:colOff>447675</xdr:colOff>
                    <xdr:row>2</xdr:row>
                    <xdr:rowOff>9525</xdr:rowOff>
                  </to>
                </anchor>
              </controlPr>
            </control>
          </mc:Choice>
        </mc:AlternateContent>
        <mc:AlternateContent xmlns:mc="http://schemas.openxmlformats.org/markup-compatibility/2006">
          <mc:Choice Requires="x14">
            <control shapeId="78867" r:id="rId20" name="Group Box 19">
              <controlPr defaultSize="0" autoFill="0" autoPict="0">
                <anchor moveWithCells="1">
                  <from>
                    <xdr:col>19</xdr:col>
                    <xdr:colOff>38100</xdr:colOff>
                    <xdr:row>0</xdr:row>
                    <xdr:rowOff>104775</xdr:rowOff>
                  </from>
                  <to>
                    <xdr:col>21</xdr:col>
                    <xdr:colOff>428625</xdr:colOff>
                    <xdr:row>2</xdr:row>
                    <xdr:rowOff>9525</xdr:rowOff>
                  </to>
                </anchor>
              </controlPr>
            </control>
          </mc:Choice>
        </mc:AlternateContent>
        <mc:AlternateContent xmlns:mc="http://schemas.openxmlformats.org/markup-compatibility/2006">
          <mc:Choice Requires="x14">
            <control shapeId="78868" r:id="rId21" name="Button 20">
              <controlPr defaultSize="0" autoFill="0" autoPict="0" macro="[0]!NhanNghin">
                <anchor moveWithCells="1">
                  <from>
                    <xdr:col>19</xdr:col>
                    <xdr:colOff>123825</xdr:colOff>
                    <xdr:row>0</xdr:row>
                    <xdr:rowOff>200025</xdr:rowOff>
                  </from>
                  <to>
                    <xdr:col>19</xdr:col>
                    <xdr:colOff>590550</xdr:colOff>
                    <xdr:row>1</xdr:row>
                    <xdr:rowOff>142875</xdr:rowOff>
                  </to>
                </anchor>
              </controlPr>
            </control>
          </mc:Choice>
        </mc:AlternateContent>
        <mc:AlternateContent xmlns:mc="http://schemas.openxmlformats.org/markup-compatibility/2006">
          <mc:Choice Requires="x14">
            <control shapeId="78869" r:id="rId22" name="Button 21">
              <controlPr defaultSize="0" autoFill="0" autoPict="0" macro="[0]!NhanTrieu">
                <anchor moveWithCells="1">
                  <from>
                    <xdr:col>20</xdr:col>
                    <xdr:colOff>19050</xdr:colOff>
                    <xdr:row>0</xdr:row>
                    <xdr:rowOff>200025</xdr:rowOff>
                  </from>
                  <to>
                    <xdr:col>20</xdr:col>
                    <xdr:colOff>485775</xdr:colOff>
                    <xdr:row>1</xdr:row>
                    <xdr:rowOff>142875</xdr:rowOff>
                  </to>
                </anchor>
              </controlPr>
            </control>
          </mc:Choice>
        </mc:AlternateContent>
        <mc:AlternateContent xmlns:mc="http://schemas.openxmlformats.org/markup-compatibility/2006">
          <mc:Choice Requires="x14">
            <control shapeId="78870" r:id="rId23" name="Button 22">
              <controlPr defaultSize="0" autoFill="0" autoPict="0" macro="[0]!NhanTy">
                <anchor moveWithCells="1">
                  <from>
                    <xdr:col>20</xdr:col>
                    <xdr:colOff>533400</xdr:colOff>
                    <xdr:row>0</xdr:row>
                    <xdr:rowOff>200025</xdr:rowOff>
                  </from>
                  <to>
                    <xdr:col>21</xdr:col>
                    <xdr:colOff>352425</xdr:colOff>
                    <xdr:row>1</xdr:row>
                    <xdr:rowOff>142875</xdr:rowOff>
                  </to>
                </anchor>
              </controlPr>
            </control>
          </mc:Choice>
        </mc:AlternateContent>
        <mc:AlternateContent xmlns:mc="http://schemas.openxmlformats.org/markup-compatibility/2006">
          <mc:Choice Requires="x14">
            <control shapeId="78872" r:id="rId24" name="Button 24">
              <controlPr defaultSize="0" print="0" autoFill="0" autoPict="0" macro="[0]!AddRow">
                <anchor moveWithCells="1">
                  <from>
                    <xdr:col>11</xdr:col>
                    <xdr:colOff>0</xdr:colOff>
                    <xdr:row>6</xdr:row>
                    <xdr:rowOff>95250</xdr:rowOff>
                  </from>
                  <to>
                    <xdr:col>11</xdr:col>
                    <xdr:colOff>504825</xdr:colOff>
                    <xdr:row>7</xdr:row>
                    <xdr:rowOff>123825</xdr:rowOff>
                  </to>
                </anchor>
              </controlPr>
            </control>
          </mc:Choice>
        </mc:AlternateContent>
        <mc:AlternateContent xmlns:mc="http://schemas.openxmlformats.org/markup-compatibility/2006">
          <mc:Choice Requires="x14">
            <control shapeId="78873" r:id="rId25" name="Button 25">
              <controlPr defaultSize="0" print="0" autoFill="0" autoPict="0" macro="[0]!DeleteRow">
                <anchor moveWithCells="1">
                  <from>
                    <xdr:col>11</xdr:col>
                    <xdr:colOff>676275</xdr:colOff>
                    <xdr:row>6</xdr:row>
                    <xdr:rowOff>95250</xdr:rowOff>
                  </from>
                  <to>
                    <xdr:col>12</xdr:col>
                    <xdr:colOff>66675</xdr:colOff>
                    <xdr:row>7</xdr:row>
                    <xdr:rowOff>123825</xdr:rowOff>
                  </to>
                </anchor>
              </controlPr>
            </control>
          </mc:Choice>
        </mc:AlternateContent>
        <mc:AlternateContent xmlns:mc="http://schemas.openxmlformats.org/markup-compatibility/2006">
          <mc:Choice Requires="x14">
            <control shapeId="78874" r:id="rId26" name="Button 26">
              <controlPr defaultSize="0" print="0" autoFill="0" autoPict="0" macro="[0]!AddColumn">
                <anchor moveWithCells="1">
                  <from>
                    <xdr:col>14</xdr:col>
                    <xdr:colOff>933450</xdr:colOff>
                    <xdr:row>6</xdr:row>
                    <xdr:rowOff>133350</xdr:rowOff>
                  </from>
                  <to>
                    <xdr:col>15</xdr:col>
                    <xdr:colOff>266700</xdr:colOff>
                    <xdr:row>7</xdr:row>
                    <xdr:rowOff>161925</xdr:rowOff>
                  </to>
                </anchor>
              </controlPr>
            </control>
          </mc:Choice>
        </mc:AlternateContent>
        <mc:AlternateContent xmlns:mc="http://schemas.openxmlformats.org/markup-compatibility/2006">
          <mc:Choice Requires="x14">
            <control shapeId="78875" r:id="rId27" name="Button 27">
              <controlPr defaultSize="0" print="0" autoFill="0" autoPict="0" macro="[0]!DeleteColumn">
                <anchor moveWithCells="1">
                  <from>
                    <xdr:col>15</xdr:col>
                    <xdr:colOff>400050</xdr:colOff>
                    <xdr:row>6</xdr:row>
                    <xdr:rowOff>133350</xdr:rowOff>
                  </from>
                  <to>
                    <xdr:col>15</xdr:col>
                    <xdr:colOff>942975</xdr:colOff>
                    <xdr:row>7</xdr:row>
                    <xdr:rowOff>161925</xdr:rowOff>
                  </to>
                </anchor>
              </controlPr>
            </control>
          </mc:Choice>
        </mc:AlternateContent>
      </controls>
    </mc:Choice>
  </mc:AlternateContent>
  <tableParts count="4">
    <tablePart r:id="rId28"/>
    <tablePart r:id="rId29"/>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1" id="{D99B998A-15C1-41D9-8867-7EA07290F7BD}">
            <xm:f>Security!$A$1="NO VBA"</xm:f>
            <x14:dxf>
              <font>
                <color theme="0"/>
              </font>
              <border>
                <vertical/>
                <horizontal/>
              </border>
            </x14:dxf>
          </x14:cfRule>
          <xm:sqref>A1:XFD2 A7:XFD9 N15:Q15 L15 R10:XFD1048576 L16:Q1048576 L10:Q14 A10:K1048576 J5:XFD6 C5:H6 E3:XFD4 B3:C4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4"/>
  </sheetPr>
  <dimension ref="B1:AD40"/>
  <sheetViews>
    <sheetView showGridLines="0" workbookViewId="0">
      <selection activeCell="H9" sqref="A7:H9"/>
    </sheetView>
  </sheetViews>
  <sheetFormatPr defaultRowHeight="18" customHeight="1" outlineLevelRow="1" outlineLevelCol="1" x14ac:dyDescent="0.3"/>
  <cols>
    <col min="1" max="1" width="1.25" style="7" customWidth="1"/>
    <col min="2" max="2" width="32.875" style="7" hidden="1" customWidth="1" outlineLevel="1"/>
    <col min="3" max="3" width="15.25" style="7" hidden="1" customWidth="1" outlineLevel="1"/>
    <col min="4" max="4" width="15.5" style="7" hidden="1" customWidth="1" outlineLevel="1"/>
    <col min="5" max="5" width="15" style="7" hidden="1" customWidth="1" outlineLevel="1"/>
    <col min="6" max="6" width="1.25" style="7" hidden="1" customWidth="1" outlineLevel="1"/>
    <col min="7" max="7" width="9.625" style="7" customWidth="1" collapsed="1"/>
    <col min="8" max="8" width="10.125" style="7" bestFit="1" customWidth="1"/>
    <col min="9" max="9" width="15.5" style="7" bestFit="1" customWidth="1"/>
    <col min="10" max="10" width="12.25" style="7" customWidth="1"/>
    <col min="11" max="11" width="26.125" style="7" customWidth="1"/>
    <col min="12" max="13" width="10.25" style="7" customWidth="1"/>
    <col min="14" max="14" width="15.5" style="38" customWidth="1"/>
    <col min="15" max="15" width="16.625" style="7" customWidth="1"/>
    <col min="16" max="16" width="13.25" style="7" customWidth="1"/>
    <col min="17" max="17" width="12.75" style="7" bestFit="1" customWidth="1"/>
    <col min="18" max="18" width="13.875" style="7" customWidth="1"/>
    <col min="19" max="19" width="13.125" style="7" bestFit="1" customWidth="1"/>
    <col min="20" max="20" width="12.375" style="7" hidden="1" customWidth="1" outlineLevel="1"/>
    <col min="21" max="21" width="17.75" style="7" hidden="1" customWidth="1" outlineLevel="1"/>
    <col min="22" max="22" width="19.375" style="7" customWidth="1" collapsed="1"/>
    <col min="23" max="23" width="9" style="7" bestFit="1" customWidth="1"/>
    <col min="24" max="24" width="8.75" style="7" hidden="1" customWidth="1" outlineLevel="1"/>
    <col min="25" max="25" width="15.125" style="7" hidden="1" customWidth="1" outlineLevel="1"/>
    <col min="26" max="26" width="21.5" style="7" hidden="1" customWidth="1" outlineLevel="1"/>
    <col min="27" max="27" width="8.75" style="7" hidden="1" customWidth="1" outlineLevel="1"/>
    <col min="28" max="28" width="13.625" style="7" hidden="1" customWidth="1" outlineLevel="1"/>
    <col min="29" max="29" width="13.25" style="7" hidden="1" customWidth="1" outlineLevel="1"/>
    <col min="30" max="30" width="9" style="7" bestFit="1" customWidth="1" collapsed="1"/>
    <col min="31" max="16384" width="9" style="7"/>
  </cols>
  <sheetData>
    <row r="1" spans="7:30" s="310" customFormat="1" ht="22.5" customHeight="1" x14ac:dyDescent="0.3">
      <c r="G1" s="309">
        <v>0</v>
      </c>
      <c r="H1" s="309">
        <f t="shared" ref="H1:X1" si="0">+G1+1</f>
        <v>1</v>
      </c>
      <c r="I1" s="309">
        <f t="shared" si="0"/>
        <v>2</v>
      </c>
      <c r="J1" s="309">
        <f t="shared" si="0"/>
        <v>3</v>
      </c>
      <c r="K1" s="309">
        <f t="shared" si="0"/>
        <v>4</v>
      </c>
      <c r="L1" s="309">
        <f t="shared" si="0"/>
        <v>5</v>
      </c>
      <c r="M1" s="309">
        <f t="shared" si="0"/>
        <v>6</v>
      </c>
      <c r="N1" s="309">
        <f t="shared" si="0"/>
        <v>7</v>
      </c>
      <c r="O1" s="309">
        <f t="shared" si="0"/>
        <v>8</v>
      </c>
      <c r="P1" s="309">
        <f t="shared" si="0"/>
        <v>9</v>
      </c>
      <c r="Q1" s="309">
        <f t="shared" si="0"/>
        <v>10</v>
      </c>
      <c r="R1" s="309">
        <f t="shared" si="0"/>
        <v>11</v>
      </c>
      <c r="S1" s="309">
        <f t="shared" si="0"/>
        <v>12</v>
      </c>
      <c r="T1" s="309">
        <f t="shared" si="0"/>
        <v>13</v>
      </c>
      <c r="U1" s="309">
        <f t="shared" si="0"/>
        <v>14</v>
      </c>
      <c r="V1" s="309">
        <f t="shared" si="0"/>
        <v>15</v>
      </c>
      <c r="W1" s="309">
        <f t="shared" si="0"/>
        <v>16</v>
      </c>
      <c r="X1" s="309">
        <f t="shared" si="0"/>
        <v>17</v>
      </c>
      <c r="Y1" s="309"/>
      <c r="Z1" s="309"/>
      <c r="AA1" s="309"/>
      <c r="AB1" s="309"/>
      <c r="AC1" s="309"/>
      <c r="AD1" s="309"/>
    </row>
    <row r="2" spans="7:30" s="112" customFormat="1" ht="18" customHeight="1" x14ac:dyDescent="0.3">
      <c r="G2" s="272"/>
      <c r="H2" s="272"/>
      <c r="I2" s="272"/>
      <c r="J2" s="272"/>
      <c r="K2" s="272"/>
      <c r="L2" s="272"/>
      <c r="M2" s="272"/>
      <c r="N2" s="272"/>
      <c r="O2" s="272"/>
      <c r="P2" s="272"/>
      <c r="Q2" s="272"/>
      <c r="R2" s="272"/>
      <c r="S2" s="272"/>
      <c r="T2" s="272"/>
      <c r="U2" s="272"/>
      <c r="V2" s="272"/>
      <c r="W2" s="272"/>
      <c r="X2" s="272"/>
      <c r="Y2" s="272"/>
      <c r="Z2" s="272"/>
      <c r="AA2" s="272"/>
      <c r="AB2" s="272"/>
      <c r="AC2" s="272"/>
      <c r="AD2" s="272"/>
    </row>
    <row r="3" spans="7:30" s="310" customFormat="1" ht="18" customHeight="1" outlineLevel="1" x14ac:dyDescent="0.3">
      <c r="G3" s="309"/>
      <c r="H3" s="309"/>
      <c r="I3" s="309"/>
      <c r="J3" s="309"/>
      <c r="K3" s="310" t="s">
        <v>816</v>
      </c>
      <c r="L3" s="310" t="str" cm="1">
        <f t="array" ref="L3">TRANSPOSE(_xlfn._xlws.SORT(_xlfn._xlws.FILTER(Table_TSCD[Mã Tài sản],Table_TSCD[Phân loại]=K3,"")))</f>
        <v/>
      </c>
      <c r="M3" s="309"/>
      <c r="N3" s="309"/>
      <c r="O3" s="309"/>
      <c r="P3" s="309"/>
      <c r="Q3" s="309"/>
      <c r="R3" s="309"/>
      <c r="S3" s="309"/>
      <c r="T3" s="309"/>
      <c r="U3" s="309"/>
      <c r="V3" s="309"/>
      <c r="W3" s="309"/>
      <c r="X3" s="309"/>
      <c r="Y3" s="309"/>
      <c r="Z3" s="309"/>
      <c r="AA3" s="309"/>
      <c r="AB3" s="309"/>
      <c r="AC3" s="309"/>
      <c r="AD3" s="309"/>
    </row>
    <row r="4" spans="7:30" s="310" customFormat="1" ht="18" customHeight="1" outlineLevel="1" x14ac:dyDescent="0.3">
      <c r="G4" s="309"/>
      <c r="H4" s="519"/>
      <c r="I4" s="309"/>
      <c r="J4" s="309"/>
      <c r="K4" s="310" t="s">
        <v>817</v>
      </c>
      <c r="L4" s="310" t="str" cm="1">
        <f t="array" ref="L4">TRANSPOSE(_xlfn._xlws.SORT(_xlfn._xlws.FILTER(Table_TSCD[Mã Tài sản],Table_TSCD[Phân loại]=K4,"")))</f>
        <v>TS1</v>
      </c>
      <c r="M4" s="309"/>
      <c r="N4" s="309"/>
      <c r="O4" s="309"/>
      <c r="P4" s="309"/>
      <c r="Q4" s="309"/>
      <c r="R4" s="309"/>
      <c r="S4" s="309"/>
      <c r="T4" s="309"/>
      <c r="U4" s="309"/>
      <c r="V4" s="309"/>
      <c r="W4" s="309"/>
      <c r="X4" s="309"/>
      <c r="Y4" s="309"/>
      <c r="Z4" s="309"/>
      <c r="AA4" s="309"/>
      <c r="AB4" s="309"/>
      <c r="AC4" s="309"/>
      <c r="AD4" s="309"/>
    </row>
    <row r="5" spans="7:30" s="310" customFormat="1" ht="18" customHeight="1" outlineLevel="1" x14ac:dyDescent="0.3">
      <c r="G5" s="309"/>
      <c r="H5" s="519"/>
      <c r="I5" s="309"/>
      <c r="J5" s="309"/>
      <c r="K5" s="310" t="s">
        <v>818</v>
      </c>
      <c r="L5" s="310" t="str" cm="1">
        <f t="array" ref="L5">TRANSPOSE(_xlfn._xlws.SORT(_xlfn._xlws.FILTER(Table_TSCD[Mã Tài sản],Table_TSCD[Phân loại]=K5,"")))</f>
        <v>TS2</v>
      </c>
      <c r="M5" s="309"/>
      <c r="N5" s="309"/>
      <c r="O5" s="309"/>
      <c r="P5" s="309"/>
      <c r="Q5" s="309"/>
      <c r="R5" s="309"/>
      <c r="S5" s="309"/>
      <c r="T5" s="309"/>
      <c r="U5" s="309"/>
      <c r="V5" s="309"/>
      <c r="W5" s="309"/>
      <c r="X5" s="309"/>
      <c r="Y5" s="309"/>
      <c r="Z5" s="309"/>
      <c r="AA5" s="309"/>
      <c r="AB5" s="309"/>
      <c r="AC5" s="309"/>
      <c r="AD5" s="309"/>
    </row>
    <row r="6" spans="7:30" s="310" customFormat="1" ht="18" customHeight="1" outlineLevel="1" x14ac:dyDescent="0.3">
      <c r="G6" s="309"/>
      <c r="H6" s="519"/>
      <c r="I6" s="309"/>
      <c r="J6" s="309"/>
      <c r="K6" s="310" t="s">
        <v>819</v>
      </c>
      <c r="L6" s="310" t="str" cm="1">
        <f t="array" ref="L6">TRANSPOSE(_xlfn._xlws.SORT(_xlfn._xlws.FILTER(Table_TSCD[Mã Tài sản],Table_TSCD[Phân loại]=K6,"")))</f>
        <v>TS3</v>
      </c>
      <c r="M6" s="309"/>
      <c r="N6" s="309"/>
      <c r="O6" s="309"/>
      <c r="P6" s="309"/>
      <c r="Q6" s="309"/>
      <c r="R6" s="309"/>
      <c r="S6" s="309"/>
      <c r="T6" s="309"/>
      <c r="U6" s="309"/>
      <c r="V6" s="309"/>
      <c r="W6" s="309"/>
      <c r="X6" s="309"/>
      <c r="Y6" s="309"/>
      <c r="Z6" s="309"/>
      <c r="AA6" s="309"/>
      <c r="AB6" s="309"/>
      <c r="AC6" s="309"/>
      <c r="AD6" s="309"/>
    </row>
    <row r="7" spans="7:30" s="310" customFormat="1" ht="18" customHeight="1" outlineLevel="1" x14ac:dyDescent="0.3">
      <c r="G7" s="309"/>
      <c r="H7" s="519"/>
      <c r="I7" s="309"/>
      <c r="J7" s="309"/>
      <c r="K7" s="310" t="s">
        <v>820</v>
      </c>
      <c r="L7" s="310" t="str" cm="1">
        <f t="array" ref="L7">TRANSPOSE(_xlfn._xlws.SORT(_xlfn._xlws.FILTER(Table_TSCD[Mã Tài sản],Table_TSCD[Phân loại]=K7,"")))</f>
        <v>TS4</v>
      </c>
      <c r="M7" s="309"/>
      <c r="N7" s="309"/>
      <c r="O7" s="309"/>
      <c r="P7" s="309"/>
      <c r="Q7" s="309"/>
      <c r="R7" s="309"/>
      <c r="S7" s="309"/>
      <c r="T7" s="309"/>
      <c r="U7" s="309"/>
      <c r="V7" s="309"/>
      <c r="W7" s="309"/>
      <c r="X7" s="309"/>
      <c r="AC7" s="309"/>
      <c r="AD7" s="309"/>
    </row>
    <row r="8" spans="7:30" s="310" customFormat="1" ht="18" customHeight="1" outlineLevel="1" x14ac:dyDescent="0.3">
      <c r="G8" s="309"/>
      <c r="H8" s="519"/>
      <c r="I8" s="309"/>
      <c r="J8" s="309"/>
      <c r="K8" s="310" t="s">
        <v>821</v>
      </c>
      <c r="L8" s="310" t="str" cm="1">
        <f t="array" ref="L8">TRANSPOSE(_xlfn._xlws.SORT(_xlfn._xlws.FILTER(Table_TSCD[Mã Tài sản],Table_TSCD[Phân loại]=K8,"")))</f>
        <v/>
      </c>
      <c r="M8" s="309"/>
      <c r="N8" s="309"/>
      <c r="O8" s="309"/>
      <c r="P8" s="309"/>
      <c r="Q8" s="309"/>
      <c r="R8" s="309"/>
      <c r="S8" s="309"/>
      <c r="T8" s="309"/>
      <c r="U8" s="309"/>
      <c r="V8" s="309"/>
      <c r="W8" s="309"/>
      <c r="X8" s="309"/>
      <c r="AC8" s="309"/>
      <c r="AD8" s="309"/>
    </row>
    <row r="9" spans="7:30" s="310" customFormat="1" ht="18" customHeight="1" outlineLevel="1" x14ac:dyDescent="0.3">
      <c r="G9" s="309"/>
      <c r="H9" s="519"/>
      <c r="I9" s="309"/>
      <c r="J9" s="309"/>
      <c r="K9" s="310" t="s">
        <v>822</v>
      </c>
      <c r="L9" s="309"/>
      <c r="M9" s="309"/>
      <c r="N9" s="309"/>
      <c r="O9" s="309"/>
      <c r="P9" s="309"/>
      <c r="Q9" s="309"/>
      <c r="R9" s="309"/>
      <c r="S9" s="309"/>
      <c r="T9" s="309"/>
      <c r="U9" s="309"/>
      <c r="V9" s="309"/>
      <c r="W9" s="309"/>
      <c r="X9" s="309"/>
      <c r="AC9" s="309"/>
      <c r="AD9" s="309"/>
    </row>
    <row r="10" spans="7:30" s="310" customFormat="1" ht="18" customHeight="1" outlineLevel="1" x14ac:dyDescent="0.3">
      <c r="G10" s="309"/>
      <c r="H10" s="519"/>
      <c r="I10" s="309"/>
      <c r="J10" s="309"/>
      <c r="K10" s="310" t="s">
        <v>823</v>
      </c>
      <c r="L10" s="310" t="str" cm="1">
        <f t="array" ref="L10">TRANSPOSE(_xlfn._xlws.SORT(_xlfn._xlws.FILTER(Table_TSCD[Mã Tài sản],Table_TSCD[Phân loại]=K10,"")))</f>
        <v/>
      </c>
      <c r="M10" s="309"/>
      <c r="N10" s="309"/>
      <c r="O10" s="309"/>
      <c r="P10" s="309"/>
      <c r="Q10" s="309"/>
      <c r="R10" s="309"/>
      <c r="S10" s="309"/>
      <c r="T10" s="309"/>
      <c r="U10" s="309"/>
      <c r="V10" s="309"/>
      <c r="W10" s="309"/>
      <c r="X10" s="309"/>
      <c r="AC10" s="309"/>
      <c r="AD10" s="309"/>
    </row>
    <row r="11" spans="7:30" s="310" customFormat="1" ht="18" customHeight="1" outlineLevel="1" x14ac:dyDescent="0.3">
      <c r="G11" s="309"/>
      <c r="H11" s="309"/>
      <c r="I11" s="309"/>
      <c r="J11" s="309"/>
      <c r="K11" s="310" t="s">
        <v>824</v>
      </c>
      <c r="L11" s="310" t="str" cm="1">
        <f t="array" ref="L11">TRANSPOSE(_xlfn._xlws.SORT(_xlfn._xlws.FILTER(Table_TSCD[Mã Tài sản],Table_TSCD[Phân loại]=K11,"")))</f>
        <v>TS6</v>
      </c>
      <c r="M11" s="309"/>
      <c r="N11" s="309"/>
      <c r="O11" s="309"/>
      <c r="P11" s="309"/>
      <c r="Q11" s="309"/>
      <c r="R11" s="309"/>
      <c r="S11" s="309"/>
      <c r="T11" s="309"/>
      <c r="U11" s="309"/>
      <c r="V11" s="309"/>
      <c r="W11" s="309"/>
      <c r="X11" s="309"/>
      <c r="AC11" s="309"/>
      <c r="AD11" s="309"/>
    </row>
    <row r="12" spans="7:30" s="310" customFormat="1" ht="18" customHeight="1" outlineLevel="1" x14ac:dyDescent="0.3">
      <c r="G12" s="309"/>
      <c r="H12" s="309"/>
      <c r="I12" s="309"/>
      <c r="J12" s="309"/>
      <c r="K12" s="310" t="s">
        <v>825</v>
      </c>
      <c r="L12" s="310" t="str" cm="1">
        <f t="array" ref="L12">TRANSPOSE(_xlfn._xlws.SORT(_xlfn._xlws.FILTER(Table_TSCD[Mã Tài sản],Table_TSCD[Phân loại]=K12,"")))</f>
        <v/>
      </c>
      <c r="M12" s="309"/>
      <c r="N12" s="309"/>
      <c r="O12" s="309"/>
      <c r="P12" s="309"/>
      <c r="Q12" s="309"/>
      <c r="R12" s="309"/>
      <c r="S12" s="309"/>
      <c r="T12" s="309"/>
      <c r="U12" s="309"/>
      <c r="V12" s="309"/>
      <c r="W12" s="309"/>
      <c r="X12" s="309"/>
      <c r="AC12" s="309"/>
      <c r="AD12" s="309"/>
    </row>
    <row r="13" spans="7:30" s="310" customFormat="1" ht="18" customHeight="1" outlineLevel="1" x14ac:dyDescent="0.3">
      <c r="G13" s="309"/>
      <c r="H13" s="309"/>
      <c r="I13" s="309"/>
      <c r="J13" s="309"/>
      <c r="K13" s="310" t="s">
        <v>826</v>
      </c>
      <c r="L13" s="310" t="str" cm="1">
        <f t="array" ref="L13">TRANSPOSE(_xlfn._xlws.SORT(_xlfn._xlws.FILTER(Table_TSCD[Mã Tài sản],Table_TSCD[Phân loại]=K13,"")))</f>
        <v/>
      </c>
      <c r="M13" s="309"/>
      <c r="N13" s="309"/>
      <c r="O13" s="309"/>
      <c r="P13" s="309"/>
      <c r="Q13" s="309"/>
      <c r="R13" s="309"/>
      <c r="S13" s="309"/>
      <c r="T13" s="309"/>
      <c r="U13" s="309"/>
      <c r="V13" s="309"/>
      <c r="W13" s="309"/>
      <c r="X13" s="309"/>
      <c r="Z13" s="309"/>
      <c r="AA13" s="309"/>
      <c r="AB13" s="309"/>
      <c r="AC13" s="309"/>
      <c r="AD13" s="309"/>
    </row>
    <row r="14" spans="7:30" s="310" customFormat="1" ht="18" customHeight="1" outlineLevel="1" collapsed="1" x14ac:dyDescent="0.3">
      <c r="G14" s="309"/>
      <c r="H14" s="309"/>
      <c r="I14" s="309"/>
      <c r="J14" s="309"/>
      <c r="K14" s="310" t="s">
        <v>806</v>
      </c>
      <c r="L14" s="309" t="str" cm="1">
        <f t="array" ref="L14:Q14">TRANSPOSE(_xlfn._xlws.SORT(Table_TSCD[Mã Tài sản]))</f>
        <v>TS1</v>
      </c>
      <c r="M14" s="309" t="str">
        <v>TS2</v>
      </c>
      <c r="N14" s="309" t="str">
        <v>TS3</v>
      </c>
      <c r="O14" s="309" t="str">
        <v>TS4</v>
      </c>
      <c r="P14" s="309" t="str">
        <v>TS5</v>
      </c>
      <c r="Q14" s="309" t="str">
        <v>TS6</v>
      </c>
      <c r="R14" s="309"/>
      <c r="S14" s="309"/>
      <c r="T14" s="309"/>
      <c r="U14" s="309"/>
      <c r="V14" s="309"/>
      <c r="W14" s="309"/>
      <c r="X14" s="309"/>
      <c r="Y14" s="309"/>
      <c r="Z14" s="309"/>
      <c r="AA14" s="309"/>
      <c r="AB14" s="309"/>
      <c r="AC14" s="309"/>
      <c r="AD14" s="309"/>
    </row>
    <row r="15" spans="7:30" s="112" customFormat="1" ht="18" customHeight="1" outlineLevel="1" x14ac:dyDescent="0.3">
      <c r="G15" s="272"/>
      <c r="H15" s="272"/>
      <c r="I15" s="272"/>
      <c r="J15" s="272"/>
      <c r="L15" s="272"/>
      <c r="M15" s="272"/>
      <c r="N15" s="272"/>
      <c r="O15" s="272"/>
      <c r="P15" s="272"/>
      <c r="Q15" s="272"/>
      <c r="R15" s="272"/>
      <c r="S15" s="272"/>
      <c r="T15" s="272"/>
      <c r="U15" s="272"/>
      <c r="V15" s="272"/>
      <c r="W15" s="272"/>
      <c r="X15" s="272"/>
      <c r="Y15" s="272"/>
      <c r="Z15" s="272"/>
      <c r="AA15" s="272"/>
      <c r="AB15" s="272"/>
      <c r="AC15" s="272"/>
      <c r="AD15" s="272"/>
    </row>
    <row r="16" spans="7:30" s="112" customFormat="1" ht="18" customHeight="1" outlineLevel="1" x14ac:dyDescent="0.3">
      <c r="G16" s="272"/>
      <c r="H16" s="516" t="s">
        <v>1144</v>
      </c>
      <c r="I16" s="272"/>
      <c r="J16" s="272"/>
      <c r="K16" s="518" t="s">
        <v>1133</v>
      </c>
      <c r="L16" s="272"/>
      <c r="M16" s="272"/>
      <c r="N16" s="272"/>
      <c r="O16" s="272"/>
      <c r="P16" s="272"/>
      <c r="Q16" s="272"/>
      <c r="R16" s="272"/>
      <c r="S16" s="272"/>
      <c r="T16" s="272"/>
      <c r="U16" s="272"/>
      <c r="V16" s="272"/>
      <c r="W16" s="272"/>
      <c r="X16" s="272"/>
      <c r="Y16" s="272"/>
      <c r="Z16" s="272"/>
      <c r="AA16" s="272"/>
      <c r="AB16" s="272"/>
      <c r="AC16" s="272"/>
      <c r="AD16" s="272"/>
    </row>
    <row r="17" spans="2:30" s="112" customFormat="1" ht="18" customHeight="1" outlineLevel="1" x14ac:dyDescent="0.3">
      <c r="G17" s="272"/>
      <c r="H17" s="516" t="s">
        <v>1149</v>
      </c>
      <c r="K17" s="517">
        <f>VLOOKUP($K$16,Table_TSCD[],COUNTA(Table_TSCD[[#Headers],[Mã Tài sản]:[Giá trị sổ sách]]),0)</f>
        <v>500000000</v>
      </c>
      <c r="L17" s="272"/>
      <c r="M17" s="272"/>
      <c r="N17" s="272"/>
      <c r="O17" s="272"/>
      <c r="P17" s="272"/>
      <c r="Q17" s="272"/>
      <c r="R17" s="272"/>
      <c r="S17" s="272"/>
      <c r="T17" s="272"/>
      <c r="U17" s="272"/>
      <c r="V17" s="272"/>
      <c r="W17" s="272"/>
      <c r="X17" s="272"/>
      <c r="Y17" s="272"/>
      <c r="Z17" s="272"/>
      <c r="AA17" s="272"/>
      <c r="AB17" s="272"/>
      <c r="AC17" s="272"/>
      <c r="AD17" s="272"/>
    </row>
    <row r="18" spans="2:30" s="112" customFormat="1" ht="18" customHeight="1" outlineLevel="1" x14ac:dyDescent="0.3">
      <c r="G18" s="272"/>
      <c r="H18" s="516" t="s">
        <v>1145</v>
      </c>
      <c r="I18" s="272"/>
      <c r="J18" s="272"/>
      <c r="K18" s="517">
        <f>VLOOKUP($K$16,Table_TSCD[],COUNTA(Table_TSCD[[#Headers],[Mã Tài sản]:[Giá trị khấu hao (tháng)]]),0)</f>
        <v>8333333.333333333</v>
      </c>
      <c r="L18" s="272"/>
      <c r="M18" s="272"/>
      <c r="N18" s="272"/>
      <c r="O18" s="272"/>
      <c r="P18" s="272"/>
      <c r="Q18" s="272"/>
      <c r="R18" s="272"/>
      <c r="S18" s="272"/>
      <c r="T18" s="272"/>
      <c r="U18" s="272"/>
      <c r="V18" s="272"/>
      <c r="W18" s="272"/>
      <c r="X18" s="272"/>
      <c r="Y18" s="272"/>
      <c r="Z18" s="272"/>
      <c r="AA18" s="272"/>
      <c r="AB18" s="272"/>
      <c r="AC18" s="272"/>
      <c r="AD18" s="272"/>
    </row>
    <row r="19" spans="2:30" s="112" customFormat="1" ht="18" customHeight="1" outlineLevel="1" x14ac:dyDescent="0.3">
      <c r="G19" s="272"/>
      <c r="H19" s="516" t="s">
        <v>1146</v>
      </c>
      <c r="I19" s="272"/>
      <c r="J19" s="272"/>
      <c r="K19" s="520">
        <f ca="1">VLOOKUP($K$16,Table_TSCD[],COUNTA(Table_TSCD[[#Headers],[Mã Tài sản]:[Tỷ lệ khấu hao]]),0)</f>
        <v>0.35208761122518817</v>
      </c>
      <c r="L19" s="272"/>
      <c r="M19" s="272"/>
      <c r="N19" s="272"/>
      <c r="O19" s="272"/>
      <c r="P19" s="272"/>
      <c r="Q19" s="272"/>
      <c r="R19" s="272"/>
      <c r="S19" s="272"/>
      <c r="T19" s="272"/>
      <c r="U19" s="272"/>
      <c r="V19" s="272"/>
      <c r="W19" s="272"/>
      <c r="X19" s="272"/>
      <c r="Y19" s="272"/>
      <c r="Z19" s="272"/>
      <c r="AA19" s="272"/>
      <c r="AB19" s="272"/>
      <c r="AC19" s="272"/>
      <c r="AD19" s="272"/>
    </row>
    <row r="20" spans="2:30" s="112" customFormat="1" ht="18" customHeight="1" outlineLevel="1" x14ac:dyDescent="0.3">
      <c r="G20" s="272"/>
      <c r="H20" s="516" t="s">
        <v>1147</v>
      </c>
      <c r="I20" s="272"/>
      <c r="J20" s="272"/>
      <c r="K20" s="521">
        <f>VLOOKUP($K$16,Table_TSCD[],COUNTA(Table_TSCD[[#Headers],[Mã Tài sản]:[Ngày kết thúc]]),0)</f>
        <v>47226</v>
      </c>
      <c r="L20" s="272"/>
      <c r="M20" s="272"/>
      <c r="N20" s="272"/>
      <c r="O20" s="272"/>
      <c r="P20" s="272"/>
      <c r="Q20" s="272"/>
      <c r="R20" s="272"/>
      <c r="S20" s="272"/>
      <c r="T20" s="272"/>
      <c r="U20" s="272"/>
      <c r="V20" s="272"/>
      <c r="W20" s="272"/>
      <c r="X20" s="272"/>
      <c r="Y20" s="272"/>
      <c r="Z20" s="272"/>
      <c r="AA20" s="272"/>
      <c r="AB20" s="272"/>
      <c r="AC20" s="272"/>
      <c r="AD20" s="272"/>
    </row>
    <row r="21" spans="2:30" s="112" customFormat="1" ht="18" customHeight="1" outlineLevel="1" x14ac:dyDescent="0.3">
      <c r="G21" s="272"/>
      <c r="H21" s="516" t="s">
        <v>1148</v>
      </c>
      <c r="I21" s="272"/>
      <c r="J21" s="272"/>
      <c r="K21" s="517">
        <f ca="1">K20-TODAY()</f>
        <v>1183</v>
      </c>
      <c r="L21" s="272"/>
      <c r="M21" s="272"/>
      <c r="N21" s="272"/>
      <c r="O21" s="272"/>
      <c r="P21" s="272"/>
      <c r="Q21" s="272"/>
      <c r="R21" s="272"/>
      <c r="S21" s="272"/>
      <c r="T21" s="272"/>
      <c r="U21" s="272"/>
      <c r="V21" s="272"/>
      <c r="W21" s="272"/>
      <c r="X21" s="272"/>
      <c r="Y21" s="272"/>
      <c r="Z21" s="272"/>
      <c r="AA21" s="272"/>
      <c r="AB21" s="272"/>
      <c r="AC21" s="272"/>
      <c r="AD21" s="272"/>
    </row>
    <row r="22" spans="2:30" s="112" customFormat="1" ht="18" customHeight="1" outlineLevel="1" x14ac:dyDescent="0.3">
      <c r="G22" s="272"/>
      <c r="H22" s="272"/>
      <c r="I22" s="272"/>
      <c r="J22" s="272"/>
      <c r="L22" s="272"/>
      <c r="M22" s="272"/>
      <c r="N22" s="272"/>
      <c r="O22" s="272"/>
      <c r="P22" s="272"/>
      <c r="Q22" s="272"/>
      <c r="R22" s="272"/>
      <c r="S22" s="272"/>
      <c r="T22" s="272"/>
      <c r="U22" s="272"/>
      <c r="V22" s="272"/>
      <c r="W22" s="272"/>
      <c r="X22" s="272"/>
      <c r="Y22" s="272"/>
      <c r="Z22" s="272"/>
      <c r="AA22" s="272"/>
      <c r="AB22" s="272"/>
      <c r="AC22" s="272"/>
      <c r="AD22" s="272"/>
    </row>
    <row r="23" spans="2:30" s="112" customFormat="1" ht="16.5" x14ac:dyDescent="0.3">
      <c r="B23" s="97" t="s">
        <v>23</v>
      </c>
      <c r="C23" t="s">
        <v>865</v>
      </c>
      <c r="D23" t="s">
        <v>1142</v>
      </c>
      <c r="E23" t="s">
        <v>1143</v>
      </c>
      <c r="G23" s="272"/>
      <c r="H23" s="112" t="s">
        <v>827</v>
      </c>
      <c r="I23" s="112" t="s">
        <v>828</v>
      </c>
      <c r="J23" s="112" t="s">
        <v>588</v>
      </c>
      <c r="K23" s="112" t="s">
        <v>773</v>
      </c>
      <c r="L23" s="112" t="s">
        <v>829</v>
      </c>
      <c r="M23" s="112" t="s">
        <v>830</v>
      </c>
      <c r="N23" s="112" t="s">
        <v>831</v>
      </c>
      <c r="O23" s="112" t="s">
        <v>832</v>
      </c>
      <c r="P23" s="112" t="s">
        <v>833</v>
      </c>
      <c r="Q23" s="112" t="s">
        <v>834</v>
      </c>
      <c r="R23" s="112" t="s">
        <v>835</v>
      </c>
      <c r="S23" s="112" t="s">
        <v>836</v>
      </c>
      <c r="T23" s="112" t="s">
        <v>661</v>
      </c>
      <c r="U23" s="112" t="s">
        <v>837</v>
      </c>
      <c r="V23" s="112" t="s">
        <v>838</v>
      </c>
      <c r="W23" s="112" t="s">
        <v>710</v>
      </c>
      <c r="X23" s="112" t="s">
        <v>686</v>
      </c>
      <c r="Y23" s="112" t="s">
        <v>1137</v>
      </c>
      <c r="Z23" s="112" t="s">
        <v>1138</v>
      </c>
      <c r="AA23" s="514" t="s">
        <v>1139</v>
      </c>
      <c r="AB23" s="112" t="s">
        <v>1140</v>
      </c>
      <c r="AC23" s="112" t="s">
        <v>1141</v>
      </c>
      <c r="AD23" s="7" t="s">
        <v>883</v>
      </c>
    </row>
    <row r="24" spans="2:30" ht="16.5" x14ac:dyDescent="0.3">
      <c r="B24" s="98" t="s">
        <v>818</v>
      </c>
      <c r="C24" s="511">
        <v>5000000000</v>
      </c>
      <c r="D24" s="511">
        <v>440109514.03148526</v>
      </c>
      <c r="E24" s="515">
        <v>8.8021902806297056E-2</v>
      </c>
      <c r="G24" s="242"/>
      <c r="H24" s="242" t="s">
        <v>1131</v>
      </c>
      <c r="I24" s="242"/>
      <c r="J24" s="242" t="s">
        <v>765</v>
      </c>
      <c r="K24" s="242" t="s">
        <v>824</v>
      </c>
      <c r="L24" s="15"/>
      <c r="M24" s="242"/>
      <c r="N24" s="15">
        <v>350000000</v>
      </c>
      <c r="O24" s="407">
        <v>45175</v>
      </c>
      <c r="P24" s="15">
        <v>10</v>
      </c>
      <c r="Q24" s="18">
        <f>Table_TSCD[[#This Row],[Năm khấu hao]]*12</f>
        <v>120</v>
      </c>
      <c r="R24" s="407">
        <v>45175</v>
      </c>
      <c r="S24" s="407"/>
      <c r="T24" s="270">
        <f xml:space="preserve">
IF(
ISBLANK(Table_TSCD[[#This Row],[Ngày vận hành]]),
0,
Table_TSCD[[#This Row],[Ngày vận hành]] + ROUND(Table_TSCD[[#This Row],[Tháng khấu hao]] * (365.25/12), 0)
)</f>
        <v>48828</v>
      </c>
      <c r="U24" s="18">
        <f>IFERROR(
Table_TSCD[[#This Row],[Giá trị sổ sách]]/Table_TSCD[[#This Row],[Tháng khấu hao]],
0)</f>
        <v>2916666.6666666665</v>
      </c>
      <c r="V24" s="249"/>
      <c r="W24" s="68"/>
      <c r="X24" s="18">
        <f>IFERROR(
IF(Table_TSCD[[#This Row],[Tình trạng VAT]] = "Chưa khấu trừ / bồi hoàn",
Table_TSCD[[#This Row],[Tỷ suất VAT]]*(Table_TSCD[[#This Row],[Giá trị sổ sách]]/(1+Table_TSCD[[#This Row],[Tỷ suất VAT]])),
0),0)</f>
        <v>0</v>
      </c>
      <c r="Y24" s="18">
        <f ca="1">MAX(0,IF(ISBLANK(Table_TSCD[[#This Row],[Ngày vận hành]]),0,
IF(ISBLANK(Table_TSCD[[#This Row],[Ngày thanh lý]]),
TODAY()-Table_TSCD[[#This Row],[Ngày vận hành]],
MIN(TODAY(),Table_TSCD[[#This Row],[Ngày thanh lý]])-Table_TSCD[[#This Row],[Ngày vận hành]]
)))</f>
        <v>868</v>
      </c>
      <c r="Z24" s="18">
        <f ca="1">MIN(Table_TSCD[[#This Row],[Giá trị sổ sách]],Table_TSCD[[#This Row],[Giá trị sổ sách]]/(Table_TSCD[[#This Row],[Tháng khấu hao]]*365.25/12)*Table_TSCD[[#This Row],[Số ngày vận hành]])</f>
        <v>83175906.913073227</v>
      </c>
      <c r="AA24" s="71">
        <f ca="1">Table_TSCD[[#This Row],[Khấu hao lũy kế theo ngày]]/Table_TSCD[[#This Row],[Giá trị sổ sách]]</f>
        <v>0.23764544832306636</v>
      </c>
      <c r="AB24" s="18">
        <f ca="1">Table_TSCD[[#This Row],[Giá trị sổ sách]]-Table_TSCD[[#This Row],[Khấu hao lũy kế theo ngày]]</f>
        <v>266824093.08692676</v>
      </c>
      <c r="AC24" s="18">
        <f ca="1">MAX(0,IF(ISBLANK(Table_TSCD[[#This Row],[Ngày vận hành]]),0,
IF(ISBLANK(Table_TSCD[[#This Row],[Ngày thanh lý]]),
Table_TSCD[[#This Row],[Ngày kết thúc]]-TODAY(),0
)))</f>
        <v>2785</v>
      </c>
      <c r="AD24" s="242"/>
    </row>
    <row r="25" spans="2:30" ht="16.5" x14ac:dyDescent="0.3">
      <c r="B25" s="510" t="s">
        <v>1135</v>
      </c>
      <c r="C25" s="511">
        <v>5000000000</v>
      </c>
      <c r="D25" s="511">
        <v>440109514.03148526</v>
      </c>
      <c r="E25" s="515">
        <v>8.8021902806297056E-2</v>
      </c>
      <c r="G25" s="7" t="s">
        <v>1009</v>
      </c>
      <c r="H25" s="242" t="s">
        <v>1132</v>
      </c>
      <c r="I25" s="242"/>
      <c r="J25" s="242" t="s">
        <v>766</v>
      </c>
      <c r="K25" s="242" t="s">
        <v>822</v>
      </c>
      <c r="L25" s="15"/>
      <c r="M25" s="242"/>
      <c r="N25" s="15">
        <v>25000000</v>
      </c>
      <c r="O25" s="407">
        <v>45336</v>
      </c>
      <c r="P25" s="15">
        <v>3</v>
      </c>
      <c r="Q25" s="18">
        <f>Table_TSCD[[#This Row],[Năm khấu hao]]*12</f>
        <v>36</v>
      </c>
      <c r="R25" s="407">
        <v>45336</v>
      </c>
      <c r="S25" s="407"/>
      <c r="T25" s="270">
        <f xml:space="preserve">
IF(
ISBLANK(Table_TSCD[[#This Row],[Ngày vận hành]]),
0,
Table_TSCD[[#This Row],[Ngày vận hành]] + ROUND(Table_TSCD[[#This Row],[Tháng khấu hao]] * (365.25/12), 0)
)</f>
        <v>46432</v>
      </c>
      <c r="U25" s="18">
        <f>IFERROR(
Table_TSCD[[#This Row],[Giá trị sổ sách]]/Table_TSCD[[#This Row],[Tháng khấu hao]],
0)</f>
        <v>694444.4444444445</v>
      </c>
      <c r="V25" s="249"/>
      <c r="W25" s="68"/>
      <c r="X25" s="18">
        <f>IFERROR(
IF(Table_TSCD[[#This Row],[Tình trạng VAT]] = "Chưa khấu trừ / bồi hoàn",
Table_TSCD[[#This Row],[Tỷ suất VAT]]*(Table_TSCD[[#This Row],[Giá trị sổ sách]]/(1+Table_TSCD[[#This Row],[Tỷ suất VAT]])),
0),0)</f>
        <v>0</v>
      </c>
      <c r="Y25" s="18">
        <f ca="1">MAX(0,IF(ISBLANK(Table_TSCD[[#This Row],[Ngày vận hành]]),0,
IF(ISBLANK(Table_TSCD[[#This Row],[Ngày thanh lý]]),
TODAY()-Table_TSCD[[#This Row],[Ngày vận hành]],
MIN(TODAY(),Table_TSCD[[#This Row],[Ngày thanh lý]])-Table_TSCD[[#This Row],[Ngày vận hành]]
)))</f>
        <v>707</v>
      </c>
      <c r="Z25" s="18">
        <f ca="1">MIN(Table_TSCD[[#This Row],[Giá trị sổ sách]],Table_TSCD[[#This Row],[Giá trị sổ sách]]/(Table_TSCD[[#This Row],[Tháng khấu hao]]*365.25/12)*Table_TSCD[[#This Row],[Số ngày vận hành]])</f>
        <v>16130504.220853297</v>
      </c>
      <c r="AA25" s="71">
        <f ca="1">Table_TSCD[[#This Row],[Khấu hao lũy kế theo ngày]]/Table_TSCD[[#This Row],[Giá trị sổ sách]]</f>
        <v>0.64522016883413191</v>
      </c>
      <c r="AB25" s="18">
        <f ca="1">Table_TSCD[[#This Row],[Giá trị sổ sách]]-Table_TSCD[[#This Row],[Khấu hao lũy kế theo ngày]]</f>
        <v>8869495.779146703</v>
      </c>
      <c r="AC25" s="18">
        <f ca="1">MAX(0,IF(ISBLANK(Table_TSCD[[#This Row],[Ngày vận hành]]),0,
IF(ISBLANK(Table_TSCD[[#This Row],[Ngày thanh lý]]),
Table_TSCD[[#This Row],[Ngày kết thúc]]-TODAY(),0
)))</f>
        <v>389</v>
      </c>
      <c r="AD25" s="242"/>
    </row>
    <row r="26" spans="2:30" ht="16.5" x14ac:dyDescent="0.3">
      <c r="B26" s="98" t="s">
        <v>817</v>
      </c>
      <c r="C26" s="511">
        <v>3000000000</v>
      </c>
      <c r="D26" s="511">
        <v>269733059.54825461</v>
      </c>
      <c r="E26" s="515">
        <v>8.9911019849418197E-2</v>
      </c>
      <c r="H26" s="242" t="s">
        <v>1133</v>
      </c>
      <c r="I26" s="242"/>
      <c r="J26" s="242" t="s">
        <v>766</v>
      </c>
      <c r="K26" s="242" t="s">
        <v>820</v>
      </c>
      <c r="L26" s="15"/>
      <c r="M26" s="242"/>
      <c r="N26" s="15">
        <v>500000000</v>
      </c>
      <c r="O26" s="407">
        <v>45336</v>
      </c>
      <c r="P26" s="15">
        <v>5</v>
      </c>
      <c r="Q26" s="18">
        <f>Table_TSCD[[#This Row],[Năm khấu hao]]*12</f>
        <v>60</v>
      </c>
      <c r="R26" s="407">
        <v>45400</v>
      </c>
      <c r="S26" s="407"/>
      <c r="T26" s="270">
        <f xml:space="preserve">
IF(
ISBLANK(Table_TSCD[[#This Row],[Ngày vận hành]]),
0,
Table_TSCD[[#This Row],[Ngày vận hành]] + ROUND(Table_TSCD[[#This Row],[Tháng khấu hao]] * (365.25/12), 0)
)</f>
        <v>47226</v>
      </c>
      <c r="U26" s="18">
        <f>IFERROR(
Table_TSCD[[#This Row],[Giá trị sổ sách]]/Table_TSCD[[#This Row],[Tháng khấu hao]],
0)</f>
        <v>8333333.333333333</v>
      </c>
      <c r="V26" s="249"/>
      <c r="W26" s="68"/>
      <c r="X26" s="18">
        <f>IFERROR(
IF(Table_TSCD[[#This Row],[Tình trạng VAT]] = "Chưa khấu trừ / bồi hoàn",
Table_TSCD[[#This Row],[Tỷ suất VAT]]*(Table_TSCD[[#This Row],[Giá trị sổ sách]]/(1+Table_TSCD[[#This Row],[Tỷ suất VAT]])),
0),0)</f>
        <v>0</v>
      </c>
      <c r="Y26" s="18">
        <f ca="1">MAX(0,IF(ISBLANK(Table_TSCD[[#This Row],[Ngày vận hành]]),0,
IF(ISBLANK(Table_TSCD[[#This Row],[Ngày thanh lý]]),
TODAY()-Table_TSCD[[#This Row],[Ngày vận hành]],
MIN(TODAY(),Table_TSCD[[#This Row],[Ngày thanh lý]])-Table_TSCD[[#This Row],[Ngày vận hành]]
)))</f>
        <v>643</v>
      </c>
      <c r="Z26" s="18">
        <f ca="1">MIN(Table_TSCD[[#This Row],[Giá trị sổ sách]],Table_TSCD[[#This Row],[Giá trị sổ sách]]/(Table_TSCD[[#This Row],[Tháng khấu hao]]*365.25/12)*Table_TSCD[[#This Row],[Số ngày vận hành]])</f>
        <v>176043805.6125941</v>
      </c>
      <c r="AA26" s="71">
        <f ca="1">Table_TSCD[[#This Row],[Khấu hao lũy kế theo ngày]]/Table_TSCD[[#This Row],[Giá trị sổ sách]]</f>
        <v>0.35208761122518817</v>
      </c>
      <c r="AB26" s="18">
        <f ca="1">Table_TSCD[[#This Row],[Giá trị sổ sách]]-Table_TSCD[[#This Row],[Khấu hao lũy kế theo ngày]]</f>
        <v>323956194.38740587</v>
      </c>
      <c r="AC26" s="18">
        <f ca="1">MAX(0,IF(ISBLANK(Table_TSCD[[#This Row],[Ngày vận hành]]),0,
IF(ISBLANK(Table_TSCD[[#This Row],[Ngày thanh lý]]),
Table_TSCD[[#This Row],[Ngày kết thúc]]-TODAY(),0
)))</f>
        <v>1183</v>
      </c>
      <c r="AD26" s="242"/>
    </row>
    <row r="27" spans="2:30" ht="16.5" x14ac:dyDescent="0.3">
      <c r="B27" s="510" t="s">
        <v>1136</v>
      </c>
      <c r="C27" s="511">
        <v>3000000000</v>
      </c>
      <c r="D27" s="511">
        <v>269733059.54825461</v>
      </c>
      <c r="E27" s="515">
        <v>8.9911019849418197E-2</v>
      </c>
      <c r="H27" s="242" t="s">
        <v>1134</v>
      </c>
      <c r="I27" s="242"/>
      <c r="J27" s="242" t="s">
        <v>765</v>
      </c>
      <c r="K27" s="242" t="s">
        <v>819</v>
      </c>
      <c r="L27" s="15"/>
      <c r="M27" s="242"/>
      <c r="N27" s="15">
        <v>1000000000</v>
      </c>
      <c r="O27" s="407">
        <v>45223</v>
      </c>
      <c r="P27" s="15">
        <v>10</v>
      </c>
      <c r="Q27" s="18">
        <f>Table_TSCD[[#This Row],[Năm khấu hao]]*12</f>
        <v>120</v>
      </c>
      <c r="R27" s="407">
        <v>45223</v>
      </c>
      <c r="S27" s="407"/>
      <c r="T27" s="270">
        <f xml:space="preserve">
IF(
ISBLANK(Table_TSCD[[#This Row],[Ngày vận hành]]),
0,
Table_TSCD[[#This Row],[Ngày vận hành]] + ROUND(Table_TSCD[[#This Row],[Tháng khấu hao]] * (365.25/12), 0)
)</f>
        <v>48876</v>
      </c>
      <c r="U27" s="18">
        <f>IFERROR(
Table_TSCD[[#This Row],[Giá trị sổ sách]]/Table_TSCD[[#This Row],[Tháng khấu hao]],
0)</f>
        <v>8333333.333333333</v>
      </c>
      <c r="V27" s="249"/>
      <c r="W27" s="68"/>
      <c r="X27" s="18">
        <f>IFERROR(
IF(Table_TSCD[[#This Row],[Tình trạng VAT]] = "Chưa khấu trừ / bồi hoàn",
Table_TSCD[[#This Row],[Tỷ suất VAT]]*(Table_TSCD[[#This Row],[Giá trị sổ sách]]/(1+Table_TSCD[[#This Row],[Tỷ suất VAT]])),
0),0)</f>
        <v>0</v>
      </c>
      <c r="Y27" s="18">
        <f ca="1">MAX(0,IF(ISBLANK(Table_TSCD[[#This Row],[Ngày vận hành]]),0,
IF(ISBLANK(Table_TSCD[[#This Row],[Ngày thanh lý]]),
TODAY()-Table_TSCD[[#This Row],[Ngày vận hành]],
MIN(TODAY(),Table_TSCD[[#This Row],[Ngày thanh lý]])-Table_TSCD[[#This Row],[Ngày vận hành]]
)))</f>
        <v>820</v>
      </c>
      <c r="Z27" s="18">
        <f ca="1">MIN(Table_TSCD[[#This Row],[Giá trị sổ sách]],Table_TSCD[[#This Row],[Giá trị sổ sách]]/(Table_TSCD[[#This Row],[Tháng khấu hao]]*365.25/12)*Table_TSCD[[#This Row],[Số ngày vận hành]])</f>
        <v>224503764.54483229</v>
      </c>
      <c r="AA27" s="71">
        <f ca="1">Table_TSCD[[#This Row],[Khấu hao lũy kế theo ngày]]/Table_TSCD[[#This Row],[Giá trị sổ sách]]</f>
        <v>0.22450376454483228</v>
      </c>
      <c r="AB27" s="18">
        <f ca="1">Table_TSCD[[#This Row],[Giá trị sổ sách]]-Table_TSCD[[#This Row],[Khấu hao lũy kế theo ngày]]</f>
        <v>775496235.45516777</v>
      </c>
      <c r="AC27" s="18">
        <f ca="1">MAX(0,IF(ISBLANK(Table_TSCD[[#This Row],[Ngày vận hành]]),0,
IF(ISBLANK(Table_TSCD[[#This Row],[Ngày thanh lý]]),
Table_TSCD[[#This Row],[Ngày kết thúc]]-TODAY(),0
)))</f>
        <v>2833</v>
      </c>
      <c r="AD27" s="242"/>
    </row>
    <row r="28" spans="2:30" ht="16.5" x14ac:dyDescent="0.3">
      <c r="B28" s="98" t="s">
        <v>819</v>
      </c>
      <c r="C28" s="511">
        <v>1000000000</v>
      </c>
      <c r="D28" s="511">
        <v>162902121.83436003</v>
      </c>
      <c r="E28" s="515">
        <v>0.16290212183436004</v>
      </c>
      <c r="H28" s="242" t="s">
        <v>1135</v>
      </c>
      <c r="I28" s="242"/>
      <c r="J28" s="242" t="s">
        <v>595</v>
      </c>
      <c r="K28" s="242" t="s">
        <v>818</v>
      </c>
      <c r="L28" s="15"/>
      <c r="M28" s="242"/>
      <c r="N28" s="15">
        <v>5000000000</v>
      </c>
      <c r="O28" s="407">
        <v>45175</v>
      </c>
      <c r="P28" s="15">
        <v>20</v>
      </c>
      <c r="Q28" s="18">
        <f>Table_TSCD[[#This Row],[Năm khấu hao]]*12</f>
        <v>240</v>
      </c>
      <c r="R28" s="407">
        <v>45175</v>
      </c>
      <c r="S28" s="407"/>
      <c r="T28" s="270">
        <f xml:space="preserve">
IF(
ISBLANK(Table_TSCD[[#This Row],[Ngày vận hành]]),
0,
Table_TSCD[[#This Row],[Ngày vận hành]] + ROUND(Table_TSCD[[#This Row],[Tháng khấu hao]] * (365.25/12), 0)
)</f>
        <v>52480</v>
      </c>
      <c r="U28" s="18">
        <f>IFERROR(
Table_TSCD[[#This Row],[Giá trị sổ sách]]/Table_TSCD[[#This Row],[Tháng khấu hao]],
0)</f>
        <v>20833333.333333332</v>
      </c>
      <c r="V28" s="249"/>
      <c r="W28" s="68"/>
      <c r="X28" s="18">
        <f>IFERROR(
IF(Table_TSCD[[#This Row],[Tình trạng VAT]] = "Chưa khấu trừ / bồi hoàn",
Table_TSCD[[#This Row],[Tỷ suất VAT]]*(Table_TSCD[[#This Row],[Giá trị sổ sách]]/(1+Table_TSCD[[#This Row],[Tỷ suất VAT]])),
0),0)</f>
        <v>0</v>
      </c>
      <c r="Y28" s="18">
        <f ca="1">MAX(0,IF(ISBLANK(Table_TSCD[[#This Row],[Ngày vận hành]]),0,
IF(ISBLANK(Table_TSCD[[#This Row],[Ngày thanh lý]]),
TODAY()-Table_TSCD[[#This Row],[Ngày vận hành]],
MIN(TODAY(),Table_TSCD[[#This Row],[Ngày thanh lý]])-Table_TSCD[[#This Row],[Ngày vận hành]]
)))</f>
        <v>868</v>
      </c>
      <c r="Z28" s="18">
        <f ca="1">MIN(Table_TSCD[[#This Row],[Giá trị sổ sách]],Table_TSCD[[#This Row],[Giá trị sổ sách]]/(Table_TSCD[[#This Row],[Tháng khấu hao]]*365.25/12)*Table_TSCD[[#This Row],[Số ngày vận hành]])</f>
        <v>594113620.80766594</v>
      </c>
      <c r="AA28" s="71">
        <f ca="1">Table_TSCD[[#This Row],[Khấu hao lũy kế theo ngày]]/Table_TSCD[[#This Row],[Giá trị sổ sách]]</f>
        <v>0.11882272416153319</v>
      </c>
      <c r="AB28" s="18">
        <f ca="1">Table_TSCD[[#This Row],[Giá trị sổ sách]]-Table_TSCD[[#This Row],[Khấu hao lũy kế theo ngày]]</f>
        <v>4405886379.1923342</v>
      </c>
      <c r="AC28" s="18">
        <f ca="1">MAX(0,IF(ISBLANK(Table_TSCD[[#This Row],[Ngày vận hành]]),0,
IF(ISBLANK(Table_TSCD[[#This Row],[Ngày thanh lý]]),
Table_TSCD[[#This Row],[Ngày kết thúc]]-TODAY(),0
)))</f>
        <v>6437</v>
      </c>
      <c r="AD28" s="242"/>
    </row>
    <row r="29" spans="2:30" ht="16.5" x14ac:dyDescent="0.3">
      <c r="B29" s="510" t="s">
        <v>1134</v>
      </c>
      <c r="C29" s="511">
        <v>1000000000</v>
      </c>
      <c r="D29" s="511">
        <v>162902121.83436003</v>
      </c>
      <c r="E29" s="515">
        <v>0.16290212183436004</v>
      </c>
      <c r="H29" s="242" t="s">
        <v>1136</v>
      </c>
      <c r="I29" s="242"/>
      <c r="J29" s="242" t="s">
        <v>595</v>
      </c>
      <c r="K29" s="242" t="s">
        <v>817</v>
      </c>
      <c r="L29" s="15"/>
      <c r="M29" s="242"/>
      <c r="N29" s="15">
        <v>3000000000</v>
      </c>
      <c r="O29" s="407">
        <v>44997</v>
      </c>
      <c r="P29" s="15">
        <v>25</v>
      </c>
      <c r="Q29" s="18">
        <f>Table_TSCD[[#This Row],[Năm khấu hao]]*12</f>
        <v>300</v>
      </c>
      <c r="R29" s="407">
        <v>44997</v>
      </c>
      <c r="S29" s="407"/>
      <c r="T29" s="270">
        <f xml:space="preserve">
IF(
ISBLANK(Table_TSCD[[#This Row],[Ngày vận hành]]),
0,
Table_TSCD[[#This Row],[Ngày vận hành]] + ROUND(Table_TSCD[[#This Row],[Tháng khấu hao]] * (365.25/12), 0)
)</f>
        <v>54128</v>
      </c>
      <c r="U29" s="18">
        <f>IFERROR(
Table_TSCD[[#This Row],[Giá trị sổ sách]]/Table_TSCD[[#This Row],[Tháng khấu hao]],
0)</f>
        <v>10000000</v>
      </c>
      <c r="V29" s="249"/>
      <c r="W29" s="68"/>
      <c r="X29" s="18">
        <f>IFERROR(
IF(Table_TSCD[[#This Row],[Tình trạng VAT]] = "Chưa khấu trừ / bồi hoàn",
Table_TSCD[[#This Row],[Tỷ suất VAT]]*(Table_TSCD[[#This Row],[Giá trị sổ sách]]/(1+Table_TSCD[[#This Row],[Tỷ suất VAT]])),
0),0)</f>
        <v>0</v>
      </c>
      <c r="Y29" s="18">
        <f ca="1">MAX(0,IF(ISBLANK(Table_TSCD[[#This Row],[Ngày vận hành]]),0,
IF(ISBLANK(Table_TSCD[[#This Row],[Ngày thanh lý]]),
TODAY()-Table_TSCD[[#This Row],[Ngày vận hành]],
MIN(TODAY(),Table_TSCD[[#This Row],[Ngày thanh lý]])-Table_TSCD[[#This Row],[Ngày vận hành]]
)))</f>
        <v>1046</v>
      </c>
      <c r="Z29" s="18">
        <f ca="1">MIN(Table_TSCD[[#This Row],[Giá trị sổ sách]],Table_TSCD[[#This Row],[Giá trị sổ sách]]/(Table_TSCD[[#This Row],[Tháng khấu hao]]*365.25/12)*Table_TSCD[[#This Row],[Số ngày vận hành]])</f>
        <v>343655030.80082136</v>
      </c>
      <c r="AA29" s="71">
        <f ca="1">Table_TSCD[[#This Row],[Khấu hao lũy kế theo ngày]]/Table_TSCD[[#This Row],[Giá trị sổ sách]]</f>
        <v>0.11455167693360713</v>
      </c>
      <c r="AB29" s="18">
        <f ca="1">Table_TSCD[[#This Row],[Giá trị sổ sách]]-Table_TSCD[[#This Row],[Khấu hao lũy kế theo ngày]]</f>
        <v>2656344969.1991787</v>
      </c>
      <c r="AC29" s="18">
        <f ca="1">MAX(0,IF(ISBLANK(Table_TSCD[[#This Row],[Ngày vận hành]]),0,
IF(ISBLANK(Table_TSCD[[#This Row],[Ngày thanh lý]]),
Table_TSCD[[#This Row],[Ngày kết thúc]]-TODAY(),0
)))</f>
        <v>8085</v>
      </c>
      <c r="AD29" s="242"/>
    </row>
    <row r="30" spans="2:30" ht="16.5" x14ac:dyDescent="0.3">
      <c r="B30" s="98" t="s">
        <v>820</v>
      </c>
      <c r="C30" s="511">
        <v>500000000</v>
      </c>
      <c r="D30" s="511">
        <v>114442162.90212183</v>
      </c>
      <c r="E30" s="515">
        <v>0.22888432580424364</v>
      </c>
    </row>
    <row r="31" spans="2:30" ht="16.5" x14ac:dyDescent="0.3">
      <c r="B31" s="510" t="s">
        <v>1133</v>
      </c>
      <c r="C31" s="511">
        <v>500000000</v>
      </c>
      <c r="D31" s="511">
        <v>114442162.90212183</v>
      </c>
      <c r="E31" s="515">
        <v>0.22888432580424364</v>
      </c>
    </row>
    <row r="32" spans="2:30" ht="16.5" x14ac:dyDescent="0.3">
      <c r="B32" s="98" t="s">
        <v>824</v>
      </c>
      <c r="C32" s="511">
        <v>350000000</v>
      </c>
      <c r="D32" s="511">
        <v>61615331.964407936</v>
      </c>
      <c r="E32" s="515">
        <v>0.17604380561259411</v>
      </c>
      <c r="N32" s="7"/>
    </row>
    <row r="33" spans="2:14" ht="16.5" x14ac:dyDescent="0.3">
      <c r="B33" s="510" t="s">
        <v>1131</v>
      </c>
      <c r="C33" s="511">
        <v>350000000</v>
      </c>
      <c r="D33" s="511">
        <v>61615331.964407936</v>
      </c>
      <c r="E33" s="515">
        <v>0.17604380561259411</v>
      </c>
      <c r="N33" s="7"/>
    </row>
    <row r="34" spans="2:14" ht="16.5" x14ac:dyDescent="0.3">
      <c r="B34" s="98" t="s">
        <v>822</v>
      </c>
      <c r="C34" s="511">
        <v>25000000</v>
      </c>
      <c r="D34" s="511">
        <v>10997033.994980607</v>
      </c>
      <c r="E34" s="515">
        <v>0.43988135979922427</v>
      </c>
      <c r="N34" s="7"/>
    </row>
    <row r="35" spans="2:14" ht="16.5" x14ac:dyDescent="0.3">
      <c r="B35" s="510" t="s">
        <v>1132</v>
      </c>
      <c r="C35" s="511">
        <v>25000000</v>
      </c>
      <c r="D35" s="511">
        <v>10997033.994980607</v>
      </c>
      <c r="E35" s="515">
        <v>0.43988135979922427</v>
      </c>
      <c r="N35" s="7"/>
    </row>
    <row r="36" spans="2:14" ht="16.5" x14ac:dyDescent="0.3">
      <c r="B36" s="98" t="s">
        <v>1112</v>
      </c>
      <c r="C36" s="511">
        <v>9875000000</v>
      </c>
      <c r="D36" s="511">
        <v>1059799224.2756101</v>
      </c>
      <c r="E36" s="515">
        <v>1.1856445357061374</v>
      </c>
      <c r="N36" s="7"/>
    </row>
    <row r="37" spans="2:14" ht="16.5" x14ac:dyDescent="0.3">
      <c r="B37"/>
      <c r="C37"/>
      <c r="D37"/>
      <c r="N37" s="7"/>
    </row>
    <row r="38" spans="2:14" ht="16.5" x14ac:dyDescent="0.3">
      <c r="B38"/>
      <c r="C38"/>
      <c r="D38"/>
      <c r="N38" s="7"/>
    </row>
    <row r="39" spans="2:14" ht="16.5" x14ac:dyDescent="0.3">
      <c r="B39"/>
      <c r="C39"/>
      <c r="D39"/>
      <c r="N39" s="7"/>
    </row>
    <row r="40" spans="2:14" ht="16.5" x14ac:dyDescent="0.3">
      <c r="B40"/>
      <c r="C40"/>
      <c r="D40"/>
      <c r="N40" s="7"/>
    </row>
  </sheetData>
  <sheetProtection algorithmName="SHA-512" hashValue="YaWaKASrk+MwqV4vsLxG/XBAwrNHXpnezK3Y1jGQx1mOyjUGU++d6RkR6zGSbgml3o+kae/V/7uRsRIxH64Z4A==" saltValue="ln3c9fZHr29hlqAaTOAagA==" spinCount="100000" sheet="1" scenarios="1" formatCells="0" formatColumns="0" formatRows="0" insertColumns="0" insertRows="0" deleteColumns="0" deleteRows="0" sort="0" autoFilter="0" pivotTables="0"/>
  <phoneticPr fontId="14" type="noConversion"/>
  <dataValidations count="4">
    <dataValidation type="list" allowBlank="1" showInputMessage="1" showErrorMessage="1" sqref="J24:J29" xr:uid="{5CA07399-52DE-4FB7-A811-ADD3CE8DDDFE}">
      <formula1>"Sản xuất, Bán hàng, Văn phòng"</formula1>
    </dataValidation>
    <dataValidation type="list" allowBlank="1" showInputMessage="1" showErrorMessage="1" sqref="V24:V29" xr:uid="{D0C176F8-330C-4233-9D88-A5228689979B}">
      <formula1>"Đã khấu trừ / bồi hoàn, Chưa khấu trừ / bồi hoàn"</formula1>
    </dataValidation>
    <dataValidation type="list" allowBlank="1" showInputMessage="1" showErrorMessage="1" sqref="K24:K29" xr:uid="{2E2EFDA6-0447-42CA-976A-D4956DD10C2F}">
      <formula1>$K$3:$K$13</formula1>
    </dataValidation>
    <dataValidation type="list" allowBlank="1" showInputMessage="1" showErrorMessage="1" sqref="K16" xr:uid="{FB910BE8-678F-44E9-B4E9-544178CAF9E7}">
      <formula1>MaTaiSan</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878" r:id="rId4" name="Option Button 6">
              <controlPr defaultSize="0" autoFill="0" autoLine="0" autoPict="0" macro="[0]!DoiDonViHienThi">
                <anchor moveWithCells="1">
                  <from>
                    <xdr:col>8</xdr:col>
                    <xdr:colOff>1104900</xdr:colOff>
                    <xdr:row>0</xdr:row>
                    <xdr:rowOff>152400</xdr:rowOff>
                  </from>
                  <to>
                    <xdr:col>9</xdr:col>
                    <xdr:colOff>514350</xdr:colOff>
                    <xdr:row>1</xdr:row>
                    <xdr:rowOff>142875</xdr:rowOff>
                  </to>
                </anchor>
              </controlPr>
            </control>
          </mc:Choice>
        </mc:AlternateContent>
        <mc:AlternateContent xmlns:mc="http://schemas.openxmlformats.org/markup-compatibility/2006">
          <mc:Choice Requires="x14">
            <control shapeId="79879" r:id="rId5" name="Option Button 7">
              <controlPr defaultSize="0" autoFill="0" autoLine="0" autoPict="0" macro="[0]!DoiDonViHienThi">
                <anchor moveWithCells="1">
                  <from>
                    <xdr:col>9</xdr:col>
                    <xdr:colOff>390525</xdr:colOff>
                    <xdr:row>0</xdr:row>
                    <xdr:rowOff>152400</xdr:rowOff>
                  </from>
                  <to>
                    <xdr:col>10</xdr:col>
                    <xdr:colOff>47625</xdr:colOff>
                    <xdr:row>1</xdr:row>
                    <xdr:rowOff>142875</xdr:rowOff>
                  </to>
                </anchor>
              </controlPr>
            </control>
          </mc:Choice>
        </mc:AlternateContent>
        <mc:AlternateContent xmlns:mc="http://schemas.openxmlformats.org/markup-compatibility/2006">
          <mc:Choice Requires="x14">
            <control shapeId="79880" r:id="rId6" name="Option Button 8">
              <controlPr defaultSize="0" autoFill="0" autoLine="0" autoPict="0" macro="[0]!DoiDonViHienThi">
                <anchor moveWithCells="1">
                  <from>
                    <xdr:col>9</xdr:col>
                    <xdr:colOff>857250</xdr:colOff>
                    <xdr:row>0</xdr:row>
                    <xdr:rowOff>152400</xdr:rowOff>
                  </from>
                  <to>
                    <xdr:col>10</xdr:col>
                    <xdr:colOff>514350</xdr:colOff>
                    <xdr:row>1</xdr:row>
                    <xdr:rowOff>142875</xdr:rowOff>
                  </to>
                </anchor>
              </controlPr>
            </control>
          </mc:Choice>
        </mc:AlternateContent>
        <mc:AlternateContent xmlns:mc="http://schemas.openxmlformats.org/markup-compatibility/2006">
          <mc:Choice Requires="x14">
            <control shapeId="79881" r:id="rId7" name="Option Button 9">
              <controlPr defaultSize="0" autoFill="0" autoLine="0" autoPict="0" macro="[0]!DoiDonViHienThi">
                <anchor moveWithCells="1">
                  <from>
                    <xdr:col>10</xdr:col>
                    <xdr:colOff>400050</xdr:colOff>
                    <xdr:row>0</xdr:row>
                    <xdr:rowOff>152400</xdr:rowOff>
                  </from>
                  <to>
                    <xdr:col>10</xdr:col>
                    <xdr:colOff>752475</xdr:colOff>
                    <xdr:row>1</xdr:row>
                    <xdr:rowOff>142875</xdr:rowOff>
                  </to>
                </anchor>
              </controlPr>
            </control>
          </mc:Choice>
        </mc:AlternateContent>
        <mc:AlternateContent xmlns:mc="http://schemas.openxmlformats.org/markup-compatibility/2006">
          <mc:Choice Requires="x14">
            <control shapeId="79882" r:id="rId8" name="Group Box 10">
              <controlPr defaultSize="0" autoFill="0" autoPict="0">
                <anchor moveWithCells="1">
                  <from>
                    <xdr:col>8</xdr:col>
                    <xdr:colOff>990600</xdr:colOff>
                    <xdr:row>0</xdr:row>
                    <xdr:rowOff>104775</xdr:rowOff>
                  </from>
                  <to>
                    <xdr:col>10</xdr:col>
                    <xdr:colOff>866775</xdr:colOff>
                    <xdr:row>1</xdr:row>
                    <xdr:rowOff>180975</xdr:rowOff>
                  </to>
                </anchor>
              </controlPr>
            </control>
          </mc:Choice>
        </mc:AlternateContent>
        <mc:AlternateContent xmlns:mc="http://schemas.openxmlformats.org/markup-compatibility/2006">
          <mc:Choice Requires="x14">
            <control shapeId="79883" r:id="rId9" name="Group Box 11">
              <controlPr defaultSize="0" autoFill="0" autoPict="0">
                <anchor moveWithCells="1">
                  <from>
                    <xdr:col>7</xdr:col>
                    <xdr:colOff>57150</xdr:colOff>
                    <xdr:row>0</xdr:row>
                    <xdr:rowOff>104775</xdr:rowOff>
                  </from>
                  <to>
                    <xdr:col>8</xdr:col>
                    <xdr:colOff>942975</xdr:colOff>
                    <xdr:row>1</xdr:row>
                    <xdr:rowOff>180975</xdr:rowOff>
                  </to>
                </anchor>
              </controlPr>
            </control>
          </mc:Choice>
        </mc:AlternateContent>
        <mc:AlternateContent xmlns:mc="http://schemas.openxmlformats.org/markup-compatibility/2006">
          <mc:Choice Requires="x14">
            <control shapeId="79884" r:id="rId10" name="Button 12">
              <controlPr defaultSize="0" autoFill="0" autoPict="0" macro="[0]!NhanNghin">
                <anchor moveWithCells="1">
                  <from>
                    <xdr:col>7</xdr:col>
                    <xdr:colOff>142875</xdr:colOff>
                    <xdr:row>0</xdr:row>
                    <xdr:rowOff>200025</xdr:rowOff>
                  </from>
                  <to>
                    <xdr:col>7</xdr:col>
                    <xdr:colOff>609600</xdr:colOff>
                    <xdr:row>1</xdr:row>
                    <xdr:rowOff>85725</xdr:rowOff>
                  </to>
                </anchor>
              </controlPr>
            </control>
          </mc:Choice>
        </mc:AlternateContent>
        <mc:AlternateContent xmlns:mc="http://schemas.openxmlformats.org/markup-compatibility/2006">
          <mc:Choice Requires="x14">
            <control shapeId="79885" r:id="rId11" name="Button 13">
              <controlPr defaultSize="0" autoFill="0" autoPict="0" macro="[0]!NhanTrieu">
                <anchor moveWithCells="1">
                  <from>
                    <xdr:col>7</xdr:col>
                    <xdr:colOff>657225</xdr:colOff>
                    <xdr:row>0</xdr:row>
                    <xdr:rowOff>200025</xdr:rowOff>
                  </from>
                  <to>
                    <xdr:col>8</xdr:col>
                    <xdr:colOff>352425</xdr:colOff>
                    <xdr:row>1</xdr:row>
                    <xdr:rowOff>85725</xdr:rowOff>
                  </to>
                </anchor>
              </controlPr>
            </control>
          </mc:Choice>
        </mc:AlternateContent>
        <mc:AlternateContent xmlns:mc="http://schemas.openxmlformats.org/markup-compatibility/2006">
          <mc:Choice Requires="x14">
            <control shapeId="79886" r:id="rId12" name="Button 14">
              <controlPr defaultSize="0" autoFill="0" autoPict="0" macro="[0]!NhanTy">
                <anchor moveWithCells="1">
                  <from>
                    <xdr:col>8</xdr:col>
                    <xdr:colOff>400050</xdr:colOff>
                    <xdr:row>0</xdr:row>
                    <xdr:rowOff>200025</xdr:rowOff>
                  </from>
                  <to>
                    <xdr:col>8</xdr:col>
                    <xdr:colOff>866775</xdr:colOff>
                    <xdr:row>1</xdr:row>
                    <xdr:rowOff>85725</xdr:rowOff>
                  </to>
                </anchor>
              </controlPr>
            </control>
          </mc:Choice>
        </mc:AlternateContent>
        <mc:AlternateContent xmlns:mc="http://schemas.openxmlformats.org/markup-compatibility/2006">
          <mc:Choice Requires="x14">
            <control shapeId="79887" r:id="rId13" name="Button 15">
              <controlPr defaultSize="0" print="0" autoFill="0" autoPict="0" macro="[0]!AddRow">
                <anchor moveWithCells="1">
                  <from>
                    <xdr:col>11</xdr:col>
                    <xdr:colOff>0</xdr:colOff>
                    <xdr:row>0</xdr:row>
                    <xdr:rowOff>123825</xdr:rowOff>
                  </from>
                  <to>
                    <xdr:col>11</xdr:col>
                    <xdr:colOff>476250</xdr:colOff>
                    <xdr:row>1</xdr:row>
                    <xdr:rowOff>95250</xdr:rowOff>
                  </to>
                </anchor>
              </controlPr>
            </control>
          </mc:Choice>
        </mc:AlternateContent>
        <mc:AlternateContent xmlns:mc="http://schemas.openxmlformats.org/markup-compatibility/2006">
          <mc:Choice Requires="x14">
            <control shapeId="79888" r:id="rId14" name="Button 16">
              <controlPr defaultSize="0" print="0" autoFill="0" autoPict="0" macro="[0]!DeleteRow">
                <anchor moveWithCells="1">
                  <from>
                    <xdr:col>11</xdr:col>
                    <xdr:colOff>514350</xdr:colOff>
                    <xdr:row>0</xdr:row>
                    <xdr:rowOff>123825</xdr:rowOff>
                  </from>
                  <to>
                    <xdr:col>12</xdr:col>
                    <xdr:colOff>209550</xdr:colOff>
                    <xdr:row>1</xdr:row>
                    <xdr:rowOff>95250</xdr:rowOff>
                  </to>
                </anchor>
              </controlPr>
            </control>
          </mc:Choice>
        </mc:AlternateContent>
        <mc:AlternateContent xmlns:mc="http://schemas.openxmlformats.org/markup-compatibility/2006">
          <mc:Choice Requires="x14">
            <control shapeId="79889" r:id="rId15" name="Button 17">
              <controlPr defaultSize="0" print="0" autoFill="0" autoPict="0" macro="[0]!AddColumn">
                <anchor moveWithCells="1">
                  <from>
                    <xdr:col>30</xdr:col>
                    <xdr:colOff>47625</xdr:colOff>
                    <xdr:row>0</xdr:row>
                    <xdr:rowOff>133350</xdr:rowOff>
                  </from>
                  <to>
                    <xdr:col>30</xdr:col>
                    <xdr:colOff>561975</xdr:colOff>
                    <xdr:row>1</xdr:row>
                    <xdr:rowOff>104775</xdr:rowOff>
                  </to>
                </anchor>
              </controlPr>
            </control>
          </mc:Choice>
        </mc:AlternateContent>
        <mc:AlternateContent xmlns:mc="http://schemas.openxmlformats.org/markup-compatibility/2006">
          <mc:Choice Requires="x14">
            <control shapeId="79890" r:id="rId16" name="Button 18">
              <controlPr defaultSize="0" print="0" autoFill="0" autoPict="0" macro="[0]!DeleteColumn">
                <anchor moveWithCells="1">
                  <from>
                    <xdr:col>30</xdr:col>
                    <xdr:colOff>600075</xdr:colOff>
                    <xdr:row>0</xdr:row>
                    <xdr:rowOff>133350</xdr:rowOff>
                  </from>
                  <to>
                    <xdr:col>31</xdr:col>
                    <xdr:colOff>457200</xdr:colOff>
                    <xdr:row>1</xdr:row>
                    <xdr:rowOff>104775</xdr:rowOff>
                  </to>
                </anchor>
              </controlPr>
            </control>
          </mc:Choice>
        </mc:AlternateContent>
        <mc:AlternateContent xmlns:mc="http://schemas.openxmlformats.org/markup-compatibility/2006">
          <mc:Choice Requires="x14">
            <control shapeId="79896" r:id="rId17" name="Button 24">
              <controlPr defaultSize="0" print="0" autoFill="0" autoPict="0" macro="[0]!RefreshTables">
                <anchor moveWithCells="1">
                  <from>
                    <xdr:col>11</xdr:col>
                    <xdr:colOff>85725</xdr:colOff>
                    <xdr:row>3</xdr:row>
                    <xdr:rowOff>123825</xdr:rowOff>
                  </from>
                  <to>
                    <xdr:col>11</xdr:col>
                    <xdr:colOff>628650</xdr:colOff>
                    <xdr:row>4</xdr:row>
                    <xdr:rowOff>152400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5" id="{6838E0B0-8F7C-4ECB-9973-D9A677444961}">
            <xm:f>Security!$A$1="NO VBA"</xm:f>
            <x14:dxf>
              <font>
                <color theme="0"/>
              </font>
              <border>
                <vertical/>
                <horizontal/>
              </border>
            </x14:dxf>
          </x14:cfRule>
          <xm:sqref>J3:XFD6 G24 T24:XFD24 G37:R37 AE32:XFD37 N31:XFD31 N32:R36 G31:M36 A25:A30 L24:M29 Q24:Q29 S25:XFD29 A38:A40 J14:XFD22 J7:X13 Z13:XFD13 I18:K21 A1:XFD2 A23:XFD23 A41:XFD1048576 F25:G29 E38:XFD40 F30:XFD30 AC7:XFD12 I16:K16</xm:sqref>
        </x14:conditionalFormatting>
        <x14:conditionalFormatting xmlns:xm="http://schemas.microsoft.com/office/excel/2006/main">
          <x14:cfRule type="expression" priority="2" id="{0F1ACBEB-12D9-49A5-B9DA-BBDA9F22F797}">
            <xm:f>Security!$A$1="NO VBA"</xm:f>
            <x14:dxf>
              <font>
                <color theme="0"/>
              </font>
              <border>
                <vertical/>
                <horizontal/>
              </border>
            </x14:dxf>
          </x14:cfRule>
          <xm:sqref>S24:S29</xm:sqref>
        </x14:conditionalFormatting>
        <x14:conditionalFormatting xmlns:xm="http://schemas.microsoft.com/office/excel/2006/main">
          <x14:cfRule type="expression" priority="1" id="{354D5F32-54D0-4E81-B0C3-E6507ED02DC0}">
            <xm:f>Security!$A$1="NO VBA"</xm:f>
            <x14:dxf>
              <font>
                <color theme="0"/>
              </font>
              <border>
                <vertical/>
                <horizontal/>
              </border>
            </x14:dxf>
          </x14:cfRule>
          <xm:sqref>K17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A6B08-AF5E-473D-9173-DC3C6917949F}">
  <sheetPr codeName="Sheet37">
    <tabColor theme="4"/>
  </sheetPr>
  <dimension ref="B1:J52"/>
  <sheetViews>
    <sheetView showGridLines="0" zoomScaleNormal="100" workbookViewId="0">
      <selection activeCell="I24" sqref="I24"/>
    </sheetView>
  </sheetViews>
  <sheetFormatPr defaultRowHeight="18" customHeight="1" outlineLevelRow="1" x14ac:dyDescent="0.3"/>
  <cols>
    <col min="1" max="1" width="1.25" style="7" customWidth="1"/>
    <col min="2" max="2" width="9.625" style="7" customWidth="1"/>
    <col min="3" max="3" width="16.75" style="7" customWidth="1"/>
    <col min="4" max="4" width="14.375" style="7" bestFit="1" customWidth="1"/>
    <col min="5" max="5" width="10.25" style="7" bestFit="1" customWidth="1"/>
    <col min="6" max="6" width="7.25" style="7" bestFit="1" customWidth="1"/>
    <col min="7" max="7" width="11.125" style="7" bestFit="1" customWidth="1"/>
    <col min="8" max="8" width="11.125" style="7" customWidth="1"/>
    <col min="9" max="9" width="16.25" style="7" customWidth="1"/>
    <col min="10" max="10" width="6.75" style="7" bestFit="1" customWidth="1"/>
    <col min="11" max="16384" width="9" style="7"/>
  </cols>
  <sheetData>
    <row r="1" spans="2:10" s="310" customFormat="1" ht="22.5" customHeight="1" x14ac:dyDescent="0.3">
      <c r="B1" s="309">
        <v>0</v>
      </c>
      <c r="C1" s="309">
        <f t="shared" ref="C1:G1" si="0">+B1+1</f>
        <v>1</v>
      </c>
      <c r="D1" s="309">
        <f t="shared" si="0"/>
        <v>2</v>
      </c>
      <c r="E1" s="309">
        <f t="shared" si="0"/>
        <v>3</v>
      </c>
      <c r="F1" s="309">
        <f t="shared" si="0"/>
        <v>4</v>
      </c>
      <c r="G1" s="309">
        <f t="shared" si="0"/>
        <v>5</v>
      </c>
      <c r="H1" s="309"/>
      <c r="I1" s="309">
        <f>+G1+1</f>
        <v>6</v>
      </c>
      <c r="J1" s="309"/>
    </row>
    <row r="2" spans="2:10" s="95" customFormat="1" ht="18" customHeight="1" x14ac:dyDescent="0.3">
      <c r="B2" s="271"/>
      <c r="C2" s="271"/>
      <c r="D2" s="271"/>
      <c r="E2" s="271"/>
      <c r="F2" s="271"/>
      <c r="G2" s="271"/>
      <c r="H2" s="271"/>
      <c r="I2" s="271"/>
      <c r="J2" s="271"/>
    </row>
    <row r="3" spans="2:10" s="95" customFormat="1" ht="18" hidden="1" customHeight="1" outlineLevel="1" x14ac:dyDescent="0.3">
      <c r="B3" s="271"/>
      <c r="C3" s="271"/>
      <c r="D3" s="271"/>
      <c r="E3" s="112" t="s">
        <v>139</v>
      </c>
      <c r="F3" s="95" t="str" cm="1">
        <f t="array" ref="F3:G3">TRANSPOSE(_xlfn._xlws.SORT(_xlfn._xlws.FILTER(Table_NguyenLieu[Mã Nguyên liệu],Table_NguyenLieu[Chức năng]=E3,"")))</f>
        <v>NL1</v>
      </c>
      <c r="G3" s="271" t="str">
        <v>NL2</v>
      </c>
      <c r="H3" s="271"/>
      <c r="I3" s="271"/>
      <c r="J3" s="271"/>
    </row>
    <row r="4" spans="2:10" s="95" customFormat="1" ht="18" hidden="1" customHeight="1" outlineLevel="1" x14ac:dyDescent="0.3">
      <c r="B4" s="271"/>
      <c r="C4" s="271"/>
      <c r="D4" s="271"/>
      <c r="E4" s="95" t="s">
        <v>595</v>
      </c>
      <c r="F4" s="95" t="str" cm="1">
        <f t="array" ref="F4">TRANSPOSE(_xlfn._xlws.SORT(_xlfn._xlws.FILTER(Table_NguyenLieu[Mã Nguyên liệu],Table_NguyenLieu[Chức năng]=E4,"")))</f>
        <v/>
      </c>
      <c r="G4" s="271"/>
      <c r="H4" s="271"/>
      <c r="I4" s="271"/>
      <c r="J4" s="271"/>
    </row>
    <row r="5" spans="2:10" s="95" customFormat="1" ht="18" hidden="1" customHeight="1" outlineLevel="1" x14ac:dyDescent="0.3">
      <c r="B5" s="271"/>
      <c r="C5" s="271"/>
      <c r="D5" s="271"/>
      <c r="E5" s="95" t="s">
        <v>765</v>
      </c>
      <c r="F5" s="95" t="str" cm="1">
        <f t="array" ref="F5">TRANSPOSE(_xlfn._xlws.SORT(_xlfn._xlws.FILTER(Table_NguyenLieu[Mã Nguyên liệu],Table_NguyenLieu[Chức năng]=E5,"")))</f>
        <v/>
      </c>
      <c r="G5" s="271"/>
      <c r="H5" s="271"/>
      <c r="I5" s="271"/>
      <c r="J5" s="271"/>
    </row>
    <row r="6" spans="2:10" s="95" customFormat="1" ht="18" hidden="1" customHeight="1" outlineLevel="1" x14ac:dyDescent="0.3">
      <c r="B6" s="271"/>
      <c r="C6" s="271"/>
      <c r="D6" s="271"/>
      <c r="E6" s="95" t="s">
        <v>766</v>
      </c>
      <c r="F6" s="95" t="str" cm="1">
        <f t="array" ref="F6">TRANSPOSE(_xlfn._xlws.SORT(_xlfn._xlws.FILTER(Table_NguyenLieu[Mã Nguyên liệu],Table_NguyenLieu[Chức năng]=E6,"")))</f>
        <v/>
      </c>
      <c r="G6" s="271"/>
      <c r="H6" s="271"/>
      <c r="I6" s="271"/>
      <c r="J6" s="271"/>
    </row>
    <row r="7" spans="2:10" s="95" customFormat="1" ht="18" hidden="1" customHeight="1" outlineLevel="1" x14ac:dyDescent="0.3">
      <c r="B7" s="271"/>
      <c r="C7" s="271"/>
      <c r="D7" s="271"/>
      <c r="E7" s="95" t="s">
        <v>806</v>
      </c>
      <c r="F7" s="271" t="str" cm="1">
        <f t="array" ref="F7:G7">TRANSPOSE(_xlfn._xlws.SORT(Table_NguyenLieu[Mã Nguyên liệu]))</f>
        <v>NL1</v>
      </c>
      <c r="G7" s="271" t="str">
        <v>NL2</v>
      </c>
      <c r="H7" s="271"/>
      <c r="I7" s="271"/>
      <c r="J7" s="271"/>
    </row>
    <row r="8" spans="2:10" s="112" customFormat="1" ht="18" customHeight="1" collapsed="1" x14ac:dyDescent="0.3">
      <c r="B8" s="272"/>
      <c r="C8" s="172" t="s">
        <v>679</v>
      </c>
      <c r="D8" s="172" t="s">
        <v>842</v>
      </c>
      <c r="E8" s="172" t="s">
        <v>588</v>
      </c>
      <c r="F8" s="172" t="s">
        <v>322</v>
      </c>
      <c r="G8" s="174" t="s">
        <v>710</v>
      </c>
      <c r="H8" s="548" t="s">
        <v>1243</v>
      </c>
      <c r="I8" s="172" t="s">
        <v>17</v>
      </c>
      <c r="J8" s="7" t="s">
        <v>883</v>
      </c>
    </row>
    <row r="9" spans="2:10" ht="18" customHeight="1" x14ac:dyDescent="0.3">
      <c r="B9" s="242"/>
      <c r="C9" s="261" t="s">
        <v>1163</v>
      </c>
      <c r="D9" s="261"/>
      <c r="E9" s="261" t="s">
        <v>139</v>
      </c>
      <c r="F9" s="261"/>
      <c r="H9" s="446"/>
      <c r="I9"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169</v>
      </c>
      <c r="J9" s="261"/>
    </row>
    <row r="10" spans="2:10" ht="18" customHeight="1" x14ac:dyDescent="0.3">
      <c r="C10" s="261" t="s">
        <v>1162</v>
      </c>
      <c r="D10" s="261"/>
      <c r="E10" s="261" t="s">
        <v>139</v>
      </c>
      <c r="F10" s="261"/>
      <c r="G10" s="43"/>
      <c r="H10" s="446"/>
      <c r="I10"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88</v>
      </c>
      <c r="J10" s="242"/>
    </row>
    <row r="14" spans="2:10" ht="10.5" x14ac:dyDescent="0.3"/>
    <row r="15" spans="2:10" ht="10.5" x14ac:dyDescent="0.3"/>
    <row r="16" spans="2:10" ht="10.5" x14ac:dyDescent="0.3"/>
    <row r="17" ht="10.5" x14ac:dyDescent="0.3"/>
    <row r="18" ht="10.5" x14ac:dyDescent="0.3"/>
    <row r="19" ht="10.5" x14ac:dyDescent="0.3"/>
    <row r="20" ht="10.5" x14ac:dyDescent="0.3"/>
    <row r="21" ht="10.5" x14ac:dyDescent="0.3"/>
    <row r="22" ht="10.5" x14ac:dyDescent="0.3"/>
    <row r="23" ht="10.5" x14ac:dyDescent="0.3"/>
    <row r="24" ht="10.5" x14ac:dyDescent="0.3"/>
    <row r="25" ht="10.5" x14ac:dyDescent="0.3"/>
    <row r="26" ht="10.5" x14ac:dyDescent="0.3"/>
    <row r="27" ht="10.5" x14ac:dyDescent="0.3"/>
    <row r="28" ht="10.5" x14ac:dyDescent="0.3"/>
    <row r="29" ht="10.5" x14ac:dyDescent="0.3"/>
    <row r="30" ht="10.5" x14ac:dyDescent="0.3"/>
    <row r="31" ht="10.5" x14ac:dyDescent="0.3"/>
    <row r="32" ht="10.5" x14ac:dyDescent="0.3"/>
    <row r="33" ht="10.5" x14ac:dyDescent="0.3"/>
    <row r="34" ht="10.5" x14ac:dyDescent="0.3"/>
    <row r="35" ht="10.5" x14ac:dyDescent="0.3"/>
    <row r="36" ht="10.5" x14ac:dyDescent="0.3"/>
    <row r="37" ht="10.5" x14ac:dyDescent="0.3"/>
    <row r="38" ht="10.5" x14ac:dyDescent="0.3"/>
    <row r="39" ht="10.5" x14ac:dyDescent="0.3"/>
    <row r="40" ht="10.5" x14ac:dyDescent="0.3"/>
    <row r="41" ht="10.5" x14ac:dyDescent="0.3"/>
    <row r="42" ht="10.5" x14ac:dyDescent="0.3"/>
    <row r="43" ht="10.5" x14ac:dyDescent="0.3"/>
    <row r="44" ht="10.5" x14ac:dyDescent="0.3"/>
    <row r="45" ht="10.5" x14ac:dyDescent="0.3"/>
    <row r="46" ht="10.5" x14ac:dyDescent="0.3"/>
    <row r="47" ht="10.5" x14ac:dyDescent="0.3"/>
    <row r="48" ht="10.5" x14ac:dyDescent="0.3"/>
    <row r="49" ht="10.5" x14ac:dyDescent="0.3"/>
    <row r="50" ht="10.5" x14ac:dyDescent="0.3"/>
    <row r="51" ht="10.5" x14ac:dyDescent="0.3"/>
    <row r="52" ht="10.5" x14ac:dyDescent="0.3"/>
  </sheetData>
  <sheetProtection algorithmName="SHA-512" hashValue="4u3kXIbHlXMeJrv9oEFxzHwymMG/Nt0oEN9nXwqBD6OgQVROub+dzfP7bhjSrK55woGlNUurttOHzb1Ex5M4/w==" saltValue="1fnF8Y+2z+7DRD67jmMwJA==" spinCount="100000" sheet="1" scenarios="1" formatCells="0" formatColumns="0" formatRows="0" insertColumns="0" insertRows="0" deleteColumns="0" deleteRows="0" sort="0" autoFilter="0" pivotTables="0"/>
  <protectedRanges>
    <protectedRange sqref="O3:XFD7 B1:XFD2 B3:K7 B10:J1048576 K8:XFD1048576 B8:F9" name="Range1"/>
    <protectedRange sqref="J8:J9" name="Range1_1"/>
    <protectedRange sqref="G8:H9" name="Range1_2"/>
    <protectedRange sqref="I8:I9" name="Range1_3"/>
  </protectedRanges>
  <conditionalFormatting sqref="C9:C10">
    <cfRule type="duplicateValues" dxfId="108" priority="282"/>
  </conditionalFormatting>
  <dataValidations count="1">
    <dataValidation type="list" allowBlank="1" showInputMessage="1" showErrorMessage="1" sqref="E9:E10" xr:uid="{A12F7F28-6C64-4AC3-8358-3AC403817201}">
      <formula1>"Nguyên liệu, Sản xuất, Bán hàng, Văn phòng"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6" r:id="rId3" name="Option Button 6">
              <controlPr defaultSize="0" autoFill="0" autoLine="0" autoPict="0" macro="[0]!DoiDonViHienThi">
                <anchor moveWithCells="1">
                  <from>
                    <xdr:col>3</xdr:col>
                    <xdr:colOff>600075</xdr:colOff>
                    <xdr:row>0</xdr:row>
                    <xdr:rowOff>152400</xdr:rowOff>
                  </from>
                  <to>
                    <xdr:col>4</xdr:col>
                    <xdr:colOff>95250</xdr:colOff>
                    <xdr:row>1</xdr:row>
                    <xdr:rowOff>142875</xdr:rowOff>
                  </to>
                </anchor>
              </controlPr>
            </control>
          </mc:Choice>
        </mc:AlternateContent>
        <mc:AlternateContent xmlns:mc="http://schemas.openxmlformats.org/markup-compatibility/2006">
          <mc:Choice Requires="x14">
            <control shapeId="81927" r:id="rId4" name="Option Button 7">
              <controlPr defaultSize="0" autoFill="0" autoLine="0" autoPict="0" macro="[0]!DoiDonViHienThi">
                <anchor moveWithCells="1">
                  <from>
                    <xdr:col>3</xdr:col>
                    <xdr:colOff>1066800</xdr:colOff>
                    <xdr:row>0</xdr:row>
                    <xdr:rowOff>152400</xdr:rowOff>
                  </from>
                  <to>
                    <xdr:col>4</xdr:col>
                    <xdr:colOff>561975</xdr:colOff>
                    <xdr:row>1</xdr:row>
                    <xdr:rowOff>142875</xdr:rowOff>
                  </to>
                </anchor>
              </controlPr>
            </control>
          </mc:Choice>
        </mc:AlternateContent>
        <mc:AlternateContent xmlns:mc="http://schemas.openxmlformats.org/markup-compatibility/2006">
          <mc:Choice Requires="x14">
            <control shapeId="81928" r:id="rId5" name="Option Button 8">
              <controlPr defaultSize="0" autoFill="0" autoLine="0" autoPict="0" macro="[0]!DoiDonViHienThi">
                <anchor moveWithCells="1">
                  <from>
                    <xdr:col>4</xdr:col>
                    <xdr:colOff>438150</xdr:colOff>
                    <xdr:row>0</xdr:row>
                    <xdr:rowOff>152400</xdr:rowOff>
                  </from>
                  <to>
                    <xdr:col>5</xdr:col>
                    <xdr:colOff>247650</xdr:colOff>
                    <xdr:row>1</xdr:row>
                    <xdr:rowOff>142875</xdr:rowOff>
                  </to>
                </anchor>
              </controlPr>
            </control>
          </mc:Choice>
        </mc:AlternateContent>
        <mc:AlternateContent xmlns:mc="http://schemas.openxmlformats.org/markup-compatibility/2006">
          <mc:Choice Requires="x14">
            <control shapeId="81929" r:id="rId6" name="Option Button 9">
              <controlPr defaultSize="0" autoFill="0" autoLine="0" autoPict="0" macro="[0]!DoiDonViHienThi">
                <anchor moveWithCells="1">
                  <from>
                    <xdr:col>5</xdr:col>
                    <xdr:colOff>133350</xdr:colOff>
                    <xdr:row>0</xdr:row>
                    <xdr:rowOff>152400</xdr:rowOff>
                  </from>
                  <to>
                    <xdr:col>5</xdr:col>
                    <xdr:colOff>485775</xdr:colOff>
                    <xdr:row>1</xdr:row>
                    <xdr:rowOff>142875</xdr:rowOff>
                  </to>
                </anchor>
              </controlPr>
            </control>
          </mc:Choice>
        </mc:AlternateContent>
        <mc:AlternateContent xmlns:mc="http://schemas.openxmlformats.org/markup-compatibility/2006">
          <mc:Choice Requires="x14">
            <control shapeId="81930" r:id="rId7" name="Group Box 10">
              <controlPr defaultSize="0" autoFill="0" autoPict="0">
                <anchor moveWithCells="1">
                  <from>
                    <xdr:col>3</xdr:col>
                    <xdr:colOff>485775</xdr:colOff>
                    <xdr:row>0</xdr:row>
                    <xdr:rowOff>104775</xdr:rowOff>
                  </from>
                  <to>
                    <xdr:col>6</xdr:col>
                    <xdr:colOff>47625</xdr:colOff>
                    <xdr:row>1</xdr:row>
                    <xdr:rowOff>180975</xdr:rowOff>
                  </to>
                </anchor>
              </controlPr>
            </control>
          </mc:Choice>
        </mc:AlternateContent>
        <mc:AlternateContent xmlns:mc="http://schemas.openxmlformats.org/markup-compatibility/2006">
          <mc:Choice Requires="x14">
            <control shapeId="81931" r:id="rId8" name="Group Box 11">
              <controlPr defaultSize="0" autoFill="0" autoPict="0">
                <anchor moveWithCells="1">
                  <from>
                    <xdr:col>2</xdr:col>
                    <xdr:colOff>57150</xdr:colOff>
                    <xdr:row>0</xdr:row>
                    <xdr:rowOff>104775</xdr:rowOff>
                  </from>
                  <to>
                    <xdr:col>3</xdr:col>
                    <xdr:colOff>438150</xdr:colOff>
                    <xdr:row>1</xdr:row>
                    <xdr:rowOff>180975</xdr:rowOff>
                  </to>
                </anchor>
              </controlPr>
            </control>
          </mc:Choice>
        </mc:AlternateContent>
        <mc:AlternateContent xmlns:mc="http://schemas.openxmlformats.org/markup-compatibility/2006">
          <mc:Choice Requires="x14">
            <control shapeId="81932" r:id="rId9" name="Button 12">
              <controlPr defaultSize="0" autoFill="0" autoPict="0" macro="[0]!NhanNghin">
                <anchor moveWithCells="1">
                  <from>
                    <xdr:col>2</xdr:col>
                    <xdr:colOff>142875</xdr:colOff>
                    <xdr:row>0</xdr:row>
                    <xdr:rowOff>200025</xdr:rowOff>
                  </from>
                  <to>
                    <xdr:col>2</xdr:col>
                    <xdr:colOff>609600</xdr:colOff>
                    <xdr:row>1</xdr:row>
                    <xdr:rowOff>85725</xdr:rowOff>
                  </to>
                </anchor>
              </controlPr>
            </control>
          </mc:Choice>
        </mc:AlternateContent>
        <mc:AlternateContent xmlns:mc="http://schemas.openxmlformats.org/markup-compatibility/2006">
          <mc:Choice Requires="x14">
            <control shapeId="81933" r:id="rId10" name="Button 13">
              <controlPr defaultSize="0" autoFill="0" autoPict="0" macro="[0]!NhanTrieu">
                <anchor moveWithCells="1">
                  <from>
                    <xdr:col>2</xdr:col>
                    <xdr:colOff>657225</xdr:colOff>
                    <xdr:row>0</xdr:row>
                    <xdr:rowOff>200025</xdr:rowOff>
                  </from>
                  <to>
                    <xdr:col>2</xdr:col>
                    <xdr:colOff>1123950</xdr:colOff>
                    <xdr:row>1</xdr:row>
                    <xdr:rowOff>85725</xdr:rowOff>
                  </to>
                </anchor>
              </controlPr>
            </control>
          </mc:Choice>
        </mc:AlternateContent>
        <mc:AlternateContent xmlns:mc="http://schemas.openxmlformats.org/markup-compatibility/2006">
          <mc:Choice Requires="x14">
            <control shapeId="81934" r:id="rId11" name="Button 14">
              <controlPr defaultSize="0" autoFill="0" autoPict="0" macro="[0]!NhanTy">
                <anchor moveWithCells="1">
                  <from>
                    <xdr:col>2</xdr:col>
                    <xdr:colOff>1171575</xdr:colOff>
                    <xdr:row>0</xdr:row>
                    <xdr:rowOff>200025</xdr:rowOff>
                  </from>
                  <to>
                    <xdr:col>3</xdr:col>
                    <xdr:colOff>361950</xdr:colOff>
                    <xdr:row>1</xdr:row>
                    <xdr:rowOff>85725</xdr:rowOff>
                  </to>
                </anchor>
              </controlPr>
            </control>
          </mc:Choice>
        </mc:AlternateContent>
        <mc:AlternateContent xmlns:mc="http://schemas.openxmlformats.org/markup-compatibility/2006">
          <mc:Choice Requires="x14">
            <control shapeId="81935" r:id="rId12" name="Button 15">
              <controlPr defaultSize="0" print="0" autoFill="0" autoPict="0" macro="[0]!AddRow">
                <anchor moveWithCells="1">
                  <from>
                    <xdr:col>8</xdr:col>
                    <xdr:colOff>47625</xdr:colOff>
                    <xdr:row>0</xdr:row>
                    <xdr:rowOff>142875</xdr:rowOff>
                  </from>
                  <to>
                    <xdr:col>8</xdr:col>
                    <xdr:colOff>523875</xdr:colOff>
                    <xdr:row>1</xdr:row>
                    <xdr:rowOff>114300</xdr:rowOff>
                  </to>
                </anchor>
              </controlPr>
            </control>
          </mc:Choice>
        </mc:AlternateContent>
        <mc:AlternateContent xmlns:mc="http://schemas.openxmlformats.org/markup-compatibility/2006">
          <mc:Choice Requires="x14">
            <control shapeId="81936" r:id="rId13" name="Button 16">
              <controlPr defaultSize="0" print="0" autoFill="0" autoPict="0" macro="[0]!DeleteRow">
                <anchor moveWithCells="1">
                  <from>
                    <xdr:col>8</xdr:col>
                    <xdr:colOff>561975</xdr:colOff>
                    <xdr:row>0</xdr:row>
                    <xdr:rowOff>142875</xdr:rowOff>
                  </from>
                  <to>
                    <xdr:col>8</xdr:col>
                    <xdr:colOff>1038225</xdr:colOff>
                    <xdr:row>1</xdr:row>
                    <xdr:rowOff>114300</xdr:rowOff>
                  </to>
                </anchor>
              </controlPr>
            </control>
          </mc:Choice>
        </mc:AlternateContent>
        <mc:AlternateContent xmlns:mc="http://schemas.openxmlformats.org/markup-compatibility/2006">
          <mc:Choice Requires="x14">
            <control shapeId="81937" r:id="rId14" name="Button 17">
              <controlPr defaultSize="0" print="0" autoFill="0" autoPict="0" macro="[0]!AddColumn">
                <anchor moveWithCells="1">
                  <from>
                    <xdr:col>10</xdr:col>
                    <xdr:colOff>28575</xdr:colOff>
                    <xdr:row>0</xdr:row>
                    <xdr:rowOff>133350</xdr:rowOff>
                  </from>
                  <to>
                    <xdr:col>10</xdr:col>
                    <xdr:colOff>542925</xdr:colOff>
                    <xdr:row>1</xdr:row>
                    <xdr:rowOff>104775</xdr:rowOff>
                  </to>
                </anchor>
              </controlPr>
            </control>
          </mc:Choice>
        </mc:AlternateContent>
        <mc:AlternateContent xmlns:mc="http://schemas.openxmlformats.org/markup-compatibility/2006">
          <mc:Choice Requires="x14">
            <control shapeId="81938" r:id="rId15" name="Button 18">
              <controlPr defaultSize="0" print="0" autoFill="0" autoPict="0" macro="[0]!DeleteColumn">
                <anchor moveWithCells="1">
                  <from>
                    <xdr:col>10</xdr:col>
                    <xdr:colOff>581025</xdr:colOff>
                    <xdr:row>0</xdr:row>
                    <xdr:rowOff>133350</xdr:rowOff>
                  </from>
                  <to>
                    <xdr:col>11</xdr:col>
                    <xdr:colOff>438150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5" id="{3065E1D8-6941-45D1-AC0B-7D9AF467CE73}">
            <xm:f>Security!$A$1="NO VBA"</xm:f>
            <x14:dxf>
              <font>
                <color theme="0"/>
              </font>
              <border>
                <vertical/>
                <horizontal/>
              </border>
            </x14:dxf>
          </x14:cfRule>
          <xm:sqref>K8:XFD8 O3:XFD7 B3:K7 B8:G10 I9:XFD10 A1:XFD2 A11:XFD1048576</xm:sqref>
        </x14:conditionalFormatting>
        <x14:conditionalFormatting xmlns:xm="http://schemas.microsoft.com/office/excel/2006/main">
          <x14:cfRule type="expression" priority="4" id="{2F496CE8-B0C5-4844-A7A0-05DA73DC4D2A}">
            <xm:f>Security!$A$1="NO VBA"</xm:f>
            <x14:dxf>
              <font>
                <color theme="0"/>
              </font>
              <border>
                <vertical/>
                <horizontal/>
              </border>
            </x14:dxf>
          </x14:cfRule>
          <xm:sqref>J8</xm:sqref>
        </x14:conditionalFormatting>
        <x14:conditionalFormatting xmlns:xm="http://schemas.microsoft.com/office/excel/2006/main">
          <x14:cfRule type="expression" priority="3" id="{228249CE-9801-4C84-B34F-A66B78FE14BC}">
            <xm:f>Security!$A$1="NO VBA"</xm:f>
            <x14:dxf>
              <font>
                <color theme="0"/>
              </font>
              <border>
                <vertical/>
                <horizontal/>
              </border>
            </x14:dxf>
          </x14:cfRule>
          <xm:sqref>H8</xm:sqref>
        </x14:conditionalFormatting>
        <x14:conditionalFormatting xmlns:xm="http://schemas.microsoft.com/office/excel/2006/main">
          <x14:cfRule type="expression" priority="2" id="{5522DA2F-57BE-489C-84F7-1BC234A4443F}">
            <xm:f>Security!$A$1="NO VBA"</xm:f>
            <x14:dxf>
              <font>
                <color theme="0"/>
              </font>
              <border>
                <vertical/>
                <horizontal/>
              </border>
            </x14:dxf>
          </x14:cfRule>
          <xm:sqref>H9:H10</xm:sqref>
        </x14:conditionalFormatting>
        <x14:conditionalFormatting xmlns:xm="http://schemas.microsoft.com/office/excel/2006/main">
          <x14:cfRule type="expression" priority="1" id="{8C62B7D1-5B0F-4C59-B65C-92E75ABBBEBF}">
            <xm:f>Security!$A$1="NO VBA"</xm:f>
            <x14:dxf>
              <font>
                <color theme="0"/>
              </font>
              <border>
                <vertical/>
                <horizontal/>
              </border>
            </x14:dxf>
          </x14:cfRule>
          <xm:sqref>I8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4C235-EEC8-4973-9916-F242F66F018C}">
  <sheetPr codeName="Sheet42">
    <tabColor theme="4"/>
  </sheetPr>
  <dimension ref="A1:Q6"/>
  <sheetViews>
    <sheetView showGridLines="0" topLeftCell="F1" workbookViewId="0">
      <selection activeCell="P30" sqref="P30"/>
    </sheetView>
  </sheetViews>
  <sheetFormatPr defaultRowHeight="18" customHeight="1" outlineLevelRow="1" x14ac:dyDescent="0.3"/>
  <cols>
    <col min="1" max="1" width="9.625" style="40" customWidth="1"/>
    <col min="2" max="2" width="14.5" style="40" bestFit="1" customWidth="1"/>
    <col min="3" max="3" width="12" style="40" bestFit="1" customWidth="1"/>
    <col min="4" max="4" width="19.125" style="40" bestFit="1" customWidth="1"/>
    <col min="5" max="5" width="8.875" style="40" customWidth="1"/>
    <col min="6" max="6" width="7.875" style="40" customWidth="1"/>
    <col min="7" max="7" width="10" style="40" customWidth="1"/>
    <col min="8" max="8" width="9.375" style="40" bestFit="1" customWidth="1"/>
    <col min="9" max="9" width="8.875" style="40" bestFit="1" customWidth="1"/>
    <col min="10" max="10" width="13.25" style="40" bestFit="1" customWidth="1"/>
    <col min="11" max="12" width="13.25" style="40" customWidth="1"/>
    <col min="13" max="13" width="17.875" style="40" customWidth="1"/>
    <col min="14" max="14" width="6.75" style="40" bestFit="1" customWidth="1"/>
    <col min="15" max="16384" width="9" style="40"/>
  </cols>
  <sheetData>
    <row r="1" spans="1:17" s="310" customFormat="1" ht="22.5" customHeight="1" x14ac:dyDescent="0.3">
      <c r="A1" s="309">
        <v>0</v>
      </c>
      <c r="B1" s="309">
        <f>+A1+1</f>
        <v>1</v>
      </c>
      <c r="C1" s="309">
        <f t="shared" ref="C1:H1" si="0">+B1+1</f>
        <v>2</v>
      </c>
      <c r="D1" s="309">
        <f t="shared" si="0"/>
        <v>3</v>
      </c>
      <c r="E1" s="309">
        <f t="shared" si="0"/>
        <v>4</v>
      </c>
      <c r="F1" s="309">
        <f t="shared" si="0"/>
        <v>5</v>
      </c>
      <c r="G1" s="309">
        <f t="shared" si="0"/>
        <v>6</v>
      </c>
      <c r="H1" s="309">
        <f t="shared" si="0"/>
        <v>7</v>
      </c>
      <c r="I1" s="309">
        <f>+H1+1</f>
        <v>8</v>
      </c>
      <c r="J1" s="309">
        <f>+I1+1</f>
        <v>9</v>
      </c>
      <c r="K1" s="309">
        <f>+J1+1</f>
        <v>10</v>
      </c>
      <c r="L1" s="309">
        <f>+K1+1</f>
        <v>11</v>
      </c>
      <c r="M1" s="309">
        <f>+L1+1</f>
        <v>12</v>
      </c>
      <c r="N1" s="309"/>
      <c r="O1" s="309"/>
      <c r="P1" s="309"/>
      <c r="Q1" s="309"/>
    </row>
    <row r="2" spans="1:17" s="112" customFormat="1" ht="18" customHeight="1" x14ac:dyDescent="0.3">
      <c r="A2" s="272"/>
      <c r="B2" s="272"/>
      <c r="C2" s="272"/>
      <c r="D2" s="272"/>
      <c r="E2" s="272"/>
      <c r="F2" s="272"/>
      <c r="G2" s="272"/>
      <c r="H2" s="272"/>
      <c r="I2" s="272"/>
      <c r="J2" s="272"/>
      <c r="K2" s="272"/>
      <c r="L2" s="272"/>
      <c r="M2" s="272"/>
      <c r="N2" s="272"/>
      <c r="O2" s="272"/>
      <c r="P2" s="272"/>
      <c r="Q2" s="272"/>
    </row>
    <row r="3" spans="1:17" s="112" customFormat="1" ht="18" hidden="1" customHeight="1" outlineLevel="1" x14ac:dyDescent="0.3">
      <c r="A3" s="272"/>
      <c r="B3" s="272"/>
      <c r="C3" s="272"/>
      <c r="D3" s="272"/>
      <c r="E3" s="272"/>
      <c r="F3" s="272"/>
      <c r="G3" s="272"/>
      <c r="H3" s="272"/>
      <c r="I3" s="272"/>
      <c r="J3" s="272"/>
      <c r="K3" s="272"/>
      <c r="L3" s="272"/>
      <c r="M3" s="272"/>
      <c r="N3" s="272"/>
      <c r="O3" s="272"/>
      <c r="P3" s="112" t="s">
        <v>571</v>
      </c>
      <c r="Q3" s="112" t="str" cm="1">
        <f t="array" ref="Q3">TRANSPOSE(_xlfn._xlws.SORT(_xlfn._xlws.FILTER(Table_ChuongTrinh[Mã Chương trình],Table_ChuongTrinh[Đối tượng CK]=P3,"")))</f>
        <v/>
      </c>
    </row>
    <row r="4" spans="1:17" s="112" customFormat="1" ht="18" hidden="1" customHeight="1" outlineLevel="1" x14ac:dyDescent="0.3">
      <c r="A4" s="272"/>
      <c r="B4" s="272"/>
      <c r="C4" s="272"/>
      <c r="D4" s="272"/>
      <c r="E4" s="272"/>
      <c r="F4" s="272"/>
      <c r="G4" s="272"/>
      <c r="H4" s="272"/>
      <c r="I4" s="272"/>
      <c r="J4" s="272"/>
      <c r="K4" s="272"/>
      <c r="L4" s="272"/>
      <c r="M4" s="272"/>
      <c r="N4" s="272"/>
      <c r="O4" s="272"/>
      <c r="P4" s="112" t="s">
        <v>543</v>
      </c>
      <c r="Q4" s="112" t="str" cm="1">
        <f t="array" ref="Q4">TRANSPOSE(_xlfn._xlws.SORT(_xlfn._xlws.FILTER(Table_ChuongTrinh[Mã Chương trình],Table_ChuongTrinh[Đối tượng CK]=P4,"")))</f>
        <v/>
      </c>
    </row>
    <row r="5" spans="1:17" s="170" customFormat="1" ht="18" customHeight="1" collapsed="1" x14ac:dyDescent="0.3">
      <c r="A5" s="252"/>
      <c r="B5" s="112" t="s">
        <v>860</v>
      </c>
      <c r="C5" s="112" t="s">
        <v>861</v>
      </c>
      <c r="D5" s="112" t="s">
        <v>862</v>
      </c>
      <c r="E5" s="112" t="s">
        <v>251</v>
      </c>
      <c r="F5" s="112" t="s">
        <v>252</v>
      </c>
      <c r="G5" s="112" t="s">
        <v>690</v>
      </c>
      <c r="H5" s="112" t="s">
        <v>691</v>
      </c>
      <c r="I5" s="112" t="s">
        <v>30</v>
      </c>
      <c r="J5" s="112" t="s">
        <v>863</v>
      </c>
      <c r="K5" s="112" t="s">
        <v>929</v>
      </c>
      <c r="L5" s="112" t="s">
        <v>191</v>
      </c>
      <c r="M5" s="112" t="s">
        <v>134</v>
      </c>
      <c r="N5" s="7" t="s">
        <v>883</v>
      </c>
      <c r="O5" s="252"/>
      <c r="P5" s="252"/>
      <c r="Q5" s="252"/>
    </row>
    <row r="6" spans="1:17" ht="18" customHeight="1" x14ac:dyDescent="0.3">
      <c r="A6" s="273"/>
      <c r="B6" s="242" t="s">
        <v>1007</v>
      </c>
      <c r="C6" s="242"/>
      <c r="D6" s="242"/>
      <c r="E6" s="340"/>
      <c r="F6" s="340"/>
      <c r="G6" s="31"/>
      <c r="H6" s="15"/>
      <c r="I6" s="15"/>
      <c r="J6" s="15"/>
      <c r="K6" s="15"/>
      <c r="L6" s="15"/>
      <c r="M6" s="15"/>
      <c r="N6" s="242"/>
      <c r="O6" s="273"/>
      <c r="P6" s="273"/>
      <c r="Q6" s="273"/>
    </row>
  </sheetData>
  <sheetProtection algorithmName="SHA-512" hashValue="AkZlvO4XDb2AWmfp5LhlPB4iu7yICTP+ZBbk+SF+PjsWwhmSrPVtkSRS5I/0sZKi5+GLhMkVwiCDduNjU+Cl+g==" saltValue="bjahmM+2Eh0vmYQ+xmEFHg==" spinCount="100000" sheet="1" scenarios="1" formatCells="0" formatColumns="0" formatRows="0" insertColumns="0" insertRows="0" deleteColumns="0" deleteRows="0" sort="0" autoFilter="0" pivotTables="0"/>
  <protectedRanges>
    <protectedRange sqref="A1:XFD1048576" name="Range1"/>
  </protectedRanges>
  <phoneticPr fontId="14" type="noConversion"/>
  <dataValidations count="2">
    <dataValidation type="list" allowBlank="1" showInputMessage="1" showErrorMessage="1" sqref="C6" xr:uid="{35F4E917-341C-45E4-9862-0356BC9C2F7C}">
      <formula1>"Sản phẩm, Đơn hàng"</formula1>
    </dataValidation>
    <dataValidation type="list" allowBlank="1" showInputMessage="1" showErrorMessage="1" sqref="K6" xr:uid="{E09E3D3B-DDB7-4684-A6C9-90A82D6687F6}">
      <formula1>"Ngày sinh, Tháng sinh"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79" r:id="rId3" name="Option Button 15">
              <controlPr defaultSize="0" autoFill="0" autoLine="0" autoPict="0" macro="[0]!DoiDonViHienThi">
                <anchor moveWithCells="1">
                  <from>
                    <xdr:col>2</xdr:col>
                    <xdr:colOff>771525</xdr:colOff>
                    <xdr:row>0</xdr:row>
                    <xdr:rowOff>152400</xdr:rowOff>
                  </from>
                  <to>
                    <xdr:col>3</xdr:col>
                    <xdr:colOff>447675</xdr:colOff>
                    <xdr:row>1</xdr:row>
                    <xdr:rowOff>142875</xdr:rowOff>
                  </to>
                </anchor>
              </controlPr>
            </control>
          </mc:Choice>
        </mc:AlternateContent>
        <mc:AlternateContent xmlns:mc="http://schemas.openxmlformats.org/markup-compatibility/2006">
          <mc:Choice Requires="x14">
            <control shapeId="88080" r:id="rId4" name="Option Button 16">
              <controlPr defaultSize="0" autoFill="0" autoLine="0" autoPict="0" macro="[0]!DoiDonViHienThi">
                <anchor moveWithCells="1">
                  <from>
                    <xdr:col>3</xdr:col>
                    <xdr:colOff>323850</xdr:colOff>
                    <xdr:row>0</xdr:row>
                    <xdr:rowOff>152400</xdr:rowOff>
                  </from>
                  <to>
                    <xdr:col>3</xdr:col>
                    <xdr:colOff>914400</xdr:colOff>
                    <xdr:row>1</xdr:row>
                    <xdr:rowOff>142875</xdr:rowOff>
                  </to>
                </anchor>
              </controlPr>
            </control>
          </mc:Choice>
        </mc:AlternateContent>
        <mc:AlternateContent xmlns:mc="http://schemas.openxmlformats.org/markup-compatibility/2006">
          <mc:Choice Requires="x14">
            <control shapeId="88081" r:id="rId5" name="Option Button 17">
              <controlPr defaultSize="0" autoFill="0" autoLine="0" autoPict="0" macro="[0]!DoiDonViHienThi">
                <anchor moveWithCells="1">
                  <from>
                    <xdr:col>3</xdr:col>
                    <xdr:colOff>790575</xdr:colOff>
                    <xdr:row>0</xdr:row>
                    <xdr:rowOff>152400</xdr:rowOff>
                  </from>
                  <to>
                    <xdr:col>3</xdr:col>
                    <xdr:colOff>1381125</xdr:colOff>
                    <xdr:row>1</xdr:row>
                    <xdr:rowOff>142875</xdr:rowOff>
                  </to>
                </anchor>
              </controlPr>
            </control>
          </mc:Choice>
        </mc:AlternateContent>
        <mc:AlternateContent xmlns:mc="http://schemas.openxmlformats.org/markup-compatibility/2006">
          <mc:Choice Requires="x14">
            <control shapeId="88082" r:id="rId6" name="Option Button 18">
              <controlPr defaultSize="0" autoFill="0" autoLine="0" autoPict="0" macro="[0]!DoiDonViHienThi">
                <anchor moveWithCells="1">
                  <from>
                    <xdr:col>3</xdr:col>
                    <xdr:colOff>1266825</xdr:colOff>
                    <xdr:row>0</xdr:row>
                    <xdr:rowOff>152400</xdr:rowOff>
                  </from>
                  <to>
                    <xdr:col>4</xdr:col>
                    <xdr:colOff>161925</xdr:colOff>
                    <xdr:row>1</xdr:row>
                    <xdr:rowOff>142875</xdr:rowOff>
                  </to>
                </anchor>
              </controlPr>
            </control>
          </mc:Choice>
        </mc:AlternateContent>
        <mc:AlternateContent xmlns:mc="http://schemas.openxmlformats.org/markup-compatibility/2006">
          <mc:Choice Requires="x14">
            <control shapeId="88083" r:id="rId7" name="Group Box 19">
              <controlPr defaultSize="0" autoFill="0" autoPict="0">
                <anchor moveWithCells="1">
                  <from>
                    <xdr:col>2</xdr:col>
                    <xdr:colOff>657225</xdr:colOff>
                    <xdr:row>0</xdr:row>
                    <xdr:rowOff>104775</xdr:rowOff>
                  </from>
                  <to>
                    <xdr:col>4</xdr:col>
                    <xdr:colOff>276225</xdr:colOff>
                    <xdr:row>1</xdr:row>
                    <xdr:rowOff>180975</xdr:rowOff>
                  </to>
                </anchor>
              </controlPr>
            </control>
          </mc:Choice>
        </mc:AlternateContent>
        <mc:AlternateContent xmlns:mc="http://schemas.openxmlformats.org/markup-compatibility/2006">
          <mc:Choice Requires="x14">
            <control shapeId="88084" r:id="rId8" name="Group Box 20">
              <controlPr defaultSize="0" autoFill="0" autoPict="0">
                <anchor moveWithCells="1">
                  <from>
                    <xdr:col>1</xdr:col>
                    <xdr:colOff>57150</xdr:colOff>
                    <xdr:row>0</xdr:row>
                    <xdr:rowOff>104775</xdr:rowOff>
                  </from>
                  <to>
                    <xdr:col>2</xdr:col>
                    <xdr:colOff>609600</xdr:colOff>
                    <xdr:row>1</xdr:row>
                    <xdr:rowOff>180975</xdr:rowOff>
                  </to>
                </anchor>
              </controlPr>
            </control>
          </mc:Choice>
        </mc:AlternateContent>
        <mc:AlternateContent xmlns:mc="http://schemas.openxmlformats.org/markup-compatibility/2006">
          <mc:Choice Requires="x14">
            <control shapeId="88085" r:id="rId9" name="Button 21">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8086" r:id="rId10" name="Button 22">
              <controlPr defaultSize="0" autoFill="0" autoPict="0" macro="[0]!NhanTrieu">
                <anchor moveWithCells="1">
                  <from>
                    <xdr:col>1</xdr:col>
                    <xdr:colOff>657225</xdr:colOff>
                    <xdr:row>0</xdr:row>
                    <xdr:rowOff>200025</xdr:rowOff>
                  </from>
                  <to>
                    <xdr:col>2</xdr:col>
                    <xdr:colOff>19050</xdr:colOff>
                    <xdr:row>1</xdr:row>
                    <xdr:rowOff>85725</xdr:rowOff>
                  </to>
                </anchor>
              </controlPr>
            </control>
          </mc:Choice>
        </mc:AlternateContent>
        <mc:AlternateContent xmlns:mc="http://schemas.openxmlformats.org/markup-compatibility/2006">
          <mc:Choice Requires="x14">
            <control shapeId="88087" r:id="rId11" name="Button 23">
              <controlPr defaultSize="0" autoFill="0" autoPict="0" macro="[0]!NhanTy">
                <anchor moveWithCells="1">
                  <from>
                    <xdr:col>2</xdr:col>
                    <xdr:colOff>66675</xdr:colOff>
                    <xdr:row>0</xdr:row>
                    <xdr:rowOff>200025</xdr:rowOff>
                  </from>
                  <to>
                    <xdr:col>2</xdr:col>
                    <xdr:colOff>533400</xdr:colOff>
                    <xdr:row>1</xdr:row>
                    <xdr:rowOff>85725</xdr:rowOff>
                  </to>
                </anchor>
              </controlPr>
            </control>
          </mc:Choice>
        </mc:AlternateContent>
        <mc:AlternateContent xmlns:mc="http://schemas.openxmlformats.org/markup-compatibility/2006">
          <mc:Choice Requires="x14">
            <control shapeId="88088" r:id="rId12" name="Button 24">
              <controlPr defaultSize="0" print="0" autoFill="0" autoPict="0" macro="[0]!AddRow">
                <anchor moveWithCells="1">
                  <from>
                    <xdr:col>5</xdr:col>
                    <xdr:colOff>28575</xdr:colOff>
                    <xdr:row>0</xdr:row>
                    <xdr:rowOff>133350</xdr:rowOff>
                  </from>
                  <to>
                    <xdr:col>5</xdr:col>
                    <xdr:colOff>504825</xdr:colOff>
                    <xdr:row>1</xdr:row>
                    <xdr:rowOff>104775</xdr:rowOff>
                  </to>
                </anchor>
              </controlPr>
            </control>
          </mc:Choice>
        </mc:AlternateContent>
        <mc:AlternateContent xmlns:mc="http://schemas.openxmlformats.org/markup-compatibility/2006">
          <mc:Choice Requires="x14">
            <control shapeId="88089" r:id="rId13" name="Button 25">
              <controlPr defaultSize="0" print="0" autoFill="0" autoPict="0" macro="[0]!DeleteRow">
                <anchor moveWithCells="1">
                  <from>
                    <xdr:col>6</xdr:col>
                    <xdr:colOff>57150</xdr:colOff>
                    <xdr:row>0</xdr:row>
                    <xdr:rowOff>133350</xdr:rowOff>
                  </from>
                  <to>
                    <xdr:col>6</xdr:col>
                    <xdr:colOff>533400</xdr:colOff>
                    <xdr:row>1</xdr:row>
                    <xdr:rowOff>104775</xdr:rowOff>
                  </to>
                </anchor>
              </controlPr>
            </control>
          </mc:Choice>
        </mc:AlternateContent>
        <mc:AlternateContent xmlns:mc="http://schemas.openxmlformats.org/markup-compatibility/2006">
          <mc:Choice Requires="x14">
            <control shapeId="88090" r:id="rId14" name="Button 26">
              <controlPr defaultSize="0" print="0" autoFill="0" autoPict="0" macro="[0]!AddColumn">
                <anchor moveWithCells="1">
                  <from>
                    <xdr:col>12</xdr:col>
                    <xdr:colOff>66675</xdr:colOff>
                    <xdr:row>0</xdr:row>
                    <xdr:rowOff>133350</xdr:rowOff>
                  </from>
                  <to>
                    <xdr:col>12</xdr:col>
                    <xdr:colOff>581025</xdr:colOff>
                    <xdr:row>1</xdr:row>
                    <xdr:rowOff>104775</xdr:rowOff>
                  </to>
                </anchor>
              </controlPr>
            </control>
          </mc:Choice>
        </mc:AlternateContent>
        <mc:AlternateContent xmlns:mc="http://schemas.openxmlformats.org/markup-compatibility/2006">
          <mc:Choice Requires="x14">
            <control shapeId="88091" r:id="rId15" name="Button 27">
              <controlPr defaultSize="0" print="0" autoFill="0" autoPict="0" macro="[0]!DeleteColumn">
                <anchor moveWithCells="1">
                  <from>
                    <xdr:col>12</xdr:col>
                    <xdr:colOff>619125</xdr:colOff>
                    <xdr:row>0</xdr:row>
                    <xdr:rowOff>133350</xdr:rowOff>
                  </from>
                  <to>
                    <xdr:col>12</xdr:col>
                    <xdr:colOff>1162050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E5151590-4705-4422-834F-5FB2054AE587}">
            <xm:f>Security!$A$1="NO VBA"</xm:f>
            <x14:dxf>
              <font>
                <color theme="0"/>
              </font>
              <border>
                <vertical/>
                <horizontal/>
              </border>
            </x14:dxf>
          </x14:cfRule>
          <xm:sqref>A1:XFD1048576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A2E3-545E-409E-8980-81AAB89B4968}">
  <sheetPr codeName="Sheet6">
    <tabColor theme="4"/>
  </sheetPr>
  <dimension ref="A1:G5"/>
  <sheetViews>
    <sheetView showGridLines="0" workbookViewId="0">
      <selection activeCell="I11" sqref="A11:I12"/>
    </sheetView>
  </sheetViews>
  <sheetFormatPr defaultRowHeight="16.5" x14ac:dyDescent="0.3"/>
  <cols>
    <col min="1" max="1" width="14.375" style="40" customWidth="1"/>
    <col min="2" max="2" width="9" style="40"/>
    <col min="3" max="3" width="11.5" style="40" customWidth="1"/>
    <col min="4" max="4" width="15.125" style="40" customWidth="1"/>
    <col min="5" max="5" width="10.5" style="40" customWidth="1"/>
    <col min="6" max="7" width="10.125" style="40" customWidth="1"/>
    <col min="8" max="16384" width="9" style="40"/>
  </cols>
  <sheetData>
    <row r="1" spans="1:7" ht="17.25" customHeight="1" x14ac:dyDescent="0.3"/>
    <row r="3" spans="1:7" s="322" customFormat="1" x14ac:dyDescent="0.3">
      <c r="A3" s="301">
        <v>0</v>
      </c>
      <c r="B3" s="301">
        <v>1</v>
      </c>
      <c r="C3" s="301">
        <v>2</v>
      </c>
      <c r="D3" s="301">
        <v>3</v>
      </c>
      <c r="E3" s="301">
        <v>4</v>
      </c>
      <c r="F3" s="301">
        <v>5</v>
      </c>
      <c r="G3" s="301"/>
    </row>
    <row r="4" spans="1:7" x14ac:dyDescent="0.3">
      <c r="A4" s="273"/>
      <c r="B4" s="7" t="s">
        <v>47</v>
      </c>
      <c r="C4" s="7" t="s">
        <v>886</v>
      </c>
      <c r="D4" s="7" t="s">
        <v>885</v>
      </c>
      <c r="E4" s="7" t="s">
        <v>34</v>
      </c>
      <c r="F4" s="7" t="s">
        <v>157</v>
      </c>
      <c r="G4" s="7" t="s">
        <v>883</v>
      </c>
    </row>
    <row r="5" spans="1:7" x14ac:dyDescent="0.3">
      <c r="A5" s="273"/>
      <c r="B5" s="242"/>
      <c r="C5" s="242"/>
      <c r="D5" s="242"/>
      <c r="E5" s="242"/>
      <c r="F5" s="45"/>
      <c r="G5" s="242"/>
    </row>
  </sheetData>
  <sheetProtection algorithmName="SHA-512" hashValue="PG34H2u7jmxY9QUXli5Wlf3KZu5UwFf6NkE28YMHzZ/gJrxMNIsBtx7aMjmpy9UCz/DhFQqSC6da9eKOGrjeDw==" saltValue="Io/Vtfg3lCPiqHT+/jIXkg==" spinCount="100000" sheet="1" scenarios="1" formatCells="0" formatColumns="0" formatRows="0" insertColumns="0" insertRows="0" deleteColumns="0" deleteRows="0" sort="0" autoFilter="0" pivotTables="0"/>
  <protectedRanges>
    <protectedRange sqref="G4" name="Range1_1"/>
  </protectedRanges>
  <dataValidations count="4">
    <dataValidation type="list" allowBlank="1" showInputMessage="1" sqref="B5" xr:uid="{07BCBC81-291D-4158-822B-F2A26E1A1DB5}">
      <formula1>Ma_SKU</formula1>
    </dataValidation>
    <dataValidation type="list" allowBlank="1" showInputMessage="1" showErrorMessage="1" sqref="C5" xr:uid="{B69E03EB-0F49-43E6-99CB-05855184E786}">
      <formula1>"Nhân viên, Kênh"</formula1>
    </dataValidation>
    <dataValidation type="list" allowBlank="1" showInputMessage="1" sqref="D5" xr:uid="{96210223-25D4-4C45-857E-584CCC429489}">
      <formula1>MaNhanVien</formula1>
    </dataValidation>
    <dataValidation type="list" allowBlank="1" showInputMessage="1" sqref="E5" xr:uid="{23B712E3-00A5-4E31-BFDD-38912450BAE6}">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6" r:id="rId3" name="Option Button 6">
              <controlPr defaultSize="0" autoFill="0" autoLine="0" autoPict="0" macro="[0]!DoiDonViHienThi">
                <anchor moveWithCells="1">
                  <from>
                    <xdr:col>3</xdr:col>
                    <xdr:colOff>361950</xdr:colOff>
                    <xdr:row>0</xdr:row>
                    <xdr:rowOff>152400</xdr:rowOff>
                  </from>
                  <to>
                    <xdr:col>3</xdr:col>
                    <xdr:colOff>952500</xdr:colOff>
                    <xdr:row>1</xdr:row>
                    <xdr:rowOff>209550</xdr:rowOff>
                  </to>
                </anchor>
              </controlPr>
            </control>
          </mc:Choice>
        </mc:AlternateContent>
        <mc:AlternateContent xmlns:mc="http://schemas.openxmlformats.org/markup-compatibility/2006">
          <mc:Choice Requires="x14">
            <control shapeId="87047" r:id="rId4" name="Option Button 7">
              <controlPr defaultSize="0" autoFill="0" autoLine="0" autoPict="0" macro="[0]!DoiDonViHienThi">
                <anchor moveWithCells="1">
                  <from>
                    <xdr:col>3</xdr:col>
                    <xdr:colOff>828675</xdr:colOff>
                    <xdr:row>0</xdr:row>
                    <xdr:rowOff>152400</xdr:rowOff>
                  </from>
                  <to>
                    <xdr:col>4</xdr:col>
                    <xdr:colOff>266700</xdr:colOff>
                    <xdr:row>1</xdr:row>
                    <xdr:rowOff>209550</xdr:rowOff>
                  </to>
                </anchor>
              </controlPr>
            </control>
          </mc:Choice>
        </mc:AlternateContent>
        <mc:AlternateContent xmlns:mc="http://schemas.openxmlformats.org/markup-compatibility/2006">
          <mc:Choice Requires="x14">
            <control shapeId="87048" r:id="rId5" name="Option Button 8">
              <controlPr defaultSize="0" autoFill="0" autoLine="0" autoPict="0" macro="[0]!DoiDonViHienThi">
                <anchor moveWithCells="1">
                  <from>
                    <xdr:col>4</xdr:col>
                    <xdr:colOff>142875</xdr:colOff>
                    <xdr:row>0</xdr:row>
                    <xdr:rowOff>152400</xdr:rowOff>
                  </from>
                  <to>
                    <xdr:col>4</xdr:col>
                    <xdr:colOff>733425</xdr:colOff>
                    <xdr:row>1</xdr:row>
                    <xdr:rowOff>209550</xdr:rowOff>
                  </to>
                </anchor>
              </controlPr>
            </control>
          </mc:Choice>
        </mc:AlternateContent>
        <mc:AlternateContent xmlns:mc="http://schemas.openxmlformats.org/markup-compatibility/2006">
          <mc:Choice Requires="x14">
            <control shapeId="87049" r:id="rId6" name="Option Button 9">
              <controlPr defaultSize="0" autoFill="0" autoLine="0" autoPict="0" macro="[0]!DoiDonViHienThi">
                <anchor moveWithCells="1">
                  <from>
                    <xdr:col>4</xdr:col>
                    <xdr:colOff>619125</xdr:colOff>
                    <xdr:row>0</xdr:row>
                    <xdr:rowOff>152400</xdr:rowOff>
                  </from>
                  <to>
                    <xdr:col>5</xdr:col>
                    <xdr:colOff>171450</xdr:colOff>
                    <xdr:row>1</xdr:row>
                    <xdr:rowOff>209550</xdr:rowOff>
                  </to>
                </anchor>
              </controlPr>
            </control>
          </mc:Choice>
        </mc:AlternateContent>
        <mc:AlternateContent xmlns:mc="http://schemas.openxmlformats.org/markup-compatibility/2006">
          <mc:Choice Requires="x14">
            <control shapeId="87050" r:id="rId7" name="Group Box 10">
              <controlPr defaultSize="0" autoFill="0" autoPict="0">
                <anchor moveWithCells="1">
                  <from>
                    <xdr:col>3</xdr:col>
                    <xdr:colOff>247650</xdr:colOff>
                    <xdr:row>0</xdr:row>
                    <xdr:rowOff>104775</xdr:rowOff>
                  </from>
                  <to>
                    <xdr:col>5</xdr:col>
                    <xdr:colOff>285750</xdr:colOff>
                    <xdr:row>2</xdr:row>
                    <xdr:rowOff>38100</xdr:rowOff>
                  </to>
                </anchor>
              </controlPr>
            </control>
          </mc:Choice>
        </mc:AlternateContent>
        <mc:AlternateContent xmlns:mc="http://schemas.openxmlformats.org/markup-compatibility/2006">
          <mc:Choice Requires="x14">
            <control shapeId="87051" r:id="rId8" name="Group Box 11">
              <controlPr defaultSize="0" autoFill="0" autoPict="0">
                <anchor moveWithCells="1">
                  <from>
                    <xdr:col>1</xdr:col>
                    <xdr:colOff>104775</xdr:colOff>
                    <xdr:row>0</xdr:row>
                    <xdr:rowOff>104775</xdr:rowOff>
                  </from>
                  <to>
                    <xdr:col>3</xdr:col>
                    <xdr:colOff>200025</xdr:colOff>
                    <xdr:row>2</xdr:row>
                    <xdr:rowOff>38100</xdr:rowOff>
                  </to>
                </anchor>
              </controlPr>
            </control>
          </mc:Choice>
        </mc:AlternateContent>
        <mc:AlternateContent xmlns:mc="http://schemas.openxmlformats.org/markup-compatibility/2006">
          <mc:Choice Requires="x14">
            <control shapeId="87052" r:id="rId9" name="Button 12">
              <controlPr defaultSize="0" autoFill="0" autoPict="0" macro="[0]!NhanNghin">
                <anchor moveWithCells="1">
                  <from>
                    <xdr:col>1</xdr:col>
                    <xdr:colOff>190500</xdr:colOff>
                    <xdr:row>0</xdr:row>
                    <xdr:rowOff>200025</xdr:rowOff>
                  </from>
                  <to>
                    <xdr:col>1</xdr:col>
                    <xdr:colOff>657225</xdr:colOff>
                    <xdr:row>1</xdr:row>
                    <xdr:rowOff>152400</xdr:rowOff>
                  </to>
                </anchor>
              </controlPr>
            </control>
          </mc:Choice>
        </mc:AlternateContent>
        <mc:AlternateContent xmlns:mc="http://schemas.openxmlformats.org/markup-compatibility/2006">
          <mc:Choice Requires="x14">
            <control shapeId="87053" r:id="rId10" name="Button 13">
              <controlPr defaultSize="0" autoFill="0" autoPict="0" macro="[0]!NhanTrieu">
                <anchor moveWithCells="1">
                  <from>
                    <xdr:col>2</xdr:col>
                    <xdr:colOff>19050</xdr:colOff>
                    <xdr:row>0</xdr:row>
                    <xdr:rowOff>200025</xdr:rowOff>
                  </from>
                  <to>
                    <xdr:col>2</xdr:col>
                    <xdr:colOff>485775</xdr:colOff>
                    <xdr:row>1</xdr:row>
                    <xdr:rowOff>152400</xdr:rowOff>
                  </to>
                </anchor>
              </controlPr>
            </control>
          </mc:Choice>
        </mc:AlternateContent>
        <mc:AlternateContent xmlns:mc="http://schemas.openxmlformats.org/markup-compatibility/2006">
          <mc:Choice Requires="x14">
            <control shapeId="87054" r:id="rId11" name="Button 14">
              <controlPr defaultSize="0" autoFill="0" autoPict="0" macro="[0]!NhanTy">
                <anchor moveWithCells="1">
                  <from>
                    <xdr:col>2</xdr:col>
                    <xdr:colOff>533400</xdr:colOff>
                    <xdr:row>0</xdr:row>
                    <xdr:rowOff>200025</xdr:rowOff>
                  </from>
                  <to>
                    <xdr:col>3</xdr:col>
                    <xdr:colOff>123825</xdr:colOff>
                    <xdr:row>1</xdr:row>
                    <xdr:rowOff>152400</xdr:rowOff>
                  </to>
                </anchor>
              </controlPr>
            </control>
          </mc:Choice>
        </mc:AlternateContent>
        <mc:AlternateContent xmlns:mc="http://schemas.openxmlformats.org/markup-compatibility/2006">
          <mc:Choice Requires="x14">
            <control shapeId="87057" r:id="rId12" name="Button 17">
              <controlPr defaultSize="0" print="0" autoFill="0" autoPict="0" macro="[0]!AddRow">
                <anchor moveWithCells="1">
                  <from>
                    <xdr:col>0</xdr:col>
                    <xdr:colOff>19050</xdr:colOff>
                    <xdr:row>2</xdr:row>
                    <xdr:rowOff>123825</xdr:rowOff>
                  </from>
                  <to>
                    <xdr:col>0</xdr:col>
                    <xdr:colOff>495300</xdr:colOff>
                    <xdr:row>3</xdr:row>
                    <xdr:rowOff>171450</xdr:rowOff>
                  </to>
                </anchor>
              </controlPr>
            </control>
          </mc:Choice>
        </mc:AlternateContent>
        <mc:AlternateContent xmlns:mc="http://schemas.openxmlformats.org/markup-compatibility/2006">
          <mc:Choice Requires="x14">
            <control shapeId="87058" r:id="rId13" name="Button 18">
              <controlPr defaultSize="0" print="0" autoFill="0" autoPict="0" macro="[0]!DeleteRow">
                <anchor moveWithCells="1">
                  <from>
                    <xdr:col>0</xdr:col>
                    <xdr:colOff>533400</xdr:colOff>
                    <xdr:row>2</xdr:row>
                    <xdr:rowOff>123825</xdr:rowOff>
                  </from>
                  <to>
                    <xdr:col>0</xdr:col>
                    <xdr:colOff>1009650</xdr:colOff>
                    <xdr:row>3</xdr:row>
                    <xdr:rowOff>171450</xdr:rowOff>
                  </to>
                </anchor>
              </controlPr>
            </control>
          </mc:Choice>
        </mc:AlternateContent>
        <mc:AlternateContent xmlns:mc="http://schemas.openxmlformats.org/markup-compatibility/2006">
          <mc:Choice Requires="x14">
            <control shapeId="87059" r:id="rId14" name="Button 19">
              <controlPr defaultSize="0" print="0" autoFill="0" autoPict="0" macro="[0]!AddColumn">
                <anchor moveWithCells="1">
                  <from>
                    <xdr:col>6</xdr:col>
                    <xdr:colOff>47625</xdr:colOff>
                    <xdr:row>0</xdr:row>
                    <xdr:rowOff>161925</xdr:rowOff>
                  </from>
                  <to>
                    <xdr:col>6</xdr:col>
                    <xdr:colOff>561975</xdr:colOff>
                    <xdr:row>1</xdr:row>
                    <xdr:rowOff>200025</xdr:rowOff>
                  </to>
                </anchor>
              </controlPr>
            </control>
          </mc:Choice>
        </mc:AlternateContent>
        <mc:AlternateContent xmlns:mc="http://schemas.openxmlformats.org/markup-compatibility/2006">
          <mc:Choice Requires="x14">
            <control shapeId="87060" r:id="rId15" name="Button 20">
              <controlPr defaultSize="0" print="0" autoFill="0" autoPict="0" macro="[0]!DeleteColumn">
                <anchor moveWithCells="1">
                  <from>
                    <xdr:col>6</xdr:col>
                    <xdr:colOff>600075</xdr:colOff>
                    <xdr:row>0</xdr:row>
                    <xdr:rowOff>161925</xdr:rowOff>
                  </from>
                  <to>
                    <xdr:col>7</xdr:col>
                    <xdr:colOff>371475</xdr:colOff>
                    <xdr:row>1</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A8BB156D-0182-4A2D-86C4-9552438D123C}">
            <xm:f>Security!$A$1="NO VBA"</xm:f>
            <x14:dxf>
              <font>
                <color theme="0"/>
              </font>
              <border>
                <vertical/>
                <horizontal/>
              </border>
            </x14:dxf>
          </x14:cfRule>
          <xm:sqref>G4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61F1-9C88-413F-A497-5621FDEC7DAF}">
  <sheetPr codeName="Sheet41">
    <tabColor theme="4"/>
  </sheetPr>
  <dimension ref="A1:E6"/>
  <sheetViews>
    <sheetView showGridLines="0" workbookViewId="0">
      <selection activeCell="D6" sqref="D6"/>
    </sheetView>
  </sheetViews>
  <sheetFormatPr defaultRowHeight="18" customHeight="1" outlineLevelRow="1" x14ac:dyDescent="0.3"/>
  <cols>
    <col min="1" max="1" width="9.625" style="7" customWidth="1"/>
    <col min="2" max="2" width="8.875" style="7" bestFit="1" customWidth="1"/>
    <col min="3" max="3" width="9.5" style="7" bestFit="1" customWidth="1"/>
    <col min="4" max="4" width="9.5" style="7" customWidth="1"/>
    <col min="5" max="5" width="6.75" style="7" bestFit="1" customWidth="1"/>
    <col min="6" max="16384" width="9" style="7"/>
  </cols>
  <sheetData>
    <row r="1" spans="1:5" s="310" customFormat="1" ht="22.5" customHeight="1" x14ac:dyDescent="0.3">
      <c r="A1" s="309">
        <v>0</v>
      </c>
      <c r="B1" s="309">
        <f>+A1+1</f>
        <v>1</v>
      </c>
      <c r="C1" s="309">
        <f>+B1+1</f>
        <v>2</v>
      </c>
      <c r="D1" s="309">
        <f>+C1+1</f>
        <v>3</v>
      </c>
      <c r="E1" s="309"/>
    </row>
    <row r="2" spans="1:5" s="95" customFormat="1" ht="18" customHeight="1" x14ac:dyDescent="0.3">
      <c r="A2" s="271"/>
      <c r="B2" s="271"/>
      <c r="C2" s="271"/>
      <c r="D2" s="271"/>
      <c r="E2" s="271"/>
    </row>
    <row r="3" spans="1:5" s="95" customFormat="1" ht="18" customHeight="1" outlineLevel="1" x14ac:dyDescent="0.3">
      <c r="A3" s="271"/>
      <c r="B3" s="271"/>
      <c r="C3" s="271"/>
      <c r="D3" s="95" t="s">
        <v>888</v>
      </c>
      <c r="E3" s="95" t="str" cm="1">
        <f t="array" ref="E3">TRANSPOSE(_xlfn._xlws.SORT(_xlfn._xlws.FILTER(Table_Kenh[Mã Kênh],Table_Kenh[Nhóm Kênh]=D3,"")))</f>
        <v/>
      </c>
    </row>
    <row r="4" spans="1:5" s="95" customFormat="1" ht="18" customHeight="1" outlineLevel="1" x14ac:dyDescent="0.3">
      <c r="A4" s="271"/>
      <c r="B4" s="271"/>
      <c r="C4" s="271"/>
      <c r="D4" s="95" t="s">
        <v>806</v>
      </c>
      <c r="E4" s="271" t="str" cm="1">
        <f t="array" ref="E4">TRANSPOSE(_xlfn._xlws.SORT(Table_Kenh[Mã Kênh]))</f>
        <v>A</v>
      </c>
    </row>
    <row r="5" spans="1:5" s="112" customFormat="1" ht="18" customHeight="1" x14ac:dyDescent="0.3">
      <c r="A5" s="272"/>
      <c r="B5" s="171" t="s">
        <v>34</v>
      </c>
      <c r="C5" s="171" t="s">
        <v>858</v>
      </c>
      <c r="D5" s="171" t="s">
        <v>859</v>
      </c>
      <c r="E5" s="7" t="s">
        <v>883</v>
      </c>
    </row>
    <row r="6" spans="1:5" ht="18" customHeight="1" x14ac:dyDescent="0.3">
      <c r="A6" s="242"/>
      <c r="B6" s="242" t="s">
        <v>1007</v>
      </c>
      <c r="C6" s="242"/>
      <c r="D6" s="242"/>
      <c r="E6" s="242"/>
    </row>
  </sheetData>
  <sheetProtection algorithmName="SHA-512" hashValue="PGHgFlunwQopUTCtM5HWYGFixoIJnXuHGWONkoBVR/VqTRb63psUxKhtFG4yaiziBvf0JiHy23WW/TbA1keXYw==" saltValue="mhS8e9RF+trD0CFizmm20Q==" spinCount="100000" sheet="1" scenarios="1" formatCells="0" formatColumns="0" formatRows="0" insertColumns="0" insertRows="0" deleteColumns="0" deleteRows="0" sort="0" autoFilter="0" pivotTables="0"/>
  <protectedRanges>
    <protectedRange sqref="E1:H2 I1:XFD4 E3:F4 E6:E1048576 A1:D1048576 F5:L1048576 M13:W19 M20:M1048576 Y5:XFD1048576 M5:X12 N21:X1048576 W13:X13" name="Range1"/>
    <protectedRange sqref="E5" name="Range1_1"/>
  </protectedRanges>
  <dataValidations count="1">
    <dataValidation type="list" allowBlank="1" showInputMessage="1" sqref="D6" xr:uid="{4ED45FC4-790C-424A-AEB7-00686C5254D4}">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23" r:id="rId3" name="Option Button 7">
              <controlPr defaultSize="0" autoFill="0" autoLine="0" autoPict="0" macro="[0]!DoiDonViHienThi">
                <anchor moveWithCells="1">
                  <from>
                    <xdr:col>7</xdr:col>
                    <xdr:colOff>485775</xdr:colOff>
                    <xdr:row>0</xdr:row>
                    <xdr:rowOff>152400</xdr:rowOff>
                  </from>
                  <to>
                    <xdr:col>8</xdr:col>
                    <xdr:colOff>390525</xdr:colOff>
                    <xdr:row>1</xdr:row>
                    <xdr:rowOff>142875</xdr:rowOff>
                  </to>
                </anchor>
              </controlPr>
            </control>
          </mc:Choice>
        </mc:AlternateContent>
        <mc:AlternateContent xmlns:mc="http://schemas.openxmlformats.org/markup-compatibility/2006">
          <mc:Choice Requires="x14">
            <control shapeId="86024" r:id="rId4" name="Option Button 8">
              <controlPr defaultSize="0" autoFill="0" autoLine="0" autoPict="0" macro="[0]!DoiDonViHienThi">
                <anchor moveWithCells="1">
                  <from>
                    <xdr:col>8</xdr:col>
                    <xdr:colOff>266700</xdr:colOff>
                    <xdr:row>0</xdr:row>
                    <xdr:rowOff>152400</xdr:rowOff>
                  </from>
                  <to>
                    <xdr:col>9</xdr:col>
                    <xdr:colOff>171450</xdr:colOff>
                    <xdr:row>1</xdr:row>
                    <xdr:rowOff>142875</xdr:rowOff>
                  </to>
                </anchor>
              </controlPr>
            </control>
          </mc:Choice>
        </mc:AlternateContent>
        <mc:AlternateContent xmlns:mc="http://schemas.openxmlformats.org/markup-compatibility/2006">
          <mc:Choice Requires="x14">
            <control shapeId="86025" r:id="rId5" name="Option Button 9">
              <controlPr defaultSize="0" autoFill="0" autoLine="0" autoPict="0" macro="[0]!DoiDonViHienThi">
                <anchor moveWithCells="1">
                  <from>
                    <xdr:col>9</xdr:col>
                    <xdr:colOff>47625</xdr:colOff>
                    <xdr:row>0</xdr:row>
                    <xdr:rowOff>152400</xdr:rowOff>
                  </from>
                  <to>
                    <xdr:col>9</xdr:col>
                    <xdr:colOff>638175</xdr:colOff>
                    <xdr:row>1</xdr:row>
                    <xdr:rowOff>142875</xdr:rowOff>
                  </to>
                </anchor>
              </controlPr>
            </control>
          </mc:Choice>
        </mc:AlternateContent>
        <mc:AlternateContent xmlns:mc="http://schemas.openxmlformats.org/markup-compatibility/2006">
          <mc:Choice Requires="x14">
            <control shapeId="86026" r:id="rId6" name="Option Button 10">
              <controlPr defaultSize="0" autoFill="0" autoLine="0" autoPict="0" macro="[0]!DoiDonViHienThi">
                <anchor moveWithCells="1">
                  <from>
                    <xdr:col>9</xdr:col>
                    <xdr:colOff>523875</xdr:colOff>
                    <xdr:row>0</xdr:row>
                    <xdr:rowOff>152400</xdr:rowOff>
                  </from>
                  <to>
                    <xdr:col>10</xdr:col>
                    <xdr:colOff>190500</xdr:colOff>
                    <xdr:row>1</xdr:row>
                    <xdr:rowOff>142875</xdr:rowOff>
                  </to>
                </anchor>
              </controlPr>
            </control>
          </mc:Choice>
        </mc:AlternateContent>
        <mc:AlternateContent xmlns:mc="http://schemas.openxmlformats.org/markup-compatibility/2006">
          <mc:Choice Requires="x14">
            <control shapeId="86027" r:id="rId7" name="Group Box 11">
              <controlPr defaultSize="0" autoFill="0" autoPict="0">
                <anchor moveWithCells="1">
                  <from>
                    <xdr:col>7</xdr:col>
                    <xdr:colOff>371475</xdr:colOff>
                    <xdr:row>0</xdr:row>
                    <xdr:rowOff>104775</xdr:rowOff>
                  </from>
                  <to>
                    <xdr:col>10</xdr:col>
                    <xdr:colOff>304800</xdr:colOff>
                    <xdr:row>1</xdr:row>
                    <xdr:rowOff>180975</xdr:rowOff>
                  </to>
                </anchor>
              </controlPr>
            </control>
          </mc:Choice>
        </mc:AlternateContent>
        <mc:AlternateContent xmlns:mc="http://schemas.openxmlformats.org/markup-compatibility/2006">
          <mc:Choice Requires="x14">
            <control shapeId="86028" r:id="rId8" name="Group Box 12">
              <controlPr defaultSize="0" autoFill="0" autoPict="0">
                <anchor moveWithCells="1">
                  <from>
                    <xdr:col>5</xdr:col>
                    <xdr:colOff>38100</xdr:colOff>
                    <xdr:row>0</xdr:row>
                    <xdr:rowOff>104775</xdr:rowOff>
                  </from>
                  <to>
                    <xdr:col>7</xdr:col>
                    <xdr:colOff>323850</xdr:colOff>
                    <xdr:row>1</xdr:row>
                    <xdr:rowOff>180975</xdr:rowOff>
                  </to>
                </anchor>
              </controlPr>
            </control>
          </mc:Choice>
        </mc:AlternateContent>
        <mc:AlternateContent xmlns:mc="http://schemas.openxmlformats.org/markup-compatibility/2006">
          <mc:Choice Requires="x14">
            <control shapeId="86029" r:id="rId9" name="Button 13">
              <controlPr defaultSize="0" autoFill="0" autoPict="0" macro="[0]!NhanNghin">
                <anchor moveWithCells="1">
                  <from>
                    <xdr:col>5</xdr:col>
                    <xdr:colOff>123825</xdr:colOff>
                    <xdr:row>0</xdr:row>
                    <xdr:rowOff>200025</xdr:rowOff>
                  </from>
                  <to>
                    <xdr:col>5</xdr:col>
                    <xdr:colOff>590550</xdr:colOff>
                    <xdr:row>1</xdr:row>
                    <xdr:rowOff>85725</xdr:rowOff>
                  </to>
                </anchor>
              </controlPr>
            </control>
          </mc:Choice>
        </mc:AlternateContent>
        <mc:AlternateContent xmlns:mc="http://schemas.openxmlformats.org/markup-compatibility/2006">
          <mc:Choice Requires="x14">
            <control shapeId="86030" r:id="rId10" name="Button 14">
              <controlPr defaultSize="0" autoFill="0" autoPict="0" macro="[0]!NhanTrieu">
                <anchor moveWithCells="1">
                  <from>
                    <xdr:col>5</xdr:col>
                    <xdr:colOff>638175</xdr:colOff>
                    <xdr:row>0</xdr:row>
                    <xdr:rowOff>200025</xdr:rowOff>
                  </from>
                  <to>
                    <xdr:col>6</xdr:col>
                    <xdr:colOff>419100</xdr:colOff>
                    <xdr:row>1</xdr:row>
                    <xdr:rowOff>85725</xdr:rowOff>
                  </to>
                </anchor>
              </controlPr>
            </control>
          </mc:Choice>
        </mc:AlternateContent>
        <mc:AlternateContent xmlns:mc="http://schemas.openxmlformats.org/markup-compatibility/2006">
          <mc:Choice Requires="x14">
            <control shapeId="86031" r:id="rId11" name="Button 15">
              <controlPr defaultSize="0" autoFill="0" autoPict="0" macro="[0]!NhanTy">
                <anchor moveWithCells="1">
                  <from>
                    <xdr:col>6</xdr:col>
                    <xdr:colOff>466725</xdr:colOff>
                    <xdr:row>0</xdr:row>
                    <xdr:rowOff>200025</xdr:rowOff>
                  </from>
                  <to>
                    <xdr:col>7</xdr:col>
                    <xdr:colOff>247650</xdr:colOff>
                    <xdr:row>1</xdr:row>
                    <xdr:rowOff>85725</xdr:rowOff>
                  </to>
                </anchor>
              </controlPr>
            </control>
          </mc:Choice>
        </mc:AlternateContent>
        <mc:AlternateContent xmlns:mc="http://schemas.openxmlformats.org/markup-compatibility/2006">
          <mc:Choice Requires="x14">
            <control shapeId="86032" r:id="rId12" name="Button 16">
              <controlPr defaultSize="0" print="0" autoFill="0" autoPict="0" macro="[0]!AddRow">
                <anchor moveWithCells="1">
                  <from>
                    <xdr:col>1</xdr:col>
                    <xdr:colOff>133350</xdr:colOff>
                    <xdr:row>1</xdr:row>
                    <xdr:rowOff>47625</xdr:rowOff>
                  </from>
                  <to>
                    <xdr:col>1</xdr:col>
                    <xdr:colOff>609600</xdr:colOff>
                    <xdr:row>2</xdr:row>
                    <xdr:rowOff>76200</xdr:rowOff>
                  </to>
                </anchor>
              </controlPr>
            </control>
          </mc:Choice>
        </mc:AlternateContent>
        <mc:AlternateContent xmlns:mc="http://schemas.openxmlformats.org/markup-compatibility/2006">
          <mc:Choice Requires="x14">
            <control shapeId="86033" r:id="rId13" name="Button 17">
              <controlPr defaultSize="0" print="0" autoFill="0" autoPict="0" macro="[0]!DeleteRow">
                <anchor moveWithCells="1">
                  <from>
                    <xdr:col>1</xdr:col>
                    <xdr:colOff>647700</xdr:colOff>
                    <xdr:row>1</xdr:row>
                    <xdr:rowOff>47625</xdr:rowOff>
                  </from>
                  <to>
                    <xdr:col>2</xdr:col>
                    <xdr:colOff>447675</xdr:colOff>
                    <xdr:row>2</xdr:row>
                    <xdr:rowOff>76200</xdr:rowOff>
                  </to>
                </anchor>
              </controlPr>
            </control>
          </mc:Choice>
        </mc:AlternateContent>
        <mc:AlternateContent xmlns:mc="http://schemas.openxmlformats.org/markup-compatibility/2006">
          <mc:Choice Requires="x14">
            <control shapeId="86034" r:id="rId14" name="Button 18">
              <controlPr defaultSize="0" print="0" autoFill="0" autoPict="0" macro="[0]!AddColumn">
                <anchor moveWithCells="1">
                  <from>
                    <xdr:col>5</xdr:col>
                    <xdr:colOff>76200</xdr:colOff>
                    <xdr:row>3</xdr:row>
                    <xdr:rowOff>171450</xdr:rowOff>
                  </from>
                  <to>
                    <xdr:col>5</xdr:col>
                    <xdr:colOff>590550</xdr:colOff>
                    <xdr:row>4</xdr:row>
                    <xdr:rowOff>200025</xdr:rowOff>
                  </to>
                </anchor>
              </controlPr>
            </control>
          </mc:Choice>
        </mc:AlternateContent>
        <mc:AlternateContent xmlns:mc="http://schemas.openxmlformats.org/markup-compatibility/2006">
          <mc:Choice Requires="x14">
            <control shapeId="86035" r:id="rId15" name="Button 19">
              <controlPr defaultSize="0" print="0" autoFill="0" autoPict="0" macro="[0]!DeleteColumn">
                <anchor moveWithCells="1">
                  <from>
                    <xdr:col>5</xdr:col>
                    <xdr:colOff>628650</xdr:colOff>
                    <xdr:row>3</xdr:row>
                    <xdr:rowOff>171450</xdr:rowOff>
                  </from>
                  <to>
                    <xdr:col>6</xdr:col>
                    <xdr:colOff>485775</xdr:colOff>
                    <xdr:row>4</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842FCC6B-DE12-4C37-AA44-CA4814655593}">
            <xm:f>Security!$A$1="NO VBA"</xm:f>
            <x14:dxf>
              <font>
                <color theme="0"/>
              </font>
              <border>
                <vertical/>
                <horizontal/>
              </border>
            </x14:dxf>
          </x14:cfRule>
          <xm:sqref>I3:XFD4 A3:F4 A1:XFD2 A5:XFD12 A21:XFD1048576 A20:M20 Y14:XFD20 X13:XFD13 A13:W19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4"/>
    <outlinePr summaryBelow="0" summaryRight="0"/>
  </sheetPr>
  <dimension ref="B2:W10"/>
  <sheetViews>
    <sheetView showGridLines="0" workbookViewId="0">
      <selection activeCell="G3" sqref="G3"/>
    </sheetView>
  </sheetViews>
  <sheetFormatPr defaultRowHeight="18" customHeight="1" x14ac:dyDescent="0.3"/>
  <cols>
    <col min="1" max="1" width="14.75" style="7" customWidth="1"/>
    <col min="2" max="2" width="19.375" style="7" customWidth="1"/>
    <col min="3" max="3" width="16.375" style="7" bestFit="1" customWidth="1"/>
    <col min="4" max="4" width="14.375" style="7" bestFit="1" customWidth="1"/>
    <col min="5" max="5" width="13.375" style="7" customWidth="1"/>
    <col min="6" max="6" width="16.25" style="7" bestFit="1" customWidth="1"/>
    <col min="7" max="7" width="16.5" style="7" bestFit="1" customWidth="1"/>
    <col min="8" max="8" width="6.75" style="7" customWidth="1"/>
    <col min="9" max="9" width="1.625" style="7" customWidth="1"/>
    <col min="10" max="10" width="11.875" style="7" customWidth="1"/>
    <col min="11" max="23" width="9" style="38"/>
    <col min="24" max="16384" width="9" style="7"/>
  </cols>
  <sheetData>
    <row r="2" spans="2:8" ht="18" customHeight="1" x14ac:dyDescent="0.3">
      <c r="F2" s="7" t="s">
        <v>918</v>
      </c>
      <c r="G2" s="423">
        <v>90</v>
      </c>
    </row>
    <row r="3" spans="2:8" ht="18" customHeight="1" x14ac:dyDescent="0.3">
      <c r="F3" s="7" t="s">
        <v>1027</v>
      </c>
      <c r="G3" s="423">
        <v>180</v>
      </c>
    </row>
    <row r="4" spans="2:8" ht="18" customHeight="1" x14ac:dyDescent="0.3">
      <c r="B4" s="7" t="s">
        <v>912</v>
      </c>
      <c r="C4" s="7" t="s">
        <v>913</v>
      </c>
      <c r="D4" s="7" t="s">
        <v>914</v>
      </c>
      <c r="E4" s="7" t="s">
        <v>915</v>
      </c>
      <c r="F4" s="7" t="s">
        <v>916</v>
      </c>
      <c r="G4" s="7" t="s">
        <v>917</v>
      </c>
      <c r="H4" s="7" t="s">
        <v>883</v>
      </c>
    </row>
    <row r="5" spans="2:8" ht="18" customHeight="1" x14ac:dyDescent="0.3">
      <c r="B5" s="7" t="s">
        <v>919</v>
      </c>
      <c r="C5" s="15">
        <v>0</v>
      </c>
      <c r="D5" s="15">
        <v>10000000</v>
      </c>
      <c r="E5" s="45">
        <v>0</v>
      </c>
      <c r="F5" s="18">
        <f>IF(ISBLANK(Table_KHThanThiet_ChinhSach[[#This Row],[Doanh thu tối đa]]),0,(Table_KHThanThiet_ChinhSach[[#This Row],[Doanh thu tối đa]]-Table_KHThanThiet_ChinhSach[[#This Row],[Doanh thu tối thiểu]])*Table_KHThanThiet_ChinhSach[[#This Row],[Tỷ lệ điểm thưởng]])</f>
        <v>0</v>
      </c>
      <c r="G5" s="18" cm="1">
        <f t="array" ref="G5">IFERROR(
SUM(_xlfn._xlws.FILTER(Table_KHThanThiet_ChinhSach[Điểm thưởng tối đa],
(Table_KHThanThiet_ChinhSach[Tỷ lệ điểm thưởng]&lt;Table_KHThanThiet_ChinhSach[[#This Row],[Tỷ lệ điểm thưởng]])
)),0)</f>
        <v>0</v>
      </c>
      <c r="H5" s="212"/>
    </row>
    <row r="6" spans="2:8" ht="18" customHeight="1" x14ac:dyDescent="0.3">
      <c r="B6" s="7" t="s">
        <v>920</v>
      </c>
      <c r="C6" s="15">
        <v>10000000</v>
      </c>
      <c r="D6" s="15">
        <v>20000000</v>
      </c>
      <c r="E6" s="45">
        <v>0.01</v>
      </c>
      <c r="F6" s="18">
        <f>IF(ISBLANK(Table_KHThanThiet_ChinhSach[[#This Row],[Doanh thu tối đa]]),0,(Table_KHThanThiet_ChinhSach[[#This Row],[Doanh thu tối đa]]-Table_KHThanThiet_ChinhSach[[#This Row],[Doanh thu tối thiểu]])*Table_KHThanThiet_ChinhSach[[#This Row],[Tỷ lệ điểm thưởng]])</f>
        <v>100000</v>
      </c>
      <c r="G6" s="18" cm="1">
        <f t="array" ref="G6">IFERROR(
SUM(_xlfn._xlws.FILTER(Table_KHThanThiet_ChinhSach[Điểm thưởng tối đa],
(Table_KHThanThiet_ChinhSach[Tỷ lệ điểm thưởng]&lt;Table_KHThanThiet_ChinhSach[[#This Row],[Tỷ lệ điểm thưởng]])
)),0)</f>
        <v>0</v>
      </c>
      <c r="H6" s="212"/>
    </row>
    <row r="7" spans="2:8" ht="18" customHeight="1" x14ac:dyDescent="0.3">
      <c r="B7" s="7" t="s">
        <v>921</v>
      </c>
      <c r="C7" s="15">
        <v>20000000</v>
      </c>
      <c r="D7" s="15">
        <v>35000000</v>
      </c>
      <c r="E7" s="45">
        <v>0.03</v>
      </c>
      <c r="F7" s="18">
        <f>IF(ISBLANK(Table_KHThanThiet_ChinhSach[[#This Row],[Doanh thu tối đa]]),0,(Table_KHThanThiet_ChinhSach[[#This Row],[Doanh thu tối đa]]-Table_KHThanThiet_ChinhSach[[#This Row],[Doanh thu tối thiểu]])*Table_KHThanThiet_ChinhSach[[#This Row],[Tỷ lệ điểm thưởng]])</f>
        <v>450000</v>
      </c>
      <c r="G7" s="18" cm="1">
        <f t="array" ref="G7">IFERROR(
SUM(_xlfn._xlws.FILTER(Table_KHThanThiet_ChinhSach[Điểm thưởng tối đa],
(Table_KHThanThiet_ChinhSach[Tỷ lệ điểm thưởng]&lt;Table_KHThanThiet_ChinhSach[[#This Row],[Tỷ lệ điểm thưởng]])
)),0)</f>
        <v>100000</v>
      </c>
      <c r="H7" s="212"/>
    </row>
    <row r="8" spans="2:8" ht="18" customHeight="1" x14ac:dyDescent="0.3">
      <c r="B8" s="7" t="s">
        <v>922</v>
      </c>
      <c r="C8" s="15">
        <v>35000000</v>
      </c>
      <c r="D8" s="15">
        <v>60000000</v>
      </c>
      <c r="E8" s="45">
        <v>0.05</v>
      </c>
      <c r="F8" s="18">
        <f>IF(ISBLANK(Table_KHThanThiet_ChinhSach[[#This Row],[Doanh thu tối đa]]),0,(Table_KHThanThiet_ChinhSach[[#This Row],[Doanh thu tối đa]]-Table_KHThanThiet_ChinhSach[[#This Row],[Doanh thu tối thiểu]])*Table_KHThanThiet_ChinhSach[[#This Row],[Tỷ lệ điểm thưởng]])</f>
        <v>1250000</v>
      </c>
      <c r="G8" s="18" cm="1">
        <f t="array" ref="G8">IFERROR(
SUM(_xlfn._xlws.FILTER(Table_KHThanThiet_ChinhSach[Điểm thưởng tối đa],
(Table_KHThanThiet_ChinhSach[Tỷ lệ điểm thưởng]&lt;Table_KHThanThiet_ChinhSach[[#This Row],[Tỷ lệ điểm thưởng]])
)),0)</f>
        <v>550000</v>
      </c>
      <c r="H8" s="212"/>
    </row>
    <row r="9" spans="2:8" ht="18" customHeight="1" x14ac:dyDescent="0.3">
      <c r="B9" s="7" t="s">
        <v>923</v>
      </c>
      <c r="C9" s="15">
        <v>60000000</v>
      </c>
      <c r="D9" s="15">
        <v>100000000</v>
      </c>
      <c r="E9" s="45">
        <v>7.0000000000000007E-2</v>
      </c>
      <c r="F9" s="18">
        <f>IF(ISBLANK(Table_KHThanThiet_ChinhSach[[#This Row],[Doanh thu tối đa]]),0,(Table_KHThanThiet_ChinhSach[[#This Row],[Doanh thu tối đa]]-Table_KHThanThiet_ChinhSach[[#This Row],[Doanh thu tối thiểu]])*Table_KHThanThiet_ChinhSach[[#This Row],[Tỷ lệ điểm thưởng]])</f>
        <v>2800000.0000000005</v>
      </c>
      <c r="G9" s="18" cm="1">
        <f t="array" ref="G9">IFERROR(
SUM(_xlfn._xlws.FILTER(Table_KHThanThiet_ChinhSach[Điểm thưởng tối đa],
(Table_KHThanThiet_ChinhSach[Tỷ lệ điểm thưởng]&lt;Table_KHThanThiet_ChinhSach[[#This Row],[Tỷ lệ điểm thưởng]])
)),0)</f>
        <v>1800000</v>
      </c>
      <c r="H9" s="212"/>
    </row>
    <row r="10" spans="2:8" ht="18" customHeight="1" x14ac:dyDescent="0.3">
      <c r="B10" s="7" t="s">
        <v>924</v>
      </c>
      <c r="C10" s="15">
        <v>100000000</v>
      </c>
      <c r="D10" s="15"/>
      <c r="E10" s="45">
        <v>0.1</v>
      </c>
      <c r="F10" s="18">
        <f>IF(ISBLANK(Table_KHThanThiet_ChinhSach[[#This Row],[Doanh thu tối đa]]),0,(Table_KHThanThiet_ChinhSach[[#This Row],[Doanh thu tối đa]]-Table_KHThanThiet_ChinhSach[[#This Row],[Doanh thu tối thiểu]])*Table_KHThanThiet_ChinhSach[[#This Row],[Tỷ lệ điểm thưởng]])</f>
        <v>0</v>
      </c>
      <c r="G10" s="18" cm="1">
        <f t="array" ref="G10">IFERROR(
SUM(_xlfn._xlws.FILTER(Table_KHThanThiet_ChinhSach[Điểm thưởng tối đa],
(Table_KHThanThiet_ChinhSach[Tỷ lệ điểm thưởng]&lt;Table_KHThanThiet_ChinhSach[[#This Row],[Tỷ lệ điểm thưởng]])
)),0)</f>
        <v>4600000</v>
      </c>
      <c r="H10" s="212"/>
    </row>
  </sheetData>
  <sheetProtection algorithmName="SHA-512" hashValue="M8VTyJqmzfh25rqWc2a0WbmqUMkflNXynkTUL5fVWCVQ9GmooDEpdSh7mSmv4YPzPFcKjvQRtAu8j5Km5ggXWQ==" saltValue="5mtCf7yLHl6B2O1ZxD71Vw==" spinCount="100000" sheet="1" scenarios="1"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AddColumn">
                <anchor moveWithCells="1">
                  <from>
                    <xdr:col>7</xdr:col>
                    <xdr:colOff>171450</xdr:colOff>
                    <xdr:row>1</xdr:row>
                    <xdr:rowOff>76200</xdr:rowOff>
                  </from>
                  <to>
                    <xdr:col>9</xdr:col>
                    <xdr:colOff>47625</xdr:colOff>
                    <xdr:row>2</xdr:row>
                    <xdr:rowOff>104775</xdr:rowOff>
                  </to>
                </anchor>
              </controlPr>
            </control>
          </mc:Choice>
        </mc:AlternateContent>
        <mc:AlternateContent xmlns:mc="http://schemas.openxmlformats.org/markup-compatibility/2006">
          <mc:Choice Requires="x14">
            <control shapeId="104450" r:id="rId4" name="Button 2">
              <controlPr defaultSize="0" print="0" autoFill="0" autoPict="0" macro="[0]!DeleteColumn">
                <anchor moveWithCells="1">
                  <from>
                    <xdr:col>9</xdr:col>
                    <xdr:colOff>66675</xdr:colOff>
                    <xdr:row>1</xdr:row>
                    <xdr:rowOff>76200</xdr:rowOff>
                  </from>
                  <to>
                    <xdr:col>9</xdr:col>
                    <xdr:colOff>609600</xdr:colOff>
                    <xdr:row>2</xdr:row>
                    <xdr:rowOff>104775</xdr:rowOff>
                  </to>
                </anchor>
              </controlPr>
            </control>
          </mc:Choice>
        </mc:AlternateContent>
        <mc:AlternateContent xmlns:mc="http://schemas.openxmlformats.org/markup-compatibility/2006">
          <mc:Choice Requires="x14">
            <control shapeId="104456" r:id="rId5" name="Option Button 8">
              <controlPr defaultSize="0" autoFill="0" autoLine="0" autoPict="0" macro="[0]!DoiDonViHienThi">
                <anchor moveWithCells="1">
                  <from>
                    <xdr:col>2</xdr:col>
                    <xdr:colOff>438150</xdr:colOff>
                    <xdr:row>0</xdr:row>
                    <xdr:rowOff>95250</xdr:rowOff>
                  </from>
                  <to>
                    <xdr:col>2</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2</xdr:col>
                    <xdr:colOff>904875</xdr:colOff>
                    <xdr:row>0</xdr:row>
                    <xdr:rowOff>95250</xdr:rowOff>
                  </from>
                  <to>
                    <xdr:col>3</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3</xdr:col>
                    <xdr:colOff>123825</xdr:colOff>
                    <xdr:row>0</xdr:row>
                    <xdr:rowOff>95250</xdr:rowOff>
                  </from>
                  <to>
                    <xdr:col>3</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3</xdr:col>
                    <xdr:colOff>600075</xdr:colOff>
                    <xdr:row>0</xdr:row>
                    <xdr:rowOff>95250</xdr:rowOff>
                  </from>
                  <to>
                    <xdr:col>3</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2</xdr:col>
                    <xdr:colOff>323850</xdr:colOff>
                    <xdr:row>0</xdr:row>
                    <xdr:rowOff>47625</xdr:rowOff>
                  </from>
                  <to>
                    <xdr:col>3</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1</xdr:col>
                    <xdr:colOff>95250</xdr:colOff>
                    <xdr:row>0</xdr:row>
                    <xdr:rowOff>47625</xdr:rowOff>
                  </from>
                  <to>
                    <xdr:col>2</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1</xdr:col>
                    <xdr:colOff>180975</xdr:colOff>
                    <xdr:row>0</xdr:row>
                    <xdr:rowOff>142875</xdr:rowOff>
                  </from>
                  <to>
                    <xdr:col>1</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1</xdr:col>
                    <xdr:colOff>695325</xdr:colOff>
                    <xdr:row>0</xdr:row>
                    <xdr:rowOff>142875</xdr:rowOff>
                  </from>
                  <to>
                    <xdr:col>1</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1</xdr:col>
                    <xdr:colOff>1209675</xdr:colOff>
                    <xdr:row>0</xdr:row>
                    <xdr:rowOff>142875</xdr:rowOff>
                  </from>
                  <to>
                    <xdr:col>2</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4</xdr:col>
                    <xdr:colOff>28575</xdr:colOff>
                    <xdr:row>0</xdr:row>
                    <xdr:rowOff>114300</xdr:rowOff>
                  </from>
                  <to>
                    <xdr:col>4</xdr:col>
                    <xdr:colOff>504825</xdr:colOff>
                    <xdr:row>1</xdr:row>
                    <xdr:rowOff>142875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4</xdr:col>
                    <xdr:colOff>523875</xdr:colOff>
                    <xdr:row>0</xdr:row>
                    <xdr:rowOff>114300</xdr:rowOff>
                  </from>
                  <to>
                    <xdr:col>4</xdr:col>
                    <xdr:colOff>1000125</xdr:colOff>
                    <xdr:row>1</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C6938F30-5C6F-4E18-9742-3DAB345EA6DA}">
            <xm:f>Security!$A$1="NO VBA"</xm:f>
            <x14:dxf>
              <font>
                <color theme="0"/>
              </font>
              <border>
                <vertical/>
                <horizontal/>
              </border>
            </x14:dxf>
          </x14:cfRule>
          <xm:sqref>B21:C21 E21:H21 B22:H1048576 A6:A1048576 B6:H20 A3:E3 I6:XFD1048576 A4:XFD5 A1:XFD2 G3:XFD3</xm:sqref>
        </x14:conditionalFormatting>
      </x14:conditionalFormatting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06E4-A788-453C-A67F-A17FA50916ED}">
  <sheetPr codeName="Sheet40">
    <tabColor theme="4"/>
  </sheetPr>
  <dimension ref="A1:L8"/>
  <sheetViews>
    <sheetView showGridLines="0" workbookViewId="0">
      <selection activeCell="K6" sqref="K6"/>
    </sheetView>
  </sheetViews>
  <sheetFormatPr defaultRowHeight="18" customHeight="1" outlineLevelRow="1" x14ac:dyDescent="0.3"/>
  <cols>
    <col min="1" max="1" width="9.625" style="7" customWidth="1"/>
    <col min="2" max="2" width="7.25" style="7" bestFit="1" customWidth="1"/>
    <col min="3" max="3" width="8.75" style="7" bestFit="1" customWidth="1"/>
    <col min="4" max="4" width="10" style="7" bestFit="1" customWidth="1"/>
    <col min="5" max="5" width="10.5" style="7" bestFit="1" customWidth="1"/>
    <col min="6" max="6" width="5.5" style="7" bestFit="1" customWidth="1"/>
    <col min="7" max="7" width="9.75" style="7" bestFit="1" customWidth="1"/>
    <col min="8" max="10" width="9.75" style="7" customWidth="1"/>
    <col min="11" max="11" width="7" style="7" bestFit="1" customWidth="1"/>
    <col min="12" max="12" width="6.75" style="7" bestFit="1" customWidth="1"/>
    <col min="13" max="16384" width="9" style="7"/>
  </cols>
  <sheetData>
    <row r="1" spans="1:12"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c r="K1" s="309">
        <f>+I1+1</f>
        <v>9</v>
      </c>
      <c r="L1" s="309"/>
    </row>
    <row r="2" spans="1:12" s="95" customFormat="1" ht="18" customHeight="1" x14ac:dyDescent="0.3">
      <c r="A2" s="271"/>
      <c r="B2" s="271"/>
      <c r="C2" s="271"/>
      <c r="D2" s="271"/>
      <c r="E2" s="271"/>
      <c r="F2" s="271"/>
      <c r="G2" s="271"/>
      <c r="H2" s="271"/>
      <c r="I2" s="271"/>
      <c r="J2" s="271"/>
      <c r="K2" s="271"/>
      <c r="L2" s="271"/>
    </row>
    <row r="3" spans="1:12" s="95" customFormat="1" ht="18" customHeight="1" outlineLevel="1" x14ac:dyDescent="0.3">
      <c r="A3" s="271"/>
      <c r="B3" s="271"/>
      <c r="C3" s="271"/>
      <c r="D3" s="95" t="s">
        <v>856</v>
      </c>
      <c r="E3" s="95" t="str" cm="1">
        <f t="array" ref="E3">TRANSPOSE(_xlfn._xlws.SORT(_xlfn._xlws.FILTER(Table_KhachHang[Mã KH],Table_KhachHang[Phân khúc]=D3,"")))</f>
        <v/>
      </c>
      <c r="F3" s="271"/>
      <c r="G3" s="271"/>
      <c r="H3" s="271"/>
      <c r="I3" s="271"/>
      <c r="J3" s="271"/>
      <c r="K3" s="271"/>
      <c r="L3" s="271"/>
    </row>
    <row r="4" spans="1:12" s="95" customFormat="1" ht="18" customHeight="1" outlineLevel="1" x14ac:dyDescent="0.3">
      <c r="A4" s="271"/>
      <c r="B4" s="271"/>
      <c r="C4" s="271"/>
      <c r="D4" s="95" t="s">
        <v>806</v>
      </c>
      <c r="E4" s="271" t="str" cm="1">
        <f t="array" ref="E4:G4">TRANSPOSE(_xlfn._xlws.SORT(Table_KhachHang[Mã KH]))</f>
        <v>KH1</v>
      </c>
      <c r="F4" s="271" t="str">
        <v>KH2</v>
      </c>
      <c r="G4" s="271" t="str">
        <v>KH3</v>
      </c>
      <c r="H4" s="271"/>
      <c r="I4" s="271"/>
      <c r="J4" s="271"/>
      <c r="K4" s="271"/>
      <c r="L4" s="271"/>
    </row>
    <row r="5" spans="1:12" s="112" customFormat="1" ht="18" customHeight="1" x14ac:dyDescent="0.3">
      <c r="A5" s="272"/>
      <c r="B5" s="112" t="s">
        <v>24</v>
      </c>
      <c r="C5" s="112" t="s">
        <v>857</v>
      </c>
      <c r="D5" s="112" t="s">
        <v>25</v>
      </c>
      <c r="E5" s="112" t="s">
        <v>541</v>
      </c>
      <c r="F5" s="112" t="s">
        <v>793</v>
      </c>
      <c r="G5" s="112" t="s">
        <v>792</v>
      </c>
      <c r="H5" s="112" t="s">
        <v>882</v>
      </c>
      <c r="I5" s="112" t="s">
        <v>26</v>
      </c>
      <c r="J5" s="112" t="s">
        <v>928</v>
      </c>
      <c r="K5" s="112" t="s">
        <v>169</v>
      </c>
      <c r="L5" s="112" t="s">
        <v>883</v>
      </c>
    </row>
    <row r="6" spans="1:12" ht="18" customHeight="1" x14ac:dyDescent="0.3">
      <c r="A6" s="242"/>
      <c r="B6" s="242" t="s">
        <v>1207</v>
      </c>
      <c r="C6" s="242"/>
      <c r="D6" s="242"/>
      <c r="E6" s="242"/>
      <c r="F6" s="242"/>
      <c r="G6" s="242"/>
      <c r="H6" s="242"/>
      <c r="I6" s="242"/>
      <c r="J6" s="340"/>
      <c r="K6" s="18">
        <f>IFERROR(VLOOKUP(Table_KhachHang[[#This Row],[Mã KH]],Table_PhaiThu[#All],COUNTA(Table_PhaiThu[#Headers])-1,0),0)</f>
        <v>-800000</v>
      </c>
      <c r="L6" s="242"/>
    </row>
    <row r="7" spans="1:12" ht="18" customHeight="1" x14ac:dyDescent="0.3">
      <c r="B7" s="242" t="s">
        <v>1206</v>
      </c>
      <c r="C7" s="242"/>
      <c r="D7" s="242"/>
      <c r="E7" s="242"/>
      <c r="F7" s="242"/>
      <c r="G7" s="242"/>
      <c r="H7" s="242"/>
      <c r="I7" s="242"/>
      <c r="J7" s="340"/>
      <c r="K7" s="18">
        <f>IFERROR(VLOOKUP(Table_KhachHang[[#This Row],[Mã KH]],Table_PhaiThu[#All],COUNTA(Table_PhaiThu[#Headers])-1,0),0)</f>
        <v>300000</v>
      </c>
      <c r="L7" s="242"/>
    </row>
    <row r="8" spans="1:12" ht="18" customHeight="1" x14ac:dyDescent="0.3">
      <c r="B8" s="242" t="s">
        <v>1205</v>
      </c>
      <c r="C8" s="242"/>
      <c r="D8" s="242"/>
      <c r="E8" s="242"/>
      <c r="F8" s="242"/>
      <c r="G8" s="242"/>
      <c r="H8" s="242"/>
      <c r="I8" s="242"/>
      <c r="J8" s="340"/>
      <c r="K8" s="18">
        <f>IFERROR(VLOOKUP(Table_KhachHang[[#This Row],[Mã KH]],Table_PhaiThu[#All],COUNTA(Table_PhaiThu[#Headers])-1,0),0)</f>
        <v>400000</v>
      </c>
      <c r="L8" s="242"/>
    </row>
  </sheetData>
  <sheetProtection algorithmName="SHA-512" hashValue="QE4k2tU9Otyze+uL5NSQjgLuDiDe6FWFABLxxMcOIk8OBWft51W4KDMQ1VWcTsOa1TTBhyeqPCJiCmhZEd3rBA==" saltValue="3xaviSuegJwEmkG20c3org==" spinCount="100000" sheet="1" scenarios="1" formatCells="0" formatColumns="0" formatRows="0" insertColumns="0" insertRows="0" deleteColumns="0" deleteRows="0" sort="0" autoFilter="0" pivotTables="0"/>
  <protectedRanges>
    <protectedRange sqref="P1:XFD4 L1:O2 L8:L1048576 L3:M4 M5:XFD1048576 A1:K1048576" name="Range1"/>
    <protectedRange sqref="L5 L7 L6" name="Range1_1"/>
  </protectedRanges>
  <phoneticPr fontId="14" type="noConversion"/>
  <conditionalFormatting sqref="B6:B8">
    <cfRule type="duplicateValues" dxfId="47" priority="269"/>
  </conditionalFormatting>
  <dataValidations count="1">
    <dataValidation type="list" allowBlank="1" showInputMessage="1" sqref="D6:D8" xr:uid="{A1C18DDD-F933-4BFB-8AD3-FCB2AFB7FE05}">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8" r:id="rId3" name="Option Button 6">
              <controlPr defaultSize="0" autoFill="0" autoLine="0" autoPict="0" macro="[0]!DoiDonViHienThi">
                <anchor moveWithCells="1">
                  <from>
                    <xdr:col>3</xdr:col>
                    <xdr:colOff>657225</xdr:colOff>
                    <xdr:row>0</xdr:row>
                    <xdr:rowOff>152400</xdr:rowOff>
                  </from>
                  <to>
                    <xdr:col>4</xdr:col>
                    <xdr:colOff>485775</xdr:colOff>
                    <xdr:row>1</xdr:row>
                    <xdr:rowOff>142875</xdr:rowOff>
                  </to>
                </anchor>
              </controlPr>
            </control>
          </mc:Choice>
        </mc:AlternateContent>
        <mc:AlternateContent xmlns:mc="http://schemas.openxmlformats.org/markup-compatibility/2006">
          <mc:Choice Requires="x14">
            <control shapeId="84999" r:id="rId4" name="Option Button 7">
              <controlPr defaultSize="0" autoFill="0" autoLine="0" autoPict="0" macro="[0]!DoiDonViHienThi">
                <anchor moveWithCells="1">
                  <from>
                    <xdr:col>4</xdr:col>
                    <xdr:colOff>361950</xdr:colOff>
                    <xdr:row>0</xdr:row>
                    <xdr:rowOff>152400</xdr:rowOff>
                  </from>
                  <to>
                    <xdr:col>5</xdr:col>
                    <xdr:colOff>152400</xdr:colOff>
                    <xdr:row>1</xdr:row>
                    <xdr:rowOff>142875</xdr:rowOff>
                  </to>
                </anchor>
              </controlPr>
            </control>
          </mc:Choice>
        </mc:AlternateContent>
        <mc:AlternateContent xmlns:mc="http://schemas.openxmlformats.org/markup-compatibility/2006">
          <mc:Choice Requires="x14">
            <control shapeId="85000" r:id="rId5" name="Option Button 8">
              <controlPr defaultSize="0" autoFill="0" autoLine="0" autoPict="0" macro="[0]!DoiDonViHienThi">
                <anchor moveWithCells="1">
                  <from>
                    <xdr:col>5</xdr:col>
                    <xdr:colOff>28575</xdr:colOff>
                    <xdr:row>0</xdr:row>
                    <xdr:rowOff>152400</xdr:rowOff>
                  </from>
                  <to>
                    <xdr:col>6</xdr:col>
                    <xdr:colOff>200025</xdr:colOff>
                    <xdr:row>1</xdr:row>
                    <xdr:rowOff>142875</xdr:rowOff>
                  </to>
                </anchor>
              </controlPr>
            </control>
          </mc:Choice>
        </mc:AlternateContent>
        <mc:AlternateContent xmlns:mc="http://schemas.openxmlformats.org/markup-compatibility/2006">
          <mc:Choice Requires="x14">
            <control shapeId="85001" r:id="rId6" name="Option Button 9">
              <controlPr defaultSize="0" autoFill="0" autoLine="0" autoPict="0" macro="[0]!DoiDonViHienThi">
                <anchor moveWithCells="1">
                  <from>
                    <xdr:col>6</xdr:col>
                    <xdr:colOff>85725</xdr:colOff>
                    <xdr:row>0</xdr:row>
                    <xdr:rowOff>152400</xdr:rowOff>
                  </from>
                  <to>
                    <xdr:col>6</xdr:col>
                    <xdr:colOff>438150</xdr:colOff>
                    <xdr:row>1</xdr:row>
                    <xdr:rowOff>142875</xdr:rowOff>
                  </to>
                </anchor>
              </controlPr>
            </control>
          </mc:Choice>
        </mc:AlternateContent>
        <mc:AlternateContent xmlns:mc="http://schemas.openxmlformats.org/markup-compatibility/2006">
          <mc:Choice Requires="x14">
            <control shapeId="85002" r:id="rId7" name="Group Box 10">
              <controlPr defaultSize="0" autoFill="0" autoPict="0">
                <anchor moveWithCells="1">
                  <from>
                    <xdr:col>3</xdr:col>
                    <xdr:colOff>542925</xdr:colOff>
                    <xdr:row>0</xdr:row>
                    <xdr:rowOff>104775</xdr:rowOff>
                  </from>
                  <to>
                    <xdr:col>6</xdr:col>
                    <xdr:colOff>552450</xdr:colOff>
                    <xdr:row>1</xdr:row>
                    <xdr:rowOff>180975</xdr:rowOff>
                  </to>
                </anchor>
              </controlPr>
            </control>
          </mc:Choice>
        </mc:AlternateContent>
        <mc:AlternateContent xmlns:mc="http://schemas.openxmlformats.org/markup-compatibility/2006">
          <mc:Choice Requires="x14">
            <control shapeId="85003" r:id="rId8" name="Group Box 11">
              <controlPr defaultSize="0" autoFill="0" autoPict="0">
                <anchor moveWithCells="1">
                  <from>
                    <xdr:col>1</xdr:col>
                    <xdr:colOff>57150</xdr:colOff>
                    <xdr:row>0</xdr:row>
                    <xdr:rowOff>104775</xdr:rowOff>
                  </from>
                  <to>
                    <xdr:col>3</xdr:col>
                    <xdr:colOff>495300</xdr:colOff>
                    <xdr:row>1</xdr:row>
                    <xdr:rowOff>180975</xdr:rowOff>
                  </to>
                </anchor>
              </controlPr>
            </control>
          </mc:Choice>
        </mc:AlternateContent>
        <mc:AlternateContent xmlns:mc="http://schemas.openxmlformats.org/markup-compatibility/2006">
          <mc:Choice Requires="x14">
            <control shapeId="85004" r:id="rId9" name="Button 12">
              <controlPr defaultSize="0" autoFill="0" autoPict="0" macro="[0]!NhanNghin">
                <anchor moveWithCells="1">
                  <from>
                    <xdr:col>1</xdr:col>
                    <xdr:colOff>142875</xdr:colOff>
                    <xdr:row>0</xdr:row>
                    <xdr:rowOff>200025</xdr:rowOff>
                  </from>
                  <to>
                    <xdr:col>2</xdr:col>
                    <xdr:colOff>57150</xdr:colOff>
                    <xdr:row>1</xdr:row>
                    <xdr:rowOff>85725</xdr:rowOff>
                  </to>
                </anchor>
              </controlPr>
            </control>
          </mc:Choice>
        </mc:AlternateContent>
        <mc:AlternateContent xmlns:mc="http://schemas.openxmlformats.org/markup-compatibility/2006">
          <mc:Choice Requires="x14">
            <control shapeId="85005" r:id="rId10" name="Button 13">
              <controlPr defaultSize="0" autoFill="0" autoPict="0" macro="[0]!NhanTrieu">
                <anchor moveWithCells="1">
                  <from>
                    <xdr:col>2</xdr:col>
                    <xdr:colOff>104775</xdr:colOff>
                    <xdr:row>0</xdr:row>
                    <xdr:rowOff>200025</xdr:rowOff>
                  </from>
                  <to>
                    <xdr:col>2</xdr:col>
                    <xdr:colOff>571500</xdr:colOff>
                    <xdr:row>1</xdr:row>
                    <xdr:rowOff>85725</xdr:rowOff>
                  </to>
                </anchor>
              </controlPr>
            </control>
          </mc:Choice>
        </mc:AlternateContent>
        <mc:AlternateContent xmlns:mc="http://schemas.openxmlformats.org/markup-compatibility/2006">
          <mc:Choice Requires="x14">
            <control shapeId="85006" r:id="rId11" name="Button 14">
              <controlPr defaultSize="0" autoFill="0" autoPict="0" macro="[0]!NhanTy">
                <anchor moveWithCells="1">
                  <from>
                    <xdr:col>2</xdr:col>
                    <xdr:colOff>619125</xdr:colOff>
                    <xdr:row>0</xdr:row>
                    <xdr:rowOff>200025</xdr:rowOff>
                  </from>
                  <to>
                    <xdr:col>3</xdr:col>
                    <xdr:colOff>419100</xdr:colOff>
                    <xdr:row>1</xdr:row>
                    <xdr:rowOff>85725</xdr:rowOff>
                  </to>
                </anchor>
              </controlPr>
            </control>
          </mc:Choice>
        </mc:AlternateContent>
        <mc:AlternateContent xmlns:mc="http://schemas.openxmlformats.org/markup-compatibility/2006">
          <mc:Choice Requires="x14">
            <control shapeId="85007" r:id="rId12" name="Button 15">
              <controlPr defaultSize="0" print="0" autoFill="0" autoPict="0" macro="[0]!AddRow">
                <anchor moveWithCells="1">
                  <from>
                    <xdr:col>7</xdr:col>
                    <xdr:colOff>9525</xdr:colOff>
                    <xdr:row>0</xdr:row>
                    <xdr:rowOff>114300</xdr:rowOff>
                  </from>
                  <to>
                    <xdr:col>7</xdr:col>
                    <xdr:colOff>485775</xdr:colOff>
                    <xdr:row>1</xdr:row>
                    <xdr:rowOff>85725</xdr:rowOff>
                  </to>
                </anchor>
              </controlPr>
            </control>
          </mc:Choice>
        </mc:AlternateContent>
        <mc:AlternateContent xmlns:mc="http://schemas.openxmlformats.org/markup-compatibility/2006">
          <mc:Choice Requires="x14">
            <control shapeId="85008" r:id="rId13" name="Button 16">
              <controlPr defaultSize="0" print="0" autoFill="0" autoPict="0" macro="[0]!DeleteRow">
                <anchor moveWithCells="1">
                  <from>
                    <xdr:col>7</xdr:col>
                    <xdr:colOff>523875</xdr:colOff>
                    <xdr:row>0</xdr:row>
                    <xdr:rowOff>114300</xdr:rowOff>
                  </from>
                  <to>
                    <xdr:col>8</xdr:col>
                    <xdr:colOff>257175</xdr:colOff>
                    <xdr:row>1</xdr:row>
                    <xdr:rowOff>85725</xdr:rowOff>
                  </to>
                </anchor>
              </controlPr>
            </control>
          </mc:Choice>
        </mc:AlternateContent>
        <mc:AlternateContent xmlns:mc="http://schemas.openxmlformats.org/markup-compatibility/2006">
          <mc:Choice Requires="x14">
            <control shapeId="85009" r:id="rId14" name="Button 17">
              <controlPr defaultSize="0" print="0" autoFill="0" autoPict="0" macro="[0]!AddColumn">
                <anchor moveWithCells="1">
                  <from>
                    <xdr:col>12</xdr:col>
                    <xdr:colOff>66675</xdr:colOff>
                    <xdr:row>3</xdr:row>
                    <xdr:rowOff>114300</xdr:rowOff>
                  </from>
                  <to>
                    <xdr:col>12</xdr:col>
                    <xdr:colOff>581025</xdr:colOff>
                    <xdr:row>4</xdr:row>
                    <xdr:rowOff>142875</xdr:rowOff>
                  </to>
                </anchor>
              </controlPr>
            </control>
          </mc:Choice>
        </mc:AlternateContent>
        <mc:AlternateContent xmlns:mc="http://schemas.openxmlformats.org/markup-compatibility/2006">
          <mc:Choice Requires="x14">
            <control shapeId="85010" r:id="rId15" name="Button 18">
              <controlPr defaultSize="0" print="0" autoFill="0" autoPict="0" macro="[0]!DeleteColumn">
                <anchor moveWithCells="1">
                  <from>
                    <xdr:col>12</xdr:col>
                    <xdr:colOff>619125</xdr:colOff>
                    <xdr:row>3</xdr:row>
                    <xdr:rowOff>114300</xdr:rowOff>
                  </from>
                  <to>
                    <xdr:col>13</xdr:col>
                    <xdr:colOff>476250</xdr:colOff>
                    <xdr:row>4</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03B1FE4E-ADE7-4A35-A699-A81369AE0623}">
            <xm:f>Security!$A$1="NO VBA"</xm:f>
            <x14:dxf>
              <font>
                <color theme="0"/>
              </font>
              <border>
                <vertical/>
                <horizontal/>
              </border>
            </x14:dxf>
          </x14:cfRule>
          <xm:sqref>P3:XFD4 L3:M4 L1:XFD2 A1:K4 A5:XFD1048576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4"/>
    <outlinePr summaryBelow="0" summaryRight="0"/>
  </sheetPr>
  <dimension ref="A1:P25"/>
  <sheetViews>
    <sheetView showGridLines="0" workbookViewId="0">
      <selection activeCell="M10" sqref="M10"/>
    </sheetView>
  </sheetViews>
  <sheetFormatPr defaultRowHeight="18" customHeight="1" outlineLevelRow="1" outlineLevelCol="1" x14ac:dyDescent="0.3"/>
  <cols>
    <col min="1" max="1" width="9.625" style="7" customWidth="1"/>
    <col min="2" max="2" width="12.625" style="7" customWidth="1"/>
    <col min="3" max="3" width="10.625" style="7" customWidth="1" outlineLevel="1"/>
    <col min="4" max="5" width="9.125" style="7" customWidth="1" outlineLevel="1"/>
    <col min="6" max="6" width="9.125" style="7" customWidth="1"/>
    <col min="7" max="7" width="16.5" style="7" customWidth="1"/>
    <col min="8" max="8" width="15.5" style="7" customWidth="1"/>
    <col min="9" max="9" width="7.25" style="7" bestFit="1" customWidth="1"/>
    <col min="10" max="10" width="14" style="7" customWidth="1"/>
    <col min="11" max="11" width="11.125" style="7" bestFit="1" customWidth="1"/>
    <col min="12" max="12" width="11.125" style="7" customWidth="1"/>
    <col min="13" max="13" width="17.375" style="7" customWidth="1" outlineLevel="1"/>
    <col min="14" max="14" width="6.75" style="7" bestFit="1" customWidth="1"/>
    <col min="15" max="15" width="9.125" style="7" bestFit="1" customWidth="1"/>
    <col min="16" max="16" width="8" style="7" bestFit="1" customWidth="1"/>
    <col min="17" max="17" width="14.25" style="7" bestFit="1" customWidth="1"/>
    <col min="18" max="18" width="7.25" style="7" bestFit="1" customWidth="1"/>
    <col min="19" max="19" width="8" style="7" bestFit="1" customWidth="1"/>
    <col min="20" max="20" width="11.125" style="7" bestFit="1" customWidth="1"/>
    <col min="21" max="21" width="13.25" style="7" bestFit="1" customWidth="1"/>
    <col min="22" max="22" width="6.75" style="7" bestFit="1" customWidth="1"/>
    <col min="23" max="23" width="11.5" style="7" bestFit="1" customWidth="1"/>
    <col min="24" max="16384" width="9" style="7"/>
  </cols>
  <sheetData>
    <row r="1" spans="1:16" s="310" customFormat="1" ht="22.5" customHeight="1" x14ac:dyDescent="0.3">
      <c r="A1" s="309">
        <v>0</v>
      </c>
      <c r="B1" s="309"/>
      <c r="C1" s="309"/>
      <c r="D1" s="309"/>
      <c r="E1" s="309"/>
      <c r="F1" s="309"/>
      <c r="G1" s="309">
        <f>+A5+1</f>
        <v>1</v>
      </c>
      <c r="H1" s="309">
        <f>+G1+1</f>
        <v>2</v>
      </c>
      <c r="I1" s="309">
        <f>+H1+1</f>
        <v>3</v>
      </c>
      <c r="J1" s="309">
        <f>+I1+1</f>
        <v>4</v>
      </c>
      <c r="K1" s="309">
        <f>+J1+1</f>
        <v>5</v>
      </c>
      <c r="L1" s="309"/>
      <c r="M1" s="309">
        <f>+K1+1</f>
        <v>6</v>
      </c>
      <c r="N1" s="309"/>
      <c r="O1" s="309"/>
      <c r="P1" s="309"/>
    </row>
    <row r="2" spans="1:16" s="112" customFormat="1" ht="18" customHeight="1" x14ac:dyDescent="0.3">
      <c r="A2" s="272"/>
      <c r="B2" s="272"/>
      <c r="C2" s="272"/>
      <c r="D2" s="272"/>
      <c r="E2" s="272"/>
      <c r="F2" s="272"/>
      <c r="G2" s="272"/>
      <c r="H2" s="272"/>
      <c r="I2" s="272"/>
      <c r="J2" s="272"/>
      <c r="K2" s="272"/>
      <c r="L2" s="272"/>
      <c r="M2" s="272"/>
      <c r="N2" s="272"/>
      <c r="O2" s="272"/>
      <c r="P2" s="272"/>
    </row>
    <row r="3" spans="1:16" s="112" customFormat="1" ht="18" customHeight="1" outlineLevel="1" x14ac:dyDescent="0.3">
      <c r="A3" s="272"/>
      <c r="B3" s="173" t="s">
        <v>29</v>
      </c>
      <c r="C3" s="173" t="s">
        <v>58</v>
      </c>
      <c r="D3" s="173" t="s">
        <v>62</v>
      </c>
      <c r="E3" s="173" t="s">
        <v>281</v>
      </c>
      <c r="F3" s="272"/>
      <c r="G3" s="272"/>
      <c r="H3" s="272"/>
      <c r="I3" s="272"/>
      <c r="J3" s="272"/>
      <c r="K3" s="272"/>
      <c r="L3" s="272"/>
      <c r="M3" s="272"/>
      <c r="N3" s="272"/>
      <c r="O3" s="272"/>
      <c r="P3" s="272"/>
    </row>
    <row r="4" spans="1:16" s="112" customFormat="1" ht="18" customHeight="1" outlineLevel="1" x14ac:dyDescent="0.3">
      <c r="A4" s="272"/>
      <c r="B4" s="272"/>
      <c r="C4" s="274"/>
      <c r="D4" s="274"/>
      <c r="E4" s="272"/>
      <c r="F4" s="272"/>
      <c r="G4" s="272"/>
      <c r="H4" s="272"/>
      <c r="I4" s="272"/>
      <c r="J4" s="272"/>
      <c r="K4" s="272"/>
      <c r="L4" s="272"/>
      <c r="M4" s="272"/>
      <c r="N4" s="272"/>
      <c r="O4" s="272"/>
      <c r="P4" s="272"/>
    </row>
    <row r="5" spans="1:16" s="112" customFormat="1" ht="18" customHeight="1" outlineLevel="1" x14ac:dyDescent="0.3">
      <c r="A5" s="272"/>
      <c r="B5" s="274"/>
      <c r="C5" s="272"/>
      <c r="D5" s="272"/>
      <c r="E5" s="112" t="s">
        <v>281</v>
      </c>
      <c r="F5" s="272"/>
      <c r="G5" s="272"/>
      <c r="H5" s="272"/>
      <c r="I5" s="272"/>
      <c r="J5" s="272"/>
      <c r="K5" s="272"/>
      <c r="L5" s="272"/>
      <c r="M5" s="272"/>
      <c r="N5" s="272"/>
      <c r="O5" s="272"/>
      <c r="P5" s="272"/>
    </row>
    <row r="6" spans="1:16" s="112" customFormat="1" ht="18" customHeight="1" outlineLevel="1" x14ac:dyDescent="0.3">
      <c r="A6" s="272"/>
      <c r="B6" s="272"/>
      <c r="C6" s="272"/>
      <c r="D6" s="272"/>
      <c r="E6" s="272"/>
      <c r="F6" s="112" t="s">
        <v>843</v>
      </c>
      <c r="G6" s="112" t="str" cm="1">
        <f t="array" ref="G6">TRANSPOSE(_xlfn._xlws.SORT(_xlfn._xlws.FILTER(Table_SKU[Mã SKU],Table_SKU[Loại hình]=F6,"")))</f>
        <v>HH1</v>
      </c>
      <c r="H6" s="272"/>
      <c r="I6" s="272"/>
      <c r="J6" s="272"/>
      <c r="K6" s="272"/>
      <c r="L6" s="272"/>
      <c r="M6" s="272"/>
      <c r="N6" s="272"/>
      <c r="O6" s="272"/>
      <c r="P6" s="272"/>
    </row>
    <row r="7" spans="1:16" s="112" customFormat="1" ht="18" customHeight="1" outlineLevel="1" x14ac:dyDescent="0.3">
      <c r="A7" s="272"/>
      <c r="B7" s="272"/>
      <c r="C7" s="272"/>
      <c r="D7" s="272"/>
      <c r="E7" s="272"/>
      <c r="F7" s="112" t="s">
        <v>844</v>
      </c>
      <c r="G7" s="112" t="str" cm="1">
        <f t="array" ref="G7:H7">TRANSPOSE(_xlfn._xlws.SORT(_xlfn._xlws.FILTER(Table_SKU[Mã SKU],Table_SKU[Loại hình]=F7,"")))</f>
        <v>TP1</v>
      </c>
      <c r="H7" s="272" t="str">
        <v>TP2</v>
      </c>
      <c r="I7" s="272"/>
      <c r="J7" s="272"/>
      <c r="K7" s="272"/>
      <c r="L7" s="272"/>
      <c r="M7" s="272"/>
      <c r="N7" s="272"/>
      <c r="O7" s="272"/>
      <c r="P7" s="272"/>
    </row>
    <row r="8" spans="1:16" s="112" customFormat="1" ht="18" customHeight="1" outlineLevel="1" x14ac:dyDescent="0.3">
      <c r="A8" s="272"/>
      <c r="B8" s="272"/>
      <c r="C8" s="272"/>
      <c r="D8" s="272"/>
      <c r="E8" s="272"/>
      <c r="F8" s="112" t="s">
        <v>150</v>
      </c>
      <c r="G8" s="112" t="str" cm="1">
        <f t="array" ref="G8">TRANSPOSE(_xlfn._xlws.SORT(_xlfn._xlws.FILTER(Table_SKU[Mã SKU],Table_SKU[Loại hình]=F8,"")))</f>
        <v/>
      </c>
      <c r="H8" s="272"/>
      <c r="I8" s="272"/>
      <c r="J8" s="272"/>
      <c r="K8" s="272"/>
      <c r="L8" s="272"/>
      <c r="M8" s="272"/>
      <c r="N8" s="272"/>
      <c r="O8" s="272"/>
      <c r="P8" s="272"/>
    </row>
    <row r="9" spans="1:16" s="112" customFormat="1" ht="18" customHeight="1" outlineLevel="1" x14ac:dyDescent="0.3">
      <c r="A9" s="272"/>
      <c r="B9" s="272"/>
      <c r="C9" s="272"/>
      <c r="D9" s="272"/>
      <c r="E9" s="272"/>
      <c r="F9" s="112" t="s">
        <v>806</v>
      </c>
      <c r="G9" s="272" t="str" cm="1">
        <f t="array" ref="G9:I9">TRANSPOSE(_xlfn._xlws.SORT(Table_SKU[Mã SKU]))</f>
        <v>HH1</v>
      </c>
      <c r="H9" s="272" t="str">
        <v>TP1</v>
      </c>
      <c r="I9" s="272" t="str">
        <v>TP2</v>
      </c>
      <c r="J9" s="272"/>
      <c r="K9" s="272"/>
      <c r="L9" s="272"/>
      <c r="M9" s="272"/>
      <c r="N9" s="272"/>
      <c r="O9" s="272"/>
      <c r="P9" s="272"/>
    </row>
    <row r="10" spans="1:16" ht="18" customHeight="1" x14ac:dyDescent="0.3">
      <c r="A10" s="242"/>
      <c r="B10" s="437" t="s">
        <v>29</v>
      </c>
      <c r="C10" s="438" t="s">
        <v>58</v>
      </c>
      <c r="D10" s="438" t="s">
        <v>62</v>
      </c>
      <c r="E10" s="437" t="s">
        <v>845</v>
      </c>
      <c r="F10" s="437" t="s">
        <v>846</v>
      </c>
      <c r="G10" s="437" t="s">
        <v>31</v>
      </c>
      <c r="H10" s="437" t="s">
        <v>707</v>
      </c>
      <c r="I10" s="437" t="s">
        <v>322</v>
      </c>
      <c r="J10" s="437" t="s">
        <v>847</v>
      </c>
      <c r="K10" s="437" t="s">
        <v>710</v>
      </c>
      <c r="L10" s="548" t="s">
        <v>1243</v>
      </c>
      <c r="M10" s="172" t="s">
        <v>17</v>
      </c>
      <c r="N10" s="7" t="s">
        <v>883</v>
      </c>
      <c r="O10" s="242"/>
      <c r="P10" s="248"/>
    </row>
    <row r="11" spans="1:16" ht="18" customHeight="1" x14ac:dyDescent="0.3">
      <c r="A11" s="242"/>
      <c r="B11" s="242"/>
      <c r="C11" s="242"/>
      <c r="D11" s="242"/>
      <c r="E11" s="242"/>
      <c r="F11" s="242" t="s">
        <v>844</v>
      </c>
      <c r="G11" s="249" t="s">
        <v>1161</v>
      </c>
      <c r="H11" s="242"/>
      <c r="I11" s="242"/>
      <c r="J11" s="15">
        <v>500000</v>
      </c>
      <c r="L11" s="446"/>
      <c r="M11" s="115">
        <f xml:space="preserve">
+IFERROR(SUM(_xlfn._xlws.FILTER(Table_Main[Số lượng],
(Table_Main[Mã SKU]=Table_SKU[[#This Row],[Mã SKU]])*
(Table_Main[Loại] = "Nhập")
)),0)
-IFERROR(SUM(_xlfn._xlws.FILTER(Table_Main[Số lượng],
(Table_Main[Mã SKU]=Table_SKU[[#This Row],[Mã SKU]])*
(Table_Main[Loại] = "Xuất")
)),0)</f>
        <v>45</v>
      </c>
      <c r="N11" s="242"/>
      <c r="O11" s="242"/>
      <c r="P11" s="248"/>
    </row>
    <row r="12" spans="1:16" ht="18" customHeight="1" x14ac:dyDescent="0.3">
      <c r="A12" s="242"/>
      <c r="B12" s="242"/>
      <c r="C12" s="242"/>
      <c r="D12" s="242"/>
      <c r="E12" s="242"/>
      <c r="F12" s="242" t="s">
        <v>844</v>
      </c>
      <c r="G12" s="249" t="s">
        <v>1160</v>
      </c>
      <c r="H12" s="242"/>
      <c r="I12" s="242"/>
      <c r="J12" s="15">
        <v>300000</v>
      </c>
      <c r="L12" s="446"/>
      <c r="M12" s="115">
        <f xml:space="preserve">
+IFERROR(SUM(_xlfn._xlws.FILTER(Table_Main[Số lượng],
(Table_Main[Mã SKU]=Table_SKU[[#This Row],[Mã SKU]])*
(Table_Main[Loại] = "Nhập")
)),0)
-IFERROR(SUM(_xlfn._xlws.FILTER(Table_Main[Số lượng],
(Table_Main[Mã SKU]=Table_SKU[[#This Row],[Mã SKU]])*
(Table_Main[Loại] = "Xuất")
)),0)</f>
        <v>66</v>
      </c>
      <c r="N12" s="242"/>
      <c r="O12" s="242"/>
      <c r="P12" s="248"/>
    </row>
    <row r="13" spans="1:16" ht="18" customHeight="1" x14ac:dyDescent="0.3">
      <c r="A13" s="242"/>
      <c r="B13" s="242"/>
      <c r="C13" s="242"/>
      <c r="D13" s="242"/>
      <c r="E13" s="242"/>
      <c r="F13" s="242" t="s">
        <v>843</v>
      </c>
      <c r="G13" s="249" t="s">
        <v>1159</v>
      </c>
      <c r="H13" s="242"/>
      <c r="I13" s="242"/>
      <c r="J13" s="15">
        <v>100000</v>
      </c>
      <c r="K13" s="45"/>
      <c r="L13" s="549"/>
      <c r="M13" s="18">
        <f xml:space="preserve">
+IFERROR(SUM(_xlfn._xlws.FILTER(Table_Main[Số lượng],
(Table_Main[Mã SKU]=Table_SKU[[#This Row],[Mã SKU]])*
(Table_Main[Loại] = "Nhập")
)),0)
-IFERROR(SUM(_xlfn._xlws.FILTER(Table_Main[Số lượng],
(Table_Main[Mã SKU]=Table_SKU[[#This Row],[Mã SKU]])*
(Table_Main[Loại] = "Xuất")
)),0)</f>
        <v>69</v>
      </c>
      <c r="N13" s="242"/>
      <c r="O13" s="242"/>
      <c r="P13" s="248"/>
    </row>
    <row r="14" spans="1:16" ht="18" customHeight="1" x14ac:dyDescent="0.3">
      <c r="A14" s="242"/>
      <c r="B14" s="242"/>
      <c r="C14" s="242"/>
      <c r="D14" s="242"/>
      <c r="E14" s="242"/>
      <c r="F14" s="242"/>
      <c r="G14" s="242"/>
      <c r="H14" s="242"/>
      <c r="I14" s="242"/>
      <c r="J14" s="242"/>
      <c r="K14" s="242"/>
      <c r="L14" s="242"/>
      <c r="M14" s="242"/>
      <c r="N14" s="242"/>
      <c r="O14" s="242"/>
      <c r="P14" s="248"/>
    </row>
    <row r="15" spans="1:16" ht="18" customHeight="1" x14ac:dyDescent="0.3">
      <c r="A15" s="242"/>
      <c r="B15" s="242"/>
      <c r="C15" s="242"/>
      <c r="D15" s="242"/>
      <c r="E15" s="242"/>
      <c r="F15" s="242"/>
      <c r="G15" s="242"/>
      <c r="H15" s="242"/>
      <c r="I15" s="242"/>
      <c r="J15" s="242"/>
      <c r="K15" s="242"/>
      <c r="L15" s="242"/>
      <c r="M15" s="242"/>
      <c r="N15" s="242"/>
      <c r="O15" s="242"/>
      <c r="P15" s="248"/>
    </row>
    <row r="16" spans="1:16" ht="18" customHeight="1" x14ac:dyDescent="0.3">
      <c r="A16" s="242"/>
      <c r="B16" s="242"/>
      <c r="C16" s="242"/>
      <c r="D16" s="242"/>
      <c r="E16" s="242"/>
      <c r="F16" s="242"/>
      <c r="G16" s="242"/>
      <c r="H16" s="242"/>
      <c r="I16" s="242"/>
      <c r="J16" s="242"/>
      <c r="K16" s="242"/>
      <c r="L16" s="242"/>
      <c r="M16" s="242"/>
      <c r="N16" s="242"/>
      <c r="O16" s="242"/>
      <c r="P16" s="248"/>
    </row>
    <row r="17" spans="1:16" ht="18" customHeight="1" x14ac:dyDescent="0.3">
      <c r="A17" s="242"/>
      <c r="B17" s="242"/>
      <c r="C17" s="242"/>
      <c r="D17" s="242"/>
      <c r="E17" s="242"/>
      <c r="F17" s="242"/>
      <c r="G17" s="242"/>
      <c r="H17" s="242"/>
      <c r="I17" s="242"/>
      <c r="J17" s="242"/>
      <c r="K17" s="242"/>
      <c r="L17" s="242"/>
      <c r="M17" s="242"/>
      <c r="N17" s="242"/>
      <c r="O17" s="242"/>
      <c r="P17" s="248"/>
    </row>
    <row r="18" spans="1:16" ht="18" customHeight="1" x14ac:dyDescent="0.3">
      <c r="A18" s="242"/>
      <c r="B18" s="242"/>
      <c r="C18" s="242"/>
      <c r="D18" s="242"/>
      <c r="E18" s="242"/>
      <c r="F18" s="242"/>
      <c r="G18" s="242"/>
      <c r="H18" s="242"/>
      <c r="I18" s="242"/>
      <c r="J18" s="242"/>
      <c r="K18" s="242"/>
      <c r="L18" s="242"/>
      <c r="M18" s="242"/>
      <c r="N18" s="242"/>
      <c r="O18" s="242"/>
      <c r="P18" s="248"/>
    </row>
    <row r="19" spans="1:16" ht="18" customHeight="1" x14ac:dyDescent="0.3">
      <c r="A19" s="242"/>
      <c r="B19" s="242"/>
      <c r="C19" s="242"/>
      <c r="D19" s="242"/>
      <c r="E19" s="242"/>
      <c r="F19" s="242"/>
      <c r="G19" s="242"/>
      <c r="H19" s="242"/>
      <c r="I19" s="242"/>
      <c r="J19" s="242"/>
      <c r="K19" s="242"/>
      <c r="L19" s="242"/>
      <c r="M19" s="242"/>
      <c r="N19" s="242"/>
      <c r="O19" s="242"/>
      <c r="P19" s="248"/>
    </row>
    <row r="20" spans="1:16" ht="18" customHeight="1" x14ac:dyDescent="0.3">
      <c r="A20" s="242"/>
      <c r="B20" s="242"/>
      <c r="C20" s="242"/>
      <c r="D20" s="242"/>
      <c r="E20" s="242"/>
      <c r="F20" s="242"/>
      <c r="G20" s="242"/>
      <c r="H20" s="242"/>
      <c r="I20" s="242"/>
      <c r="J20" s="242"/>
      <c r="K20" s="242"/>
      <c r="L20" s="242"/>
      <c r="M20" s="242"/>
      <c r="N20" s="242"/>
      <c r="O20" s="242"/>
      <c r="P20" s="248"/>
    </row>
    <row r="21" spans="1:16" ht="18" customHeight="1" x14ac:dyDescent="0.3">
      <c r="B21" s="242"/>
      <c r="C21" s="242"/>
      <c r="D21" s="242"/>
      <c r="E21" s="242"/>
      <c r="F21" s="242"/>
      <c r="G21" s="242"/>
      <c r="H21" s="242"/>
      <c r="I21" s="242"/>
      <c r="J21" s="242"/>
      <c r="K21" s="242"/>
      <c r="L21" s="242"/>
      <c r="M21" s="242"/>
      <c r="N21" s="242"/>
    </row>
    <row r="22" spans="1:16" ht="18" customHeight="1" x14ac:dyDescent="0.3">
      <c r="B22" s="242"/>
      <c r="C22" s="242"/>
      <c r="D22" s="242"/>
      <c r="E22" s="242"/>
      <c r="F22" s="242"/>
      <c r="G22" s="242"/>
      <c r="H22" s="242"/>
      <c r="I22" s="242"/>
      <c r="J22" s="242"/>
      <c r="K22" s="242"/>
      <c r="L22" s="242"/>
      <c r="M22" s="242"/>
      <c r="N22" s="242"/>
    </row>
    <row r="23" spans="1:16" ht="18" customHeight="1" x14ac:dyDescent="0.3">
      <c r="B23" s="242"/>
      <c r="C23" s="242"/>
      <c r="D23" s="242"/>
      <c r="E23" s="242"/>
      <c r="F23" s="242"/>
      <c r="G23" s="242"/>
      <c r="H23" s="242"/>
      <c r="I23" s="242"/>
      <c r="J23" s="242"/>
      <c r="K23" s="242"/>
      <c r="L23" s="242"/>
      <c r="M23" s="242"/>
      <c r="N23" s="242"/>
    </row>
    <row r="24" spans="1:16" ht="18" customHeight="1" x14ac:dyDescent="0.3">
      <c r="B24" s="242"/>
      <c r="C24" s="242"/>
      <c r="D24" s="242"/>
      <c r="E24" s="242"/>
      <c r="F24" s="242"/>
      <c r="G24" s="242"/>
      <c r="H24" s="242"/>
      <c r="I24" s="242"/>
      <c r="J24" s="242"/>
      <c r="K24" s="242"/>
      <c r="L24" s="242"/>
      <c r="M24" s="242"/>
      <c r="N24" s="242"/>
    </row>
    <row r="25" spans="1:16" ht="18" customHeight="1" x14ac:dyDescent="0.3">
      <c r="B25" s="242"/>
      <c r="C25" s="242"/>
      <c r="D25" s="242"/>
      <c r="E25" s="242"/>
      <c r="F25" s="242"/>
      <c r="G25" s="242"/>
      <c r="H25" s="242"/>
      <c r="I25" s="242"/>
      <c r="J25" s="242"/>
      <c r="K25" s="242"/>
      <c r="L25" s="242"/>
      <c r="M25" s="242"/>
      <c r="N25" s="242"/>
    </row>
  </sheetData>
  <sheetProtection algorithmName="SHA-512" hashValue="UTZhfq20o2Ls3TwbW6HyrErIP4zo4CRHEZSFdYJMJgcZ4ZY1/d1ak9cTeT128BGNItopXWojtdKrBJs27JlEVw==" saltValue="D9dkPfr0I1mnZykJDK+9Uw==" spinCount="100000" sheet="1" scenarios="1" formatCells="0" formatColumns="0" formatRows="0" insertColumns="0" insertRows="0" deleteColumns="0" deleteRows="0" sort="0" autoFilter="0" pivotTables="0"/>
  <protectedRanges>
    <protectedRange sqref="N5 A1:E1 B3:E5 G6:G9 F1:F5 W1:XFD4 P10:P1048576 O5:O1048576 A2:A1048576 R5:XFD1048576 Q9:Q1048576 B10:N1048576 G1:M1" name="Range1"/>
  </protectedRanges>
  <phoneticPr fontId="14" type="noConversion"/>
  <dataValidations count="4">
    <dataValidation type="list" allowBlank="1" showInputMessage="1" sqref="B11:B13" xr:uid="{F8AB7BE3-C361-43AF-9311-0565E163F432}">
      <formula1>SKU_Nhom1</formula1>
    </dataValidation>
    <dataValidation type="list" allowBlank="1" showInputMessage="1" sqref="C11:C13" xr:uid="{F0F80572-2E60-4B9A-BE82-E98B39ECF7CC}">
      <formula1>SKU_Nhom2</formula1>
    </dataValidation>
    <dataValidation type="list" allowBlank="1" showInputMessage="1" sqref="D11:D13" xr:uid="{5405679C-2AB7-44F3-8120-624122DF99C4}">
      <formula1>SKU_Nhom3</formula1>
    </dataValidation>
    <dataValidation type="list" allowBlank="1" showInputMessage="1" showErrorMessage="1" sqref="F11:F13" xr:uid="{9C327502-7C8B-4BA4-ACF2-1E7AF1D8FCC5}">
      <formula1>$F$6:$F$8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52" r:id="rId4" name="Option Button 8">
              <controlPr defaultSize="0" autoFill="0" autoLine="0" autoPict="0" macro="[0]!DoiDonViHienThi">
                <anchor moveWithCells="1">
                  <from>
                    <xdr:col>6</xdr:col>
                    <xdr:colOff>1219200</xdr:colOff>
                    <xdr:row>0</xdr:row>
                    <xdr:rowOff>152400</xdr:rowOff>
                  </from>
                  <to>
                    <xdr:col>7</xdr:col>
                    <xdr:colOff>552450</xdr:colOff>
                    <xdr:row>1</xdr:row>
                    <xdr:rowOff>142875</xdr:rowOff>
                  </to>
                </anchor>
              </controlPr>
            </control>
          </mc:Choice>
        </mc:AlternateContent>
        <mc:AlternateContent xmlns:mc="http://schemas.openxmlformats.org/markup-compatibility/2006">
          <mc:Choice Requires="x14">
            <control shapeId="82953" r:id="rId5" name="Option Button 9">
              <controlPr defaultSize="0" autoFill="0" autoLine="0" autoPict="0" macro="[0]!DoiDonViHienThi">
                <anchor moveWithCells="1">
                  <from>
                    <xdr:col>7</xdr:col>
                    <xdr:colOff>428625</xdr:colOff>
                    <xdr:row>0</xdr:row>
                    <xdr:rowOff>152400</xdr:rowOff>
                  </from>
                  <to>
                    <xdr:col>7</xdr:col>
                    <xdr:colOff>1019175</xdr:colOff>
                    <xdr:row>1</xdr:row>
                    <xdr:rowOff>142875</xdr:rowOff>
                  </to>
                </anchor>
              </controlPr>
            </control>
          </mc:Choice>
        </mc:AlternateContent>
        <mc:AlternateContent xmlns:mc="http://schemas.openxmlformats.org/markup-compatibility/2006">
          <mc:Choice Requires="x14">
            <control shapeId="82954" r:id="rId6" name="Option Button 10">
              <controlPr defaultSize="0" autoFill="0" autoLine="0" autoPict="0" macro="[0]!DoiDonViHienThi">
                <anchor moveWithCells="1">
                  <from>
                    <xdr:col>7</xdr:col>
                    <xdr:colOff>895350</xdr:colOff>
                    <xdr:row>0</xdr:row>
                    <xdr:rowOff>152400</xdr:rowOff>
                  </from>
                  <to>
                    <xdr:col>8</xdr:col>
                    <xdr:colOff>304800</xdr:colOff>
                    <xdr:row>1</xdr:row>
                    <xdr:rowOff>142875</xdr:rowOff>
                  </to>
                </anchor>
              </controlPr>
            </control>
          </mc:Choice>
        </mc:AlternateContent>
        <mc:AlternateContent xmlns:mc="http://schemas.openxmlformats.org/markup-compatibility/2006">
          <mc:Choice Requires="x14">
            <control shapeId="82955" r:id="rId7" name="Option Button 11">
              <controlPr defaultSize="0" autoFill="0" autoLine="0" autoPict="0" macro="[0]!DoiDonViHienThi">
                <anchor moveWithCells="1">
                  <from>
                    <xdr:col>8</xdr:col>
                    <xdr:colOff>190500</xdr:colOff>
                    <xdr:row>0</xdr:row>
                    <xdr:rowOff>152400</xdr:rowOff>
                  </from>
                  <to>
                    <xdr:col>8</xdr:col>
                    <xdr:colOff>542925</xdr:colOff>
                    <xdr:row>1</xdr:row>
                    <xdr:rowOff>142875</xdr:rowOff>
                  </to>
                </anchor>
              </controlPr>
            </control>
          </mc:Choice>
        </mc:AlternateContent>
        <mc:AlternateContent xmlns:mc="http://schemas.openxmlformats.org/markup-compatibility/2006">
          <mc:Choice Requires="x14">
            <control shapeId="82956" r:id="rId8" name="Group Box 12">
              <controlPr defaultSize="0" autoFill="0" autoPict="0">
                <anchor moveWithCells="1">
                  <from>
                    <xdr:col>6</xdr:col>
                    <xdr:colOff>1104900</xdr:colOff>
                    <xdr:row>0</xdr:row>
                    <xdr:rowOff>104775</xdr:rowOff>
                  </from>
                  <to>
                    <xdr:col>9</xdr:col>
                    <xdr:colOff>104775</xdr:colOff>
                    <xdr:row>1</xdr:row>
                    <xdr:rowOff>180975</xdr:rowOff>
                  </to>
                </anchor>
              </controlPr>
            </control>
          </mc:Choice>
        </mc:AlternateContent>
        <mc:AlternateContent xmlns:mc="http://schemas.openxmlformats.org/markup-compatibility/2006">
          <mc:Choice Requires="x14">
            <control shapeId="82957" r:id="rId9" name="Group Box 13">
              <controlPr defaultSize="0" autoFill="0" autoPict="0">
                <anchor moveWithCells="1">
                  <from>
                    <xdr:col>5</xdr:col>
                    <xdr:colOff>95250</xdr:colOff>
                    <xdr:row>0</xdr:row>
                    <xdr:rowOff>104775</xdr:rowOff>
                  </from>
                  <to>
                    <xdr:col>6</xdr:col>
                    <xdr:colOff>1057275</xdr:colOff>
                    <xdr:row>1</xdr:row>
                    <xdr:rowOff>180975</xdr:rowOff>
                  </to>
                </anchor>
              </controlPr>
            </control>
          </mc:Choice>
        </mc:AlternateContent>
        <mc:AlternateContent xmlns:mc="http://schemas.openxmlformats.org/markup-compatibility/2006">
          <mc:Choice Requires="x14">
            <control shapeId="82958" r:id="rId10" name="Button 14">
              <controlPr defaultSize="0" autoFill="0" autoPict="0" macro="[0]!NhanNghin">
                <anchor moveWithCells="1">
                  <from>
                    <xdr:col>5</xdr:col>
                    <xdr:colOff>180975</xdr:colOff>
                    <xdr:row>0</xdr:row>
                    <xdr:rowOff>200025</xdr:rowOff>
                  </from>
                  <to>
                    <xdr:col>5</xdr:col>
                    <xdr:colOff>647700</xdr:colOff>
                    <xdr:row>1</xdr:row>
                    <xdr:rowOff>85725</xdr:rowOff>
                  </to>
                </anchor>
              </controlPr>
            </control>
          </mc:Choice>
        </mc:AlternateContent>
        <mc:AlternateContent xmlns:mc="http://schemas.openxmlformats.org/markup-compatibility/2006">
          <mc:Choice Requires="x14">
            <control shapeId="82959" r:id="rId11" name="Button 15">
              <controlPr defaultSize="0" autoFill="0" autoPict="0" macro="[0]!NhanTrieu">
                <anchor moveWithCells="1">
                  <from>
                    <xdr:col>5</xdr:col>
                    <xdr:colOff>695325</xdr:colOff>
                    <xdr:row>0</xdr:row>
                    <xdr:rowOff>200025</xdr:rowOff>
                  </from>
                  <to>
                    <xdr:col>6</xdr:col>
                    <xdr:colOff>466725</xdr:colOff>
                    <xdr:row>1</xdr:row>
                    <xdr:rowOff>85725</xdr:rowOff>
                  </to>
                </anchor>
              </controlPr>
            </control>
          </mc:Choice>
        </mc:AlternateContent>
        <mc:AlternateContent xmlns:mc="http://schemas.openxmlformats.org/markup-compatibility/2006">
          <mc:Choice Requires="x14">
            <control shapeId="82960" r:id="rId12" name="Button 16">
              <controlPr defaultSize="0" autoFill="0" autoPict="0" macro="[0]!NhanTy">
                <anchor moveWithCells="1">
                  <from>
                    <xdr:col>6</xdr:col>
                    <xdr:colOff>514350</xdr:colOff>
                    <xdr:row>0</xdr:row>
                    <xdr:rowOff>200025</xdr:rowOff>
                  </from>
                  <to>
                    <xdr:col>6</xdr:col>
                    <xdr:colOff>981075</xdr:colOff>
                    <xdr:row>1</xdr:row>
                    <xdr:rowOff>85725</xdr:rowOff>
                  </to>
                </anchor>
              </controlPr>
            </control>
          </mc:Choice>
        </mc:AlternateContent>
        <mc:AlternateContent xmlns:mc="http://schemas.openxmlformats.org/markup-compatibility/2006">
          <mc:Choice Requires="x14">
            <control shapeId="82961" r:id="rId13" name="Button 17">
              <controlPr defaultSize="0" print="0" autoFill="0" autoPict="0" macro="[0]!AddRow">
                <anchor moveWithCells="1">
                  <from>
                    <xdr:col>0</xdr:col>
                    <xdr:colOff>657225</xdr:colOff>
                    <xdr:row>0</xdr:row>
                    <xdr:rowOff>66675</xdr:rowOff>
                  </from>
                  <to>
                    <xdr:col>1</xdr:col>
                    <xdr:colOff>400050</xdr:colOff>
                    <xdr:row>1</xdr:row>
                    <xdr:rowOff>38100</xdr:rowOff>
                  </to>
                </anchor>
              </controlPr>
            </control>
          </mc:Choice>
        </mc:AlternateContent>
        <mc:AlternateContent xmlns:mc="http://schemas.openxmlformats.org/markup-compatibility/2006">
          <mc:Choice Requires="x14">
            <control shapeId="82962" r:id="rId14" name="Button 18">
              <controlPr defaultSize="0" print="0" autoFill="0" autoPict="0" macro="[0]!DeleteRow">
                <anchor moveWithCells="1">
                  <from>
                    <xdr:col>1</xdr:col>
                    <xdr:colOff>438150</xdr:colOff>
                    <xdr:row>0</xdr:row>
                    <xdr:rowOff>66675</xdr:rowOff>
                  </from>
                  <to>
                    <xdr:col>1</xdr:col>
                    <xdr:colOff>914400</xdr:colOff>
                    <xdr:row>1</xdr:row>
                    <xdr:rowOff>38100</xdr:rowOff>
                  </to>
                </anchor>
              </controlPr>
            </control>
          </mc:Choice>
        </mc:AlternateContent>
        <mc:AlternateContent xmlns:mc="http://schemas.openxmlformats.org/markup-compatibility/2006">
          <mc:Choice Requires="x14">
            <control shapeId="82963" r:id="rId15" name="Button 19">
              <controlPr defaultSize="0" print="0" autoFill="0" autoPict="0" macro="[0]!AddColumn">
                <anchor moveWithCells="1">
                  <from>
                    <xdr:col>14</xdr:col>
                    <xdr:colOff>133350</xdr:colOff>
                    <xdr:row>8</xdr:row>
                    <xdr:rowOff>133350</xdr:rowOff>
                  </from>
                  <to>
                    <xdr:col>14</xdr:col>
                    <xdr:colOff>647700</xdr:colOff>
                    <xdr:row>9</xdr:row>
                    <xdr:rowOff>161925</xdr:rowOff>
                  </to>
                </anchor>
              </controlPr>
            </control>
          </mc:Choice>
        </mc:AlternateContent>
        <mc:AlternateContent xmlns:mc="http://schemas.openxmlformats.org/markup-compatibility/2006">
          <mc:Choice Requires="x14">
            <control shapeId="82964" r:id="rId16" name="Button 20">
              <controlPr defaultSize="0" print="0" autoFill="0" autoPict="0" macro="[0]!DeleteColumn">
                <anchor moveWithCells="1">
                  <from>
                    <xdr:col>14</xdr:col>
                    <xdr:colOff>685800</xdr:colOff>
                    <xdr:row>8</xdr:row>
                    <xdr:rowOff>133350</xdr:rowOff>
                  </from>
                  <to>
                    <xdr:col>15</xdr:col>
                    <xdr:colOff>533400</xdr:colOff>
                    <xdr:row>9</xdr:row>
                    <xdr:rowOff>161925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80CC3587-C649-4B3B-8AD3-EBA65A474436}">
            <xm:f>Security!$A$1="NO VBA"</xm:f>
            <x14:dxf>
              <font>
                <color theme="0"/>
              </font>
              <border>
                <vertical/>
                <horizontal/>
              </border>
            </x14:dxf>
          </x14:cfRule>
          <xm:sqref>R5:XFD8 A6:G9 A5:O5 H9:XFD9 H6:O8 A1:XFD4 A10:XFD1048576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75F5-DA08-4C99-975E-53EB1113B32A}">
  <sheetPr codeName="Sheet36">
    <tabColor theme="4"/>
  </sheetPr>
  <dimension ref="A1:F4"/>
  <sheetViews>
    <sheetView showGridLines="0" workbookViewId="0">
      <selection activeCell="B5" sqref="B5"/>
    </sheetView>
  </sheetViews>
  <sheetFormatPr defaultRowHeight="18" customHeight="1" x14ac:dyDescent="0.3"/>
  <cols>
    <col min="1" max="1" width="9.625" style="7" customWidth="1"/>
    <col min="2" max="2" width="8" style="7" bestFit="1" customWidth="1"/>
    <col min="3" max="3" width="8.625" style="7" bestFit="1" customWidth="1"/>
    <col min="4" max="4" width="5.5" style="7" bestFit="1" customWidth="1"/>
    <col min="5" max="5" width="9.25" style="7" bestFit="1" customWidth="1"/>
    <col min="6" max="6" width="6.75" style="7" bestFit="1" customWidth="1"/>
    <col min="7" max="16384" width="9" style="7"/>
  </cols>
  <sheetData>
    <row r="1" spans="1:6" ht="22.5" customHeight="1" x14ac:dyDescent="0.3"/>
    <row r="2" spans="1:6" s="21" customFormat="1" ht="18" customHeight="1" x14ac:dyDescent="0.3">
      <c r="A2" s="301">
        <v>0</v>
      </c>
      <c r="B2" s="301">
        <f>+A2+1</f>
        <v>1</v>
      </c>
      <c r="C2" s="301">
        <f>+B2+1</f>
        <v>2</v>
      </c>
      <c r="D2" s="301">
        <f>+C2+1</f>
        <v>3</v>
      </c>
      <c r="E2" s="301">
        <f>+D2+1</f>
        <v>4</v>
      </c>
      <c r="F2" s="301"/>
    </row>
    <row r="3" spans="1:6" ht="18" customHeight="1" x14ac:dyDescent="0.3">
      <c r="A3" s="242"/>
      <c r="B3" s="42" t="s">
        <v>839</v>
      </c>
      <c r="C3" s="42" t="s">
        <v>840</v>
      </c>
      <c r="D3" s="42" t="s">
        <v>793</v>
      </c>
      <c r="E3" s="42" t="s">
        <v>841</v>
      </c>
      <c r="F3" s="42" t="s">
        <v>883</v>
      </c>
    </row>
    <row r="4" spans="1:6" ht="18" customHeight="1" x14ac:dyDescent="0.3">
      <c r="A4" s="242"/>
      <c r="B4" s="261" t="s">
        <v>1165</v>
      </c>
      <c r="C4" s="261"/>
      <c r="D4" s="261"/>
      <c r="E4" s="261"/>
      <c r="F4" s="242"/>
    </row>
  </sheetData>
  <sheetProtection algorithmName="SHA-512" hashValue="Si7hXg/7NpOcjwXcC6JC3j+jMiJAvjV4fvnSYvBVxF3oYnpD5D/eNZB4uXpL+Wn3gDvSZ2ToOsMUgrDpSqhwZg==" saltValue="4gOBay/IfLOB1jcEKFEEbQ==" spinCount="100000" sheet="1" scenarios="1" formatCells="0" formatColumns="0" formatRows="0" insertColumns="0" insertRows="0" deleteColumns="0" deleteRows="0" sort="0" autoFilter="0" pivotTables="0"/>
  <protectedRanges>
    <protectedRange sqref="A2:XFD2 A3:E3 G3:XFD3 A4:XFD1048576" name="Range1"/>
    <protectedRange sqref="F3" name="Range1_1"/>
  </protectedRanges>
  <phoneticPr fontId="14" type="noConversion"/>
  <conditionalFormatting sqref="B4">
    <cfRule type="duplicateValues" dxfId="9" priority="28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902" r:id="rId3" name="Option Button 6">
              <controlPr defaultSize="0" autoFill="0" autoLine="0" autoPict="0" macro="[0]!DoiDonViHienThi">
                <anchor moveWithCells="1">
                  <from>
                    <xdr:col>8</xdr:col>
                    <xdr:colOff>561975</xdr:colOff>
                    <xdr:row>0</xdr:row>
                    <xdr:rowOff>152400</xdr:rowOff>
                  </from>
                  <to>
                    <xdr:col>9</xdr:col>
                    <xdr:colOff>466725</xdr:colOff>
                    <xdr:row>1</xdr:row>
                    <xdr:rowOff>142875</xdr:rowOff>
                  </to>
                </anchor>
              </controlPr>
            </control>
          </mc:Choice>
        </mc:AlternateContent>
        <mc:AlternateContent xmlns:mc="http://schemas.openxmlformats.org/markup-compatibility/2006">
          <mc:Choice Requires="x14">
            <control shapeId="80903" r:id="rId4" name="Option Button 7">
              <controlPr defaultSize="0" autoFill="0" autoLine="0" autoPict="0" macro="[0]!DoiDonViHienThi">
                <anchor moveWithCells="1">
                  <from>
                    <xdr:col>9</xdr:col>
                    <xdr:colOff>342900</xdr:colOff>
                    <xdr:row>0</xdr:row>
                    <xdr:rowOff>152400</xdr:rowOff>
                  </from>
                  <to>
                    <xdr:col>10</xdr:col>
                    <xdr:colOff>247650</xdr:colOff>
                    <xdr:row>1</xdr:row>
                    <xdr:rowOff>142875</xdr:rowOff>
                  </to>
                </anchor>
              </controlPr>
            </control>
          </mc:Choice>
        </mc:AlternateContent>
        <mc:AlternateContent xmlns:mc="http://schemas.openxmlformats.org/markup-compatibility/2006">
          <mc:Choice Requires="x14">
            <control shapeId="80904" r:id="rId5" name="Option Button 8">
              <controlPr defaultSize="0" autoFill="0" autoLine="0" autoPict="0" macro="[0]!DoiDonViHienThi">
                <anchor moveWithCells="1">
                  <from>
                    <xdr:col>10</xdr:col>
                    <xdr:colOff>123825</xdr:colOff>
                    <xdr:row>0</xdr:row>
                    <xdr:rowOff>152400</xdr:rowOff>
                  </from>
                  <to>
                    <xdr:col>11</xdr:col>
                    <xdr:colOff>28575</xdr:colOff>
                    <xdr:row>1</xdr:row>
                    <xdr:rowOff>142875</xdr:rowOff>
                  </to>
                </anchor>
              </controlPr>
            </control>
          </mc:Choice>
        </mc:AlternateContent>
        <mc:AlternateContent xmlns:mc="http://schemas.openxmlformats.org/markup-compatibility/2006">
          <mc:Choice Requires="x14">
            <control shapeId="80905" r:id="rId6" name="Option Button 9">
              <controlPr defaultSize="0" autoFill="0" autoLine="0" autoPict="0" macro="[0]!DoiDonViHienThi">
                <anchor moveWithCells="1">
                  <from>
                    <xdr:col>10</xdr:col>
                    <xdr:colOff>600075</xdr:colOff>
                    <xdr:row>0</xdr:row>
                    <xdr:rowOff>152400</xdr:rowOff>
                  </from>
                  <to>
                    <xdr:col>11</xdr:col>
                    <xdr:colOff>266700</xdr:colOff>
                    <xdr:row>1</xdr:row>
                    <xdr:rowOff>142875</xdr:rowOff>
                  </to>
                </anchor>
              </controlPr>
            </control>
          </mc:Choice>
        </mc:AlternateContent>
        <mc:AlternateContent xmlns:mc="http://schemas.openxmlformats.org/markup-compatibility/2006">
          <mc:Choice Requires="x14">
            <control shapeId="80906" r:id="rId7" name="Group Box 10">
              <controlPr defaultSize="0" autoFill="0" autoPict="0">
                <anchor moveWithCells="1">
                  <from>
                    <xdr:col>8</xdr:col>
                    <xdr:colOff>447675</xdr:colOff>
                    <xdr:row>0</xdr:row>
                    <xdr:rowOff>104775</xdr:rowOff>
                  </from>
                  <to>
                    <xdr:col>11</xdr:col>
                    <xdr:colOff>381000</xdr:colOff>
                    <xdr:row>1</xdr:row>
                    <xdr:rowOff>180975</xdr:rowOff>
                  </to>
                </anchor>
              </controlPr>
            </control>
          </mc:Choice>
        </mc:AlternateContent>
        <mc:AlternateContent xmlns:mc="http://schemas.openxmlformats.org/markup-compatibility/2006">
          <mc:Choice Requires="x14">
            <control shapeId="80907" r:id="rId8" name="Group Box 11">
              <controlPr defaultSize="0" autoFill="0" autoPict="0">
                <anchor moveWithCells="1">
                  <from>
                    <xdr:col>6</xdr:col>
                    <xdr:colOff>114300</xdr:colOff>
                    <xdr:row>0</xdr:row>
                    <xdr:rowOff>104775</xdr:rowOff>
                  </from>
                  <to>
                    <xdr:col>8</xdr:col>
                    <xdr:colOff>400050</xdr:colOff>
                    <xdr:row>1</xdr:row>
                    <xdr:rowOff>180975</xdr:rowOff>
                  </to>
                </anchor>
              </controlPr>
            </control>
          </mc:Choice>
        </mc:AlternateContent>
        <mc:AlternateContent xmlns:mc="http://schemas.openxmlformats.org/markup-compatibility/2006">
          <mc:Choice Requires="x14">
            <control shapeId="80908" r:id="rId9" name="Button 12">
              <controlPr defaultSize="0" autoFill="0" autoPict="0" macro="[0]!NhanNghin">
                <anchor moveWithCells="1">
                  <from>
                    <xdr:col>6</xdr:col>
                    <xdr:colOff>200025</xdr:colOff>
                    <xdr:row>0</xdr:row>
                    <xdr:rowOff>200025</xdr:rowOff>
                  </from>
                  <to>
                    <xdr:col>6</xdr:col>
                    <xdr:colOff>666750</xdr:colOff>
                    <xdr:row>1</xdr:row>
                    <xdr:rowOff>85725</xdr:rowOff>
                  </to>
                </anchor>
              </controlPr>
            </control>
          </mc:Choice>
        </mc:AlternateContent>
        <mc:AlternateContent xmlns:mc="http://schemas.openxmlformats.org/markup-compatibility/2006">
          <mc:Choice Requires="x14">
            <control shapeId="80909" r:id="rId10" name="Button 13">
              <controlPr defaultSize="0" autoFill="0" autoPict="0" macro="[0]!NhanTrieu">
                <anchor moveWithCells="1">
                  <from>
                    <xdr:col>7</xdr:col>
                    <xdr:colOff>28575</xdr:colOff>
                    <xdr:row>0</xdr:row>
                    <xdr:rowOff>200025</xdr:rowOff>
                  </from>
                  <to>
                    <xdr:col>7</xdr:col>
                    <xdr:colOff>495300</xdr:colOff>
                    <xdr:row>1</xdr:row>
                    <xdr:rowOff>85725</xdr:rowOff>
                  </to>
                </anchor>
              </controlPr>
            </control>
          </mc:Choice>
        </mc:AlternateContent>
        <mc:AlternateContent xmlns:mc="http://schemas.openxmlformats.org/markup-compatibility/2006">
          <mc:Choice Requires="x14">
            <control shapeId="80910" r:id="rId11" name="Button 14">
              <controlPr defaultSize="0" autoFill="0" autoPict="0" macro="[0]!NhanTy">
                <anchor moveWithCells="1">
                  <from>
                    <xdr:col>7</xdr:col>
                    <xdr:colOff>542925</xdr:colOff>
                    <xdr:row>0</xdr:row>
                    <xdr:rowOff>200025</xdr:rowOff>
                  </from>
                  <to>
                    <xdr:col>8</xdr:col>
                    <xdr:colOff>323850</xdr:colOff>
                    <xdr:row>1</xdr:row>
                    <xdr:rowOff>85725</xdr:rowOff>
                  </to>
                </anchor>
              </controlPr>
            </control>
          </mc:Choice>
        </mc:AlternateContent>
        <mc:AlternateContent xmlns:mc="http://schemas.openxmlformats.org/markup-compatibility/2006">
          <mc:Choice Requires="x14">
            <control shapeId="80911" r:id="rId12" name="Button 15">
              <controlPr defaultSize="0" print="0" autoFill="0" autoPict="0" macro="[0]!AddRow">
                <anchor moveWithCells="1">
                  <from>
                    <xdr:col>1</xdr:col>
                    <xdr:colOff>114300</xdr:colOff>
                    <xdr:row>0</xdr:row>
                    <xdr:rowOff>200025</xdr:rowOff>
                  </from>
                  <to>
                    <xdr:col>1</xdr:col>
                    <xdr:colOff>590550</xdr:colOff>
                    <xdr:row>1</xdr:row>
                    <xdr:rowOff>171450</xdr:rowOff>
                  </to>
                </anchor>
              </controlPr>
            </control>
          </mc:Choice>
        </mc:AlternateContent>
        <mc:AlternateContent xmlns:mc="http://schemas.openxmlformats.org/markup-compatibility/2006">
          <mc:Choice Requires="x14">
            <control shapeId="80912" r:id="rId13" name="Button 16">
              <controlPr defaultSize="0" print="0" autoFill="0" autoPict="0" macro="[0]!DeleteRow">
                <anchor moveWithCells="1">
                  <from>
                    <xdr:col>2</xdr:col>
                    <xdr:colOff>19050</xdr:colOff>
                    <xdr:row>0</xdr:row>
                    <xdr:rowOff>200025</xdr:rowOff>
                  </from>
                  <to>
                    <xdr:col>2</xdr:col>
                    <xdr:colOff>495300</xdr:colOff>
                    <xdr:row>1</xdr:row>
                    <xdr:rowOff>171450</xdr:rowOff>
                  </to>
                </anchor>
              </controlPr>
            </control>
          </mc:Choice>
        </mc:AlternateContent>
        <mc:AlternateContent xmlns:mc="http://schemas.openxmlformats.org/markup-compatibility/2006">
          <mc:Choice Requires="x14">
            <control shapeId="80913" r:id="rId14" name="Button 17">
              <controlPr defaultSize="0" print="0" autoFill="0" autoPict="0" macro="[0]!AddColumn">
                <anchor moveWithCells="1">
                  <from>
                    <xdr:col>2</xdr:col>
                    <xdr:colOff>542925</xdr:colOff>
                    <xdr:row>0</xdr:row>
                    <xdr:rowOff>200025</xdr:rowOff>
                  </from>
                  <to>
                    <xdr:col>3</xdr:col>
                    <xdr:colOff>400050</xdr:colOff>
                    <xdr:row>1</xdr:row>
                    <xdr:rowOff>171450</xdr:rowOff>
                  </to>
                </anchor>
              </controlPr>
            </control>
          </mc:Choice>
        </mc:AlternateContent>
        <mc:AlternateContent xmlns:mc="http://schemas.openxmlformats.org/markup-compatibility/2006">
          <mc:Choice Requires="x14">
            <control shapeId="80914" r:id="rId15" name="Button 18">
              <controlPr defaultSize="0" print="0" autoFill="0" autoPict="0" macro="[0]!DeleteColumn">
                <anchor moveWithCells="1">
                  <from>
                    <xdr:col>4</xdr:col>
                    <xdr:colOff>19050</xdr:colOff>
                    <xdr:row>0</xdr:row>
                    <xdr:rowOff>200025</xdr:rowOff>
                  </from>
                  <to>
                    <xdr:col>4</xdr:col>
                    <xdr:colOff>561975</xdr:colOff>
                    <xdr:row>1</xdr:row>
                    <xdr:rowOff>171450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DA3FCDC5-C843-4F5B-86CF-16AD3E19AF4F}">
            <xm:f>Security!$A$1="NO VBA"</xm:f>
            <x14:dxf>
              <font>
                <color theme="0"/>
              </font>
              <border>
                <vertical/>
                <horizontal/>
              </border>
            </x14:dxf>
          </x14:cfRule>
          <xm:sqref>A1:XFD1048576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  
</file>

<file path=customXml/item3.xml>�� 
</file>

<file path=customXml/item4.xml>�� 
</file>

<file path=customXml/item5.xml>�� � � � � � � � � i � �  d � i �m   s �  d � �� �  l � � � � � i � �  l � i � i � i �n   c � � � � � � �p     �  �  �  �  l ��  �  � �� �i   t �� � �� �t   � � �  l � � �  l �� �  t � � � � �n   v � �  s u � �  l � � � �i   t �� � � � � �  t �n   � �  t � � � � � � � � � � � �  l �� � � � � � �  s u � � � � � � � � � �� �  l � � � �� �  l � � � �  l � �n   � � �p     �  �  �  �  l ��  �  � 
</file>

<file path=customXml/item6.xml>��   
</file>

<file path=customXml/item7.xml>��   
</file>

<file path=customXml/item8.xml>��   
</file>

<file path=customXml/item9.xml>�� 
</file>

<file path=customXml/item10.xml>�� �� �i   t �� � �� �t   � � �  l � � �  l �� �  t � � �� �i   t �� � �� �t   � � �  l � � �  l �� �  t � � 
</file>

<file path=customXml/item11.xml>�� 
</file>

<file path=customXml/item12.xml>��   
</file>

<file path=customXml/item13.xml>�� 
</file>

<file path=customXml/item14.xml>�� � � � � � �    � � � � � � 
</file>

<file path=customXml/item15.xml>�� 
</file>

<file path=customXml/item16.xml>��   
</file>

<file path=customXml/item17.xml>��   
</file>

<file path=customXml/item18.xml>�� �� �i   t �� � �� �t   � � �  l � � �  l �� �  t � � �� �i   t �� � �� �t   � � �  l � � �  l �� �  t �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� �  t �n   � �  t � � � � � � � � � � � �  l �� � � � � � �  s u � � � � � � � � � �� �  l � � � �� �  l � � � �  l � �n   � � �p     �  �  �  �  l ��  �  � � �� � �� �  l �� �  l �� �� �� �� �� �� �� �� �� � � � � � � � � � � � � �  t �n   � �  t � � � � � � �i   t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t �n   � �  t � � � � � � �i   t �� � � � � � �  t �n   � �  t � � � � � � � � � � � �  l �� � � � � � �  s u � � � � � � � � � �� �  l � � � �� �  l � � � �  l � �n   � � �p     �  �  �  �  l ��  �  � � �� � �� �  l �� �  l �� �� �� �� �� �� �� �� �� � � � � � � � � � � i � �  d � i � �  d � i � �  d � � � � i � �  d � i �m   s �  d � �� �  l � � � � � i � �  l � i � i � i �n   c � � � � � � �p     �  �  �  �  l ��  �  � i � �  d � i � �  d � i � �  d � i � �  d � i � �  d � i � �  d � i � �  d � i � �  d � i � �  d � � � � i � �  d � i �m   s �  d � �� �  l � � � � � i � �  l � i � i � i �n   c � � � � � � �p     �  �  �  �  l ��  �  � i � �  d � i � �  d � i � �  d � i � �  d � i � �  d � i � �  d � � � � � � � � � � � � �� � �� � �� �  l �� �  l �� �  l �� � �i   t �� � � � � �  t �n   � �  t � � � � � � � � � � � �  l �� � � � � � �  s u � � � � � � � � � �� �  l � � � �� �  l � � � �  l � �n   � � �p     �  �  �  �  l ��  �  � � �� � �� � �� � �� � �� � �� �  l �� �  l �� �  l �� �  l �� �  l �� �  l �� � �� � �� � �� �  l �� �  l �� �  l �� � �i   t �� � � � � �  t �n   � �  t � � � � � � � � � � � �  l �� � � � � � �  s u � � � � � � � � � �� �  l � � � �� �  l � � � �  l � �n   � � �p     �  �  �  �  l ��  �  � � �� � �� � �� � �� � �� � �� �  l �� �  l �� �  l �� �  l �� �  l �� �  l �� 
</file>

<file path=customXml/item19.xml>�� � � � �� �  l � � � � i �m   s �  d � � �n   c � � �p    � � � � i � �  d �  �  �  �  �  l ��  �  � i � i �  l � i � i � � � � �� �  l � � � � i �m   s �  d � � �n   c � � �p    � � � � i � �  d �  �  �  �  �  l ��  �  � i � i �  l � i � i � 
</file>

<file path=customXml/item20.xml>��   
</file>

<file path=customXml/item21.xml>�� 
</file>

<file path=customXml/item22.xml>�� � � � � � � � � � � 
</file>

<file path=customXml/item23.xml>�� � � �n   v � �  s u � �  l � � � � �n   v � �  s u � �  l � � 
</file>

<file path=customXml/item24.xml>�� 
</file>

<file path=customXml/item25.xml>��   
</file>

<file path=customXml/item26.xml>�� 
</file>

<file path=customXml/item27.xml>��   
</file>

<file path=customXml/item28.xml>��   
</file>

<file path=customXml/item29.xml>�� � � � � 
</file>

<file path=customXml/item30.xml>�� 
</file>

<file path=customXml/item31.xml>��   
</file>

<file path=customXml/item32.xml>�� 
</file>

<file path=customXml/item33.xml>�� 
</file>

<file path=customXml/item34.xml>�� � � �  t �n   � �  t � � � � � � �i   t �� � � � � � � �  l �� � � � � � �  s u � � � � � � � � � �� �  l � � � �� �  l � � � �  l � �n   � � �p     �  �  �  �  l ��  �  � � � � � �  t �n   � �  t � � � � � � �i   t �� � � � � � � �  l �� � � � � � �  s u � � � � � � � � � �� �  l � � � �� �  l � � � �  l � �n   � � �p     �  �  �  �  l ��  �  � � � 
</file>

<file path=customXml/item35.xml>�� �n   �u   t � �n   �u   t � �  �u   t � �i   h � �  �  �u   t � �   � �n   �u   t � �n   �u   t � �  �u   t � �i   h � �  �  �u   t � �   � 
</file>

<file path=customXml/item36.xml>��   
</file>

<file path=customXml/item37.xml>�� 
</file>

<file path=customXml/itemProps1.xml><?xml version="1.0" encoding="utf-8"?>
<ds:datastoreItem xmlns:ds="http://schemas.openxmlformats.org/officeDocument/2006/customXml" ds:itemID="{9B4A4A44-C59B-4F5C-909F-85355EDEA872}">
  <ds:schemaRefs/>
</ds:datastoreItem>
</file>

<file path=customXml/itemProps2.xml><?xml version="1.0" encoding="utf-8"?>
<ds:datastoreItem xmlns:ds="http://schemas.openxmlformats.org/officeDocument/2006/customXml" ds:itemID="{A849B9D7-188B-48DA-AB5B-54583621621D}">
  <ds:schemaRefs/>
</ds:datastoreItem>
</file>

<file path=customXml/itemProps3.xml><?xml version="1.0" encoding="utf-8"?>
<ds:datastoreItem xmlns:ds="http://schemas.openxmlformats.org/officeDocument/2006/customXml" ds:itemID="{E745100C-1AC8-468E-84F7-3659A806CA45}">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EBE38DC9-93F1-4A40-AB85-9004638D48E2}">
  <ds:schemaRefs/>
</ds:datastoreItem>
</file>

<file path=customXml/itemProps6.xml><?xml version="1.0" encoding="utf-8"?>
<ds:datastoreItem xmlns:ds="http://schemas.openxmlformats.org/officeDocument/2006/customXml" ds:itemID="{4BA9E5F1-90AC-490B-B178-7C8B339E1A47}">
  <ds:schemaRefs/>
</ds:datastoreItem>
</file>

<file path=customXml/itemProps7.xml><?xml version="1.0" encoding="utf-8"?>
<ds:datastoreItem xmlns:ds="http://schemas.openxmlformats.org/officeDocument/2006/customXml" ds:itemID="{9E94C942-6F7D-4A68-9432-23867B043DC6}">
  <ds:schemaRefs/>
</ds:datastoreItem>
</file>

<file path=customXml/itemProps8.xml><?xml version="1.0" encoding="utf-8"?>
<ds:datastoreItem xmlns:ds="http://schemas.openxmlformats.org/officeDocument/2006/customXml" ds:itemID="{E74E3CE3-A8E6-4CD2-832B-7027C80CBB62}">
  <ds:schemaRefs/>
</ds:datastoreItem>
</file>

<file path=customXml/itemProps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1.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3.xml><?xml version="1.0" encoding="utf-8"?>
<ds:datastoreItem xmlns:ds="http://schemas.openxmlformats.org/officeDocument/2006/customXml" ds:itemID="{2C9CC992-EC0C-4200-865B-A4059F2340A6}">
  <ds:schemaRefs/>
</ds:datastoreItem>
</file>

<file path=customXml/itemProps14.xml><?xml version="1.0" encoding="utf-8"?>
<ds:datastoreItem xmlns:ds="http://schemas.openxmlformats.org/officeDocument/2006/customXml" ds:itemID="{33BFCAE0-8CBE-4C1C-BB72-272DFFB7588D}">
  <ds:schemaRefs/>
</ds:datastoreItem>
</file>

<file path=customXml/itemProps15.xml><?xml version="1.0" encoding="utf-8"?>
<ds:datastoreItem xmlns:ds="http://schemas.openxmlformats.org/officeDocument/2006/customXml" ds:itemID="{921600D5-C528-4F77-BA88-1963C63E993C}">
  <ds:schemaRefs/>
</ds:datastoreItem>
</file>

<file path=customXml/itemProps16.xml><?xml version="1.0" encoding="utf-8"?>
<ds:datastoreItem xmlns:ds="http://schemas.openxmlformats.org/officeDocument/2006/customXml" ds:itemID="{0B9C3544-1C46-45A4-BEB6-1CE4D6559900}">
  <ds:schemaRefs/>
</ds:datastoreItem>
</file>

<file path=customXml/itemProps17.xml><?xml version="1.0" encoding="utf-8"?>
<ds:datastoreItem xmlns:ds="http://schemas.openxmlformats.org/officeDocument/2006/customXml" ds:itemID="{9DC923F4-1EC5-4B94-BAB9-67A144899A21}">
  <ds:schemaRefs/>
</ds:datastoreItem>
</file>

<file path=customXml/itemProps18.xml><?xml version="1.0" encoding="utf-8"?>
<ds:datastoreItem xmlns:ds="http://schemas.openxmlformats.org/officeDocument/2006/customXml" ds:itemID="{1567CD95-8E3F-4FEC-A530-84B69C2E9371}">
  <ds:schemaRefs/>
</ds:datastoreItem>
</file>

<file path=customXml/itemProps19.xml><?xml version="1.0" encoding="utf-8"?>
<ds:datastoreItem xmlns:ds="http://schemas.openxmlformats.org/officeDocument/2006/customXml" ds:itemID="{1C3D8E49-708C-47DB-80E1-F53F4A0673AC}">
  <ds:schemaRefs/>
</ds:datastoreItem>
</file>

<file path=customXml/itemProps20.xml><?xml version="1.0" encoding="utf-8"?>
<ds:datastoreItem xmlns:ds="http://schemas.openxmlformats.org/officeDocument/2006/customXml" ds:itemID="{339EBD31-34FE-48FA-B11C-5697D02F64AC}">
  <ds:schemaRefs/>
</ds:datastoreItem>
</file>

<file path=customXml/itemProps2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2.xml><?xml version="1.0" encoding="utf-8"?>
<ds:datastoreItem xmlns:ds="http://schemas.openxmlformats.org/officeDocument/2006/customXml" ds:itemID="{F2145A25-FC67-4E71-99E4-ED21FC90E8A2}">
  <ds:schemaRefs/>
</ds:datastoreItem>
</file>

<file path=customXml/itemProps23.xml><?xml version="1.0" encoding="utf-8"?>
<ds:datastoreItem xmlns:ds="http://schemas.openxmlformats.org/officeDocument/2006/customXml" ds:itemID="{584F28E9-849A-497A-B7B7-AE2BAA06EB0A}">
  <ds:schemaRefs/>
</ds:datastoreItem>
</file>

<file path=customXml/itemProps24.xml><?xml version="1.0" encoding="utf-8"?>
<ds:datastoreItem xmlns:ds="http://schemas.openxmlformats.org/officeDocument/2006/customXml" ds:itemID="{4A386E9B-34CA-4A07-A92C-A4B96BAD6F19}">
  <ds:schemaRefs/>
</ds:datastoreItem>
</file>

<file path=customXml/itemProps25.xml><?xml version="1.0" encoding="utf-8"?>
<ds:datastoreItem xmlns:ds="http://schemas.openxmlformats.org/officeDocument/2006/customXml" ds:itemID="{C07E275B-476F-4C8C-82D7-F2E5F7E682DF}">
  <ds:schemaRefs/>
</ds:datastoreItem>
</file>

<file path=customXml/itemProps26.xml><?xml version="1.0" encoding="utf-8"?>
<ds:datastoreItem xmlns:ds="http://schemas.openxmlformats.org/officeDocument/2006/customXml" ds:itemID="{D7E9DCE9-0DA0-4A5D-AF00-69BF42ADE111}">
  <ds:schemaRefs/>
</ds:datastoreItem>
</file>

<file path=customXml/itemProps2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0.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3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2.xml><?xml version="1.0" encoding="utf-8"?>
<ds:datastoreItem xmlns:ds="http://schemas.openxmlformats.org/officeDocument/2006/customXml" ds:itemID="{1DB546EC-0D51-4752-AEDC-C3609675D25A}">
  <ds:schemaRefs/>
</ds:datastoreItem>
</file>

<file path=customXml/itemProps33.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34.xml><?xml version="1.0" encoding="utf-8"?>
<ds:datastoreItem xmlns:ds="http://schemas.openxmlformats.org/officeDocument/2006/customXml" ds:itemID="{21C78F33-EDA8-4986-95A6-4E56FC7C8EE8}">
  <ds:schemaRefs/>
</ds:datastoreItem>
</file>

<file path=customXml/itemProps3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36.xml><?xml version="1.0" encoding="utf-8"?>
<ds:datastoreItem xmlns:ds="http://schemas.openxmlformats.org/officeDocument/2006/customXml" ds:itemID="{104A6CAF-8CC0-4F12-8051-31E2340CC4C2}">
  <ds:schemaRefs/>
</ds:datastoreItem>
</file>

<file path=customXml/itemProps37.xml><?xml version="1.0" encoding="utf-8"?>
<ds:datastoreItem xmlns:ds="http://schemas.openxmlformats.org/officeDocument/2006/customXml" ds:itemID="{45ED2FBC-7CC2-4A2F-9354-35AE03D4F0BA}">
  <ds:schemaRefs>
    <ds:schemaRef ds:uri="http://gemini/pivotcustomization/LinkedTableUpdate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98</vt:i4>
      </vt:variant>
    </vt:vector>
  </HeadingPairs>
  <TitlesOfParts>
    <vt:vector size="106" baseType="lpstr">
      <vt:lpstr>EULA</vt:lpstr>
      <vt:lpstr>Contents</vt:lpstr>
      <vt:lpstr>Pivot</vt:lpstr>
      <vt:lpstr>Dashboard_BCQT</vt:lpstr>
      <vt:lpstr>Sheet_KeHoach</vt:lpstr>
      <vt:lpstr>Sheet_BaoCaoQuanTri</vt:lpstr>
      <vt:lpstr>Sheet_BaoCaoTaiChinh</vt:lpstr>
      <vt:lpstr>Code</vt:lpstr>
      <vt:lpstr>BangLuong_Nam</vt:lpstr>
      <vt:lpstr>BangLuong_Thang</vt:lpstr>
      <vt:lpstr>BCQT_BatDau</vt:lpstr>
      <vt:lpstr>BCQT_KetThuc</vt:lpstr>
      <vt:lpstr>BCTC_BatDau</vt:lpstr>
      <vt:lpstr>BCTC_Nam</vt:lpstr>
      <vt:lpstr>BCTC_Thang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Dashboard_ChuongTrinh_Ma</vt:lpstr>
      <vt:lpstr>DatHang_NgayBatDau</vt:lpstr>
      <vt:lpstr>DatHang_NgayKetThuc</vt:lpstr>
      <vt:lpstr>DatHang_NgayTheoDoi</vt:lpstr>
      <vt:lpstr>DatHang_SoNgayThamChieu</vt:lpstr>
      <vt:lpstr>DiemHoaVon_NamKeHoach</vt:lpstr>
      <vt:lpstr>HieuQuaSX_Ngay</vt:lpstr>
      <vt:lpstr>KHThanThiet_HieuLuc</vt:lpstr>
      <vt:lpstr>KHThanThiet_SoNgay</vt:lpstr>
      <vt:lpstr>Sheet_KHThanThiet!Ma_SKU</vt:lpstr>
      <vt:lpstr>Ma_SKU</vt:lpstr>
      <vt:lpstr>Sheet_KHThanThiet!MaChuongTrinh</vt:lpstr>
      <vt:lpstr>MaChuongTrinh</vt:lpstr>
      <vt:lpstr>Sheet_KHThanThiet!MaCoDong</vt:lpstr>
      <vt:lpstr>MaCoDong</vt:lpstr>
      <vt:lpstr>Sheet_KHThanThiet!MaDauTu</vt:lpstr>
      <vt:lpstr>MaDauTu</vt:lpstr>
      <vt:lpstr>Sheet_KHThanThiet!MaDonBan</vt:lpstr>
      <vt:lpstr>MaDonBan</vt:lpstr>
      <vt:lpstr>Sheet_KHThanThiet!MaDonMua</vt:lpstr>
      <vt:lpstr>MaDonMua</vt:lpstr>
      <vt:lpstr>MaIn</vt:lpstr>
      <vt:lpstr>Sheet_KHThanThiet!MaKenh</vt:lpstr>
      <vt:lpstr>MaKenh</vt:lpstr>
      <vt:lpstr>Sheet_KHThanThiet!MaKhachHang</vt:lpstr>
      <vt:lpstr>MaKhachHang</vt:lpstr>
      <vt:lpstr>Sheet_KHThanThiet!MaKho</vt:lpstr>
      <vt:lpstr>MaKho</vt:lpstr>
      <vt:lpstr>Sheet_KHThanThiet!MaKhoanVay</vt:lpstr>
      <vt:lpstr>MaKhoanVay</vt:lpstr>
      <vt:lpstr>Sheet_KHThanThiet!MaNguyenLieu</vt:lpstr>
      <vt:lpstr>MaNguyenLieu</vt:lpstr>
      <vt:lpstr>Sheet_KHThanThiet!MaNhaCungCap</vt:lpstr>
      <vt:lpstr>MaNhaCungCap</vt:lpstr>
      <vt:lpstr>Sheet_KHThanThiet!MaNhanVien</vt:lpstr>
      <vt:lpstr>MaNhanVien</vt:lpstr>
      <vt:lpstr>Sheet_KHThanThiet!MaTaiKhoan</vt:lpstr>
      <vt:lpstr>MaTaiKhoan</vt:lpstr>
      <vt:lpstr>Sheet_KHThanThiet!MaTaiSan</vt:lpstr>
      <vt:lpstr>MaTaiSan</vt:lpstr>
      <vt:lpstr>Sheet_KHThanThiet!MaThuChi</vt:lpstr>
      <vt:lpstr>MaThuChi</vt:lpstr>
      <vt:lpstr>Sheet_KHThanThiet!MaVanDon</vt:lpstr>
      <vt:lpstr>MaVanDon</vt:lpstr>
      <vt:lpstr>MaViTri</vt:lpstr>
      <vt:lpstr>NgayLuuKho_Max</vt:lpstr>
      <vt:lpstr>NgayLuuKho_Min</vt:lpstr>
      <vt:lpstr>NguonHang_NgayBatDau</vt:lpstr>
      <vt:lpstr>NguonHang_NgayKetThuc</vt:lpstr>
      <vt:lpstr>Sheet_KHThanThiet!NhomChiPhi</vt:lpstr>
      <vt:lpstr>NhomChiPhi</vt:lpstr>
      <vt:lpstr>Sheet_KHThanThiet!NoiDungGDKD</vt:lpstr>
      <vt:lpstr>NoiDungGDKD</vt:lpstr>
      <vt:lpstr>Sheet_KHThanThiet!NoiDungGDTC</vt:lpstr>
      <vt:lpstr>NoiDungGDTC</vt:lpstr>
      <vt:lpstr>NoXau_MaKH</vt:lpstr>
      <vt:lpstr>NoXau_MaNCC</vt:lpstr>
      <vt:lpstr>NoXau_NgayTheoDoi</vt:lpstr>
      <vt:lpstr>NoXau_NhanCungUng</vt:lpstr>
      <vt:lpstr>NoXau_NhanThanhToan</vt:lpstr>
      <vt:lpstr>Sheet_KHThanThiet!SKU_Nhom1</vt:lpstr>
      <vt:lpstr>SKU_Nhom1</vt:lpstr>
      <vt:lpstr>Sheet_KHThanThiet!SKU_Nhom2</vt:lpstr>
      <vt:lpstr>SKU_Nhom2</vt:lpstr>
      <vt:lpstr>Sheet_KHThanThiet!SKU_Nhom3</vt:lpstr>
      <vt:lpstr>SKU_Nhom3</vt:lpstr>
      <vt:lpstr>ThanhPham_Nhom</vt:lpstr>
      <vt:lpstr>ThanhPham_PhanLoai</vt:lpstr>
      <vt:lpstr>ThanhPham_PhanNhom</vt:lpstr>
      <vt:lpstr>TonKho_GTXuat</vt:lpstr>
      <vt:lpstr>TonKho_Kho</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2026-01-21T01:49:23Z</dcterms:modified>
  <cp:category/>
  <cp:contentStatus/>
</cp:coreProperties>
</file>